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55" yWindow="11070" windowWidth="15480" windowHeight="1170" firstSheet="2" activeTab="3"/>
  </bookViews>
  <sheets>
    <sheet name="первоначальный вед" sheetId="19" r:id="rId1"/>
    <sheet name="изменения июль вед стр-ра" sheetId="23" r:id="rId2"/>
    <sheet name="изменения июль программы" sheetId="25" r:id="rId3"/>
    <sheet name="изменения июль по разд" sheetId="26" r:id="rId4"/>
    <sheet name="изменения июль вед стр-ра СНД" sheetId="27" r:id="rId5"/>
    <sheet name="изменения июль программы СНД" sheetId="28" r:id="rId6"/>
    <sheet name="изменения июль по разд СНД" sheetId="29" r:id="rId7"/>
  </sheets>
  <externalReferences>
    <externalReference r:id="rId8"/>
  </externalReferences>
  <definedNames>
    <definedName name="_xlnm._FilterDatabase" localSheetId="1" hidden="1">'изменения июль вед стр-ра'!$A$13:$X$622</definedName>
    <definedName name="_xlnm._FilterDatabase" localSheetId="4" hidden="1">'изменения июль вед стр-ра СНД'!$A$13:$X$622</definedName>
    <definedName name="_xlnm._FilterDatabase" localSheetId="3" hidden="1">'изменения июль по разд'!$A$12:$P$559</definedName>
    <definedName name="_xlnm._FilterDatabase" localSheetId="6" hidden="1">'изменения июль по разд СНД'!$A$12:$P$559</definedName>
    <definedName name="_xlnm._FilterDatabase" localSheetId="2" hidden="1">'изменения июль программы'!$A$11:$P$529</definedName>
    <definedName name="_xlnm._FilterDatabase" localSheetId="5" hidden="1">'изменения июль программы СНД'!$A$11:$P$529</definedName>
    <definedName name="_xlnm._FilterDatabase" localSheetId="0" hidden="1">'первоначальный вед'!$A$8:$W$624</definedName>
    <definedName name="_xlnm.Print_Titles" localSheetId="1">'изменения июль вед стр-ра'!$13:$13</definedName>
    <definedName name="_xlnm.Print_Titles" localSheetId="4">'изменения июль вед стр-ра СНД'!$13:$13</definedName>
    <definedName name="_xlnm.Print_Titles" localSheetId="3">'изменения июль по разд'!$13:$13</definedName>
    <definedName name="_xlnm.Print_Titles" localSheetId="6">'изменения июль по разд СНД'!$13:$13</definedName>
    <definedName name="_xlnm.Print_Titles" localSheetId="2">'изменения июль программы'!$12:$12</definedName>
    <definedName name="_xlnm.Print_Titles" localSheetId="5">'изменения июль программы СНД'!$12:$12</definedName>
    <definedName name="_xlnm.Print_Titles" localSheetId="0">'первоначальный вед'!$9:$9</definedName>
    <definedName name="_xlnm.Print_Area" localSheetId="1">'изменения июль вед стр-ра'!$A$5:$I$627</definedName>
    <definedName name="_xlnm.Print_Area" localSheetId="4">'изменения июль вед стр-ра СНД'!$A$5:$I$627</definedName>
    <definedName name="_xlnm.Print_Area" localSheetId="3">'изменения июль по разд'!$A$5:$H$562</definedName>
    <definedName name="_xlnm.Print_Area" localSheetId="6">'изменения июль по разд СНД'!$A$5:$H$562</definedName>
    <definedName name="_xlnm.Print_Area" localSheetId="2">'изменения июль программы'!$A$5:$I$533</definedName>
    <definedName name="_xlnm.Print_Area" localSheetId="5">'изменения июль программы СНД'!$A$5:$I$533</definedName>
    <definedName name="_xlnm.Print_Area" localSheetId="0">'первоначальный вед'!$A$1:$I$629</definedName>
  </definedNames>
  <calcPr calcId="145621"/>
  <customWorkbookViews>
    <customWorkbookView name="referent - Личное представление" guid="{569C28AC-508A-42E7-9335-028897488E30}" mergeInterval="0" personalView="1" maximized="1" windowWidth="1148" windowHeight="665" activeSheetId="1"/>
    <customWorkbookView name="Татьяна - Личное представление" guid="{AB8DF83A-FB6E-48A4-952A-1147FB4C2AE7}" mergeInterval="0" personalView="1" maximized="1" windowWidth="1276" windowHeight="852" activeSheetId="1"/>
    <customWorkbookView name="1 - Личное представление" guid="{03BC1D99-56E3-404F-AC0E-FE8E84323C69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G542" i="23" l="1"/>
  <c r="G580" i="23"/>
  <c r="G273" i="23" l="1"/>
  <c r="G324" i="23"/>
  <c r="I534" i="29" l="1"/>
  <c r="I532" i="29"/>
  <c r="I484" i="29"/>
  <c r="I434" i="29"/>
  <c r="I433" i="29"/>
  <c r="I394" i="29"/>
  <c r="I393" i="29"/>
  <c r="I363" i="29"/>
  <c r="I329" i="29"/>
  <c r="I324" i="29"/>
  <c r="I320" i="29"/>
  <c r="I290" i="29"/>
  <c r="I285" i="29"/>
  <c r="I277" i="29"/>
  <c r="I258" i="29"/>
  <c r="I257" i="29"/>
  <c r="I223" i="29"/>
  <c r="I211" i="29"/>
  <c r="I210" i="29"/>
  <c r="I171" i="29"/>
  <c r="I133" i="29"/>
  <c r="I132" i="29"/>
  <c r="I121" i="29"/>
  <c r="I68" i="29"/>
  <c r="I27" i="29"/>
  <c r="Q629" i="27"/>
  <c r="P629" i="27"/>
  <c r="O629" i="27"/>
  <c r="N629" i="27"/>
  <c r="M629" i="27"/>
  <c r="L629" i="27"/>
  <c r="K629" i="27"/>
  <c r="J629" i="27"/>
  <c r="I625" i="27"/>
  <c r="H625" i="27"/>
  <c r="G625" i="27"/>
  <c r="Q570" i="27"/>
  <c r="P570" i="27"/>
  <c r="O570" i="27"/>
  <c r="N570" i="27"/>
  <c r="M570" i="27"/>
  <c r="L570" i="27"/>
  <c r="K570" i="27"/>
  <c r="J570" i="27"/>
  <c r="Q565" i="27"/>
  <c r="P565" i="27"/>
  <c r="O565" i="27"/>
  <c r="N565" i="27"/>
  <c r="M565" i="27"/>
  <c r="L565" i="27"/>
  <c r="K565" i="27"/>
  <c r="J565" i="27"/>
  <c r="Q551" i="27"/>
  <c r="P551" i="27"/>
  <c r="O551" i="27"/>
  <c r="N551" i="27"/>
  <c r="M551" i="27"/>
  <c r="L551" i="27"/>
  <c r="K551" i="27"/>
  <c r="J551" i="27"/>
  <c r="Q538" i="27"/>
  <c r="P538" i="27"/>
  <c r="O538" i="27"/>
  <c r="N538" i="27"/>
  <c r="M538" i="27"/>
  <c r="L538" i="27"/>
  <c r="K538" i="27"/>
  <c r="J538" i="27"/>
  <c r="Q515" i="27"/>
  <c r="P515" i="27"/>
  <c r="O515" i="27"/>
  <c r="N515" i="27"/>
  <c r="M515" i="27"/>
  <c r="L515" i="27"/>
  <c r="K515" i="27"/>
  <c r="J515" i="27"/>
  <c r="Q430" i="27"/>
  <c r="P430" i="27"/>
  <c r="O430" i="27"/>
  <c r="N430" i="27"/>
  <c r="M430" i="27"/>
  <c r="L430" i="27"/>
  <c r="K430" i="27"/>
  <c r="J430" i="27"/>
  <c r="Q383" i="27"/>
  <c r="P383" i="27"/>
  <c r="O383" i="27"/>
  <c r="N383" i="27"/>
  <c r="M383" i="27"/>
  <c r="L383" i="27"/>
  <c r="K383" i="27"/>
  <c r="J383" i="27"/>
  <c r="Q330" i="27"/>
  <c r="P330" i="27"/>
  <c r="O330" i="27"/>
  <c r="N330" i="27"/>
  <c r="M330" i="27"/>
  <c r="L330" i="27"/>
  <c r="K330" i="27"/>
  <c r="J330" i="27"/>
  <c r="Q63" i="27"/>
  <c r="P63" i="27"/>
  <c r="O63" i="27"/>
  <c r="O41" i="27" s="1"/>
  <c r="N63" i="27"/>
  <c r="N41" i="27" s="1"/>
  <c r="M63" i="27"/>
  <c r="L63" i="27"/>
  <c r="L41" i="27" s="1"/>
  <c r="K63" i="27"/>
  <c r="K41" i="27" s="1"/>
  <c r="J63" i="27"/>
  <c r="J41" i="27" s="1"/>
  <c r="Q41" i="27"/>
  <c r="P41" i="27"/>
  <c r="M41" i="27"/>
  <c r="G262" i="23"/>
  <c r="G261" i="23"/>
  <c r="F559" i="29" l="1"/>
  <c r="G559" i="29"/>
  <c r="H559" i="29"/>
  <c r="H626" i="27"/>
  <c r="G626" i="27"/>
  <c r="I626" i="27"/>
  <c r="G100" i="23" l="1"/>
  <c r="G99" i="23"/>
  <c r="G482" i="23" l="1"/>
  <c r="S631" i="23"/>
  <c r="G629" i="23"/>
  <c r="G491" i="23"/>
  <c r="G490" i="23"/>
  <c r="G286" i="23"/>
  <c r="G285" i="23"/>
  <c r="G488" i="23"/>
  <c r="G502" i="23"/>
  <c r="G501" i="23"/>
  <c r="G506" i="23"/>
  <c r="G456" i="23"/>
  <c r="G150" i="23" l="1"/>
  <c r="G104" i="23"/>
  <c r="F281" i="26" s="1"/>
  <c r="F280" i="26" s="1"/>
  <c r="F277" i="26" s="1"/>
  <c r="G396" i="23"/>
  <c r="G519" i="23"/>
  <c r="G281" i="26"/>
  <c r="H281" i="26"/>
  <c r="H280" i="26" s="1"/>
  <c r="H277" i="26" s="1"/>
  <c r="I277" i="26"/>
  <c r="G283" i="26"/>
  <c r="H283" i="26"/>
  <c r="G284" i="26"/>
  <c r="H284" i="26"/>
  <c r="F284" i="26"/>
  <c r="F283" i="26"/>
  <c r="G280" i="26"/>
  <c r="G277" i="26" s="1"/>
  <c r="H282" i="26"/>
  <c r="F282" i="26"/>
  <c r="H206" i="25"/>
  <c r="I206" i="25"/>
  <c r="I167" i="25"/>
  <c r="H168" i="25"/>
  <c r="H167" i="25" s="1"/>
  <c r="I168" i="25"/>
  <c r="G168" i="25"/>
  <c r="G167" i="25" s="1"/>
  <c r="H245" i="25"/>
  <c r="I245" i="25"/>
  <c r="H246" i="25"/>
  <c r="I246" i="25"/>
  <c r="G246" i="25"/>
  <c r="G245" i="25"/>
  <c r="G282" i="26" l="1"/>
  <c r="I244" i="25"/>
  <c r="H244" i="25"/>
  <c r="G244" i="25"/>
  <c r="G493" i="26" l="1"/>
  <c r="G492" i="26" s="1"/>
  <c r="H493" i="26"/>
  <c r="H492" i="26" s="1"/>
  <c r="F493" i="26"/>
  <c r="F492" i="26" s="1"/>
  <c r="H288" i="25"/>
  <c r="H287" i="25" s="1"/>
  <c r="H286" i="25" s="1"/>
  <c r="I288" i="25"/>
  <c r="I287" i="25" s="1"/>
  <c r="I286" i="25" s="1"/>
  <c r="G288" i="25"/>
  <c r="G287" i="25" s="1"/>
  <c r="G286" i="25" s="1"/>
  <c r="H516" i="23"/>
  <c r="I516" i="23"/>
  <c r="G516" i="23"/>
  <c r="G546" i="23"/>
  <c r="G608" i="23"/>
  <c r="G321" i="23"/>
  <c r="G328" i="23"/>
  <c r="G327" i="23"/>
  <c r="G326" i="23"/>
  <c r="G293" i="23"/>
  <c r="G270" i="23"/>
  <c r="G243" i="23"/>
  <c r="G242" i="23"/>
  <c r="G241" i="23"/>
  <c r="G110" i="23" l="1"/>
  <c r="G72" i="23"/>
  <c r="G27" i="23"/>
  <c r="G18" i="23"/>
  <c r="G47" i="23" l="1"/>
  <c r="G64" i="23"/>
  <c r="G183" i="23" l="1"/>
  <c r="G468" i="23"/>
  <c r="G467" i="23"/>
  <c r="G532" i="23"/>
  <c r="G421" i="23"/>
  <c r="G391" i="23"/>
  <c r="G256" i="23"/>
  <c r="G90" i="23"/>
  <c r="H535" i="26"/>
  <c r="G535" i="26"/>
  <c r="F535" i="26"/>
  <c r="H431" i="25"/>
  <c r="H430" i="25" s="1"/>
  <c r="I431" i="25"/>
  <c r="I430" i="25" s="1"/>
  <c r="G431" i="25"/>
  <c r="G430" i="25" s="1"/>
  <c r="G151" i="23"/>
  <c r="I151" i="23"/>
  <c r="H151" i="23"/>
  <c r="G326" i="26" l="1"/>
  <c r="G325" i="26" s="1"/>
  <c r="H326" i="26"/>
  <c r="H325" i="26" s="1"/>
  <c r="F326" i="26"/>
  <c r="F325" i="26" s="1"/>
  <c r="H264" i="25"/>
  <c r="H263" i="25" s="1"/>
  <c r="H262" i="25" s="1"/>
  <c r="I264" i="25"/>
  <c r="I263" i="25" s="1"/>
  <c r="I262" i="25" s="1"/>
  <c r="G264" i="25"/>
  <c r="G263" i="25" s="1"/>
  <c r="G262" i="25" s="1"/>
  <c r="H388" i="23"/>
  <c r="I388" i="23"/>
  <c r="G388" i="23"/>
  <c r="I304" i="23"/>
  <c r="I303" i="23"/>
  <c r="H304" i="23"/>
  <c r="H303" i="23"/>
  <c r="G304" i="23"/>
  <c r="G303" i="23"/>
  <c r="I629" i="23"/>
  <c r="H629" i="23"/>
  <c r="G290" i="26"/>
  <c r="G289" i="26" s="1"/>
  <c r="H290" i="26"/>
  <c r="H289" i="26" s="1"/>
  <c r="I290" i="26"/>
  <c r="F290" i="26"/>
  <c r="F289" i="26" s="1"/>
  <c r="H300" i="23"/>
  <c r="I300" i="23"/>
  <c r="G300" i="23"/>
  <c r="G239" i="23"/>
  <c r="G237" i="23"/>
  <c r="G266" i="23"/>
  <c r="G264" i="23"/>
  <c r="G352" i="23"/>
  <c r="G351" i="23"/>
  <c r="G350" i="23"/>
  <c r="G432" i="23"/>
  <c r="G529" i="23"/>
  <c r="G613" i="23"/>
  <c r="G610" i="23"/>
  <c r="G385" i="23" l="1"/>
  <c r="G387" i="23"/>
  <c r="G404" i="23" l="1"/>
  <c r="G401" i="23" l="1"/>
  <c r="G398" i="23"/>
  <c r="G376" i="23"/>
  <c r="G57" i="23"/>
  <c r="G28" i="23"/>
  <c r="G164" i="23"/>
  <c r="G161" i="23"/>
  <c r="G146" i="23"/>
  <c r="G431" i="23" l="1"/>
  <c r="G603" i="23" l="1"/>
  <c r="G557" i="23"/>
  <c r="G312" i="23" l="1"/>
  <c r="G435" i="23" l="1"/>
  <c r="G534" i="23"/>
  <c r="G195" i="26" l="1"/>
  <c r="H195" i="26"/>
  <c r="F195" i="26"/>
  <c r="H486" i="25"/>
  <c r="I486" i="25"/>
  <c r="G486" i="25"/>
  <c r="H601" i="23"/>
  <c r="I601" i="23"/>
  <c r="H179" i="23" l="1"/>
  <c r="I179" i="23"/>
  <c r="H76" i="23"/>
  <c r="I76" i="23"/>
  <c r="G76" i="23"/>
  <c r="G589" i="23" l="1"/>
  <c r="G563" i="23"/>
  <c r="G594" i="23"/>
  <c r="G561" i="23"/>
  <c r="G258" i="23" l="1"/>
  <c r="G528" i="23"/>
  <c r="G97" i="23" l="1"/>
  <c r="G96" i="23"/>
  <c r="G249" i="23" l="1"/>
  <c r="G311" i="23"/>
  <c r="G181" i="23"/>
  <c r="G179" i="23" s="1"/>
  <c r="G232" i="26" l="1"/>
  <c r="G231" i="26" s="1"/>
  <c r="H232" i="26"/>
  <c r="H231" i="26" s="1"/>
  <c r="F232" i="26"/>
  <c r="F231" i="26" s="1"/>
  <c r="H179" i="25"/>
  <c r="H178" i="25" s="1"/>
  <c r="I179" i="25"/>
  <c r="I178" i="25" s="1"/>
  <c r="G179" i="25"/>
  <c r="G178" i="25" s="1"/>
  <c r="I250" i="23"/>
  <c r="H250" i="23"/>
  <c r="G250" i="23"/>
  <c r="G146" i="26" l="1"/>
  <c r="G145" i="26" s="1"/>
  <c r="H146" i="26"/>
  <c r="H145" i="26" s="1"/>
  <c r="F146" i="26"/>
  <c r="F145" i="26" s="1"/>
  <c r="H120" i="25"/>
  <c r="H119" i="25" s="1"/>
  <c r="I120" i="25"/>
  <c r="I119" i="25" s="1"/>
  <c r="G120" i="25"/>
  <c r="I118" i="25"/>
  <c r="I117" i="25" s="1"/>
  <c r="H118" i="25"/>
  <c r="H117" i="25" s="1"/>
  <c r="G118" i="25"/>
  <c r="G117" i="25" s="1"/>
  <c r="I89" i="23"/>
  <c r="H89" i="23"/>
  <c r="G89" i="23"/>
  <c r="G154" i="23"/>
  <c r="H97" i="23"/>
  <c r="I40" i="23"/>
  <c r="H116" i="25" l="1"/>
  <c r="I116" i="25"/>
  <c r="G253" i="23"/>
  <c r="H205" i="25" l="1"/>
  <c r="H204" i="25" s="1"/>
  <c r="I205" i="25"/>
  <c r="I204" i="25" s="1"/>
  <c r="G244" i="23" l="1"/>
  <c r="G419" i="23"/>
  <c r="G418" i="23"/>
  <c r="G538" i="26"/>
  <c r="G537" i="26" s="1"/>
  <c r="H538" i="26"/>
  <c r="H537" i="26" s="1"/>
  <c r="F538" i="26"/>
  <c r="F537" i="26" s="1"/>
  <c r="H433" i="25"/>
  <c r="H432" i="25" s="1"/>
  <c r="I433" i="25"/>
  <c r="I432" i="25" s="1"/>
  <c r="G433" i="25"/>
  <c r="G432" i="25" s="1"/>
  <c r="I153" i="23"/>
  <c r="H153" i="23"/>
  <c r="G153" i="23"/>
  <c r="G144" i="23"/>
  <c r="G277" i="23"/>
  <c r="G276" i="23"/>
  <c r="G450" i="23" l="1"/>
  <c r="G449" i="23"/>
  <c r="G360" i="26"/>
  <c r="G359" i="26" s="1"/>
  <c r="H360" i="26"/>
  <c r="H359" i="26" s="1"/>
  <c r="F360" i="26"/>
  <c r="F359" i="26" s="1"/>
  <c r="H325" i="25"/>
  <c r="H324" i="25" s="1"/>
  <c r="I325" i="25"/>
  <c r="I324" i="25" s="1"/>
  <c r="G325" i="25"/>
  <c r="G324" i="25" s="1"/>
  <c r="H434" i="23"/>
  <c r="I434" i="23"/>
  <c r="G434" i="23"/>
  <c r="G113" i="26" l="1"/>
  <c r="G112" i="26" s="1"/>
  <c r="H113" i="26"/>
  <c r="H112" i="26" s="1"/>
  <c r="F113" i="26"/>
  <c r="F112" i="26" s="1"/>
  <c r="H86" i="25"/>
  <c r="H85" i="25" s="1"/>
  <c r="I86" i="25"/>
  <c r="I85" i="25" s="1"/>
  <c r="G86" i="25"/>
  <c r="G85" i="25" s="1"/>
  <c r="G246" i="23" l="1"/>
  <c r="G205" i="25" s="1"/>
  <c r="G204" i="25" s="1"/>
  <c r="G34" i="23" l="1"/>
  <c r="G40" i="23" l="1"/>
  <c r="G138" i="26"/>
  <c r="G137" i="26" s="1"/>
  <c r="H138" i="26"/>
  <c r="H137" i="26" s="1"/>
  <c r="F138" i="26"/>
  <c r="F137" i="26" s="1"/>
  <c r="H504" i="25"/>
  <c r="H503" i="25" s="1"/>
  <c r="I504" i="25"/>
  <c r="I503" i="25" s="1"/>
  <c r="G504" i="25"/>
  <c r="G503" i="25" s="1"/>
  <c r="H85" i="23"/>
  <c r="I85" i="23"/>
  <c r="G85" i="23"/>
  <c r="G406" i="23" l="1"/>
  <c r="G169" i="23" l="1"/>
  <c r="G199" i="23"/>
  <c r="G289" i="23"/>
  <c r="G232" i="23"/>
  <c r="G233" i="23"/>
  <c r="G254" i="23"/>
  <c r="G578" i="23"/>
  <c r="G567" i="23"/>
  <c r="G569" i="23"/>
  <c r="G78" i="23" l="1"/>
  <c r="G108" i="26"/>
  <c r="G107" i="26" s="1"/>
  <c r="H108" i="26"/>
  <c r="H107" i="26" s="1"/>
  <c r="F108" i="26"/>
  <c r="F107" i="26" s="1"/>
  <c r="H80" i="25"/>
  <c r="H79" i="25" s="1"/>
  <c r="I80" i="25"/>
  <c r="I79" i="25" s="1"/>
  <c r="G80" i="25"/>
  <c r="G79" i="25" s="1"/>
  <c r="H71" i="23"/>
  <c r="I71" i="23"/>
  <c r="G71" i="23"/>
  <c r="I608" i="23"/>
  <c r="H608" i="23"/>
  <c r="I546" i="23"/>
  <c r="H546" i="23"/>
  <c r="J634" i="23"/>
  <c r="K634" i="23"/>
  <c r="L634" i="23"/>
  <c r="M634" i="23"/>
  <c r="N634" i="23"/>
  <c r="O634" i="23"/>
  <c r="P634" i="23"/>
  <c r="Q634" i="23"/>
  <c r="G116" i="26"/>
  <c r="H116" i="26"/>
  <c r="F116" i="26"/>
  <c r="H89" i="25"/>
  <c r="I89" i="25"/>
  <c r="G89" i="25"/>
  <c r="I79" i="23"/>
  <c r="I78" i="23" s="1"/>
  <c r="H79" i="23"/>
  <c r="H78" i="23" s="1"/>
  <c r="F111" i="26"/>
  <c r="I75" i="23"/>
  <c r="H111" i="26" s="1"/>
  <c r="H75" i="23"/>
  <c r="G111" i="26" s="1"/>
  <c r="I74" i="23"/>
  <c r="H74" i="23"/>
  <c r="I70" i="23"/>
  <c r="H70" i="23"/>
  <c r="G70" i="23"/>
  <c r="I69" i="23"/>
  <c r="H69" i="23"/>
  <c r="G69" i="23"/>
  <c r="I68" i="23"/>
  <c r="H68" i="23"/>
  <c r="G68" i="23"/>
  <c r="H73" i="23" l="1"/>
  <c r="I73" i="23"/>
  <c r="G500" i="26"/>
  <c r="H500" i="26"/>
  <c r="G501" i="26"/>
  <c r="H501" i="26"/>
  <c r="G502" i="26"/>
  <c r="H502" i="26"/>
  <c r="F502" i="26"/>
  <c r="F500" i="26"/>
  <c r="H295" i="25"/>
  <c r="I295" i="25"/>
  <c r="H296" i="25"/>
  <c r="I296" i="25"/>
  <c r="H297" i="25"/>
  <c r="I297" i="25"/>
  <c r="H298" i="25"/>
  <c r="I298" i="25"/>
  <c r="G297" i="25"/>
  <c r="G295" i="25"/>
  <c r="H125" i="23"/>
  <c r="I125" i="23"/>
  <c r="G125" i="23"/>
  <c r="G524" i="23"/>
  <c r="I294" i="25" l="1"/>
  <c r="H294" i="25"/>
  <c r="G167" i="26"/>
  <c r="G166" i="26" s="1"/>
  <c r="H167" i="26"/>
  <c r="H166" i="26" s="1"/>
  <c r="F167" i="26"/>
  <c r="F166" i="26" s="1"/>
  <c r="H439" i="25"/>
  <c r="H438" i="25" s="1"/>
  <c r="I439" i="25"/>
  <c r="I438" i="25" s="1"/>
  <c r="G439" i="25"/>
  <c r="G438" i="25" s="1"/>
  <c r="H573" i="23"/>
  <c r="I573" i="23"/>
  <c r="G573" i="23"/>
  <c r="G276" i="26"/>
  <c r="G275" i="26" s="1"/>
  <c r="H276" i="26"/>
  <c r="H275" i="26" s="1"/>
  <c r="F276" i="26"/>
  <c r="F275" i="26" s="1"/>
  <c r="H154" i="25"/>
  <c r="H153" i="25" s="1"/>
  <c r="I154" i="25"/>
  <c r="I153" i="25" s="1"/>
  <c r="G154" i="25"/>
  <c r="G153" i="25" s="1"/>
  <c r="H294" i="23"/>
  <c r="I294" i="23"/>
  <c r="G294" i="23"/>
  <c r="G118" i="23" l="1"/>
  <c r="J330" i="23" l="1"/>
  <c r="K330" i="23"/>
  <c r="L330" i="23"/>
  <c r="M330" i="23"/>
  <c r="N330" i="23"/>
  <c r="O330" i="23"/>
  <c r="P330" i="23"/>
  <c r="Q330" i="23"/>
  <c r="H365" i="23"/>
  <c r="H364" i="23" s="1"/>
  <c r="I365" i="23"/>
  <c r="I364" i="23" s="1"/>
  <c r="G365" i="23"/>
  <c r="G364" i="23" s="1"/>
  <c r="G162" i="23" l="1"/>
  <c r="G51" i="23"/>
  <c r="I223" i="26" l="1"/>
  <c r="G224" i="26"/>
  <c r="G223" i="26" s="1"/>
  <c r="H224" i="26"/>
  <c r="H223" i="26" s="1"/>
  <c r="F224" i="26"/>
  <c r="F223" i="26" s="1"/>
  <c r="H245" i="23" l="1"/>
  <c r="I245" i="23"/>
  <c r="G245" i="23"/>
  <c r="G29" i="23"/>
  <c r="G148" i="26"/>
  <c r="G147" i="26" s="1"/>
  <c r="H148" i="26"/>
  <c r="H147" i="26" s="1"/>
  <c r="F148" i="26"/>
  <c r="F147" i="26" s="1"/>
  <c r="G119" i="25"/>
  <c r="G116" i="25" s="1"/>
  <c r="H91" i="23"/>
  <c r="I91" i="23"/>
  <c r="G91" i="23"/>
  <c r="G74" i="23"/>
  <c r="G73" i="23" s="1"/>
  <c r="G380" i="26"/>
  <c r="H380" i="26"/>
  <c r="F380" i="26"/>
  <c r="H99" i="25"/>
  <c r="I99" i="25"/>
  <c r="G99" i="25"/>
  <c r="H198" i="23"/>
  <c r="H197" i="23" s="1"/>
  <c r="I198" i="23"/>
  <c r="I197" i="23" s="1"/>
  <c r="G198" i="23"/>
  <c r="G197" i="23" s="1"/>
  <c r="G306" i="23"/>
  <c r="G274" i="23"/>
  <c r="G235" i="23"/>
  <c r="G236" i="26"/>
  <c r="G235" i="26" s="1"/>
  <c r="H236" i="26"/>
  <c r="H235" i="26" s="1"/>
  <c r="F236" i="26"/>
  <c r="F235" i="26" s="1"/>
  <c r="G230" i="26"/>
  <c r="G229" i="26" s="1"/>
  <c r="H230" i="26"/>
  <c r="H229" i="26" s="1"/>
  <c r="F230" i="26"/>
  <c r="F229" i="26" s="1"/>
  <c r="H181" i="25"/>
  <c r="H180" i="25" s="1"/>
  <c r="I181" i="25"/>
  <c r="I180" i="25" s="1"/>
  <c r="G181" i="25"/>
  <c r="G180" i="25" s="1"/>
  <c r="H177" i="25"/>
  <c r="H176" i="25" s="1"/>
  <c r="I177" i="25"/>
  <c r="I176" i="25" s="1"/>
  <c r="G177" i="25"/>
  <c r="G176" i="25" s="1"/>
  <c r="G257" i="23"/>
  <c r="I257" i="23"/>
  <c r="H257" i="23"/>
  <c r="G248" i="23"/>
  <c r="I248" i="23"/>
  <c r="H248" i="23"/>
  <c r="G169" i="26" l="1"/>
  <c r="G168" i="26" s="1"/>
  <c r="H169" i="26"/>
  <c r="H168" i="26" s="1"/>
  <c r="F169" i="26"/>
  <c r="F168" i="26" s="1"/>
  <c r="H441" i="25"/>
  <c r="H440" i="25" s="1"/>
  <c r="I441" i="25"/>
  <c r="I440" i="25" s="1"/>
  <c r="G441" i="25"/>
  <c r="G440" i="25" s="1"/>
  <c r="I575" i="23"/>
  <c r="H575" i="23"/>
  <c r="G575" i="23"/>
  <c r="H578" i="23" l="1"/>
  <c r="H590" i="23"/>
  <c r="H589" i="23"/>
  <c r="H594" i="23"/>
  <c r="G601" i="23"/>
  <c r="G142" i="23" l="1"/>
  <c r="G234" i="26"/>
  <c r="G233" i="26" s="1"/>
  <c r="H234" i="26"/>
  <c r="H233" i="26" s="1"/>
  <c r="H183" i="25"/>
  <c r="H182" i="25" s="1"/>
  <c r="I183" i="25"/>
  <c r="I182" i="25" s="1"/>
  <c r="H255" i="23"/>
  <c r="I255" i="23"/>
  <c r="F234" i="26"/>
  <c r="F233" i="26" s="1"/>
  <c r="G515" i="26"/>
  <c r="G514" i="26" s="1"/>
  <c r="H515" i="26"/>
  <c r="H514" i="26" s="1"/>
  <c r="F515" i="26"/>
  <c r="F514" i="26" s="1"/>
  <c r="H317" i="25"/>
  <c r="H316" i="25" s="1"/>
  <c r="H315" i="25" s="1"/>
  <c r="I317" i="25"/>
  <c r="I316" i="25" s="1"/>
  <c r="I315" i="25" s="1"/>
  <c r="G317" i="25"/>
  <c r="G316" i="25" s="1"/>
  <c r="G315" i="25" s="1"/>
  <c r="J515" i="23"/>
  <c r="K515" i="23"/>
  <c r="L515" i="23"/>
  <c r="M515" i="23"/>
  <c r="N515" i="23"/>
  <c r="O515" i="23"/>
  <c r="P515" i="23"/>
  <c r="Q515" i="23"/>
  <c r="H531" i="23"/>
  <c r="I531" i="23"/>
  <c r="G531" i="23"/>
  <c r="G255" i="23" l="1"/>
  <c r="G183" i="25"/>
  <c r="G182" i="25" s="1"/>
  <c r="G429" i="23" l="1"/>
  <c r="G255" i="26" l="1"/>
  <c r="H255" i="26"/>
  <c r="F255" i="26"/>
  <c r="H157" i="25"/>
  <c r="I157" i="25"/>
  <c r="G157" i="25"/>
  <c r="I275" i="23"/>
  <c r="G275" i="23"/>
  <c r="G114" i="23" l="1"/>
  <c r="G112" i="23"/>
  <c r="G108" i="23"/>
  <c r="G371" i="23" l="1"/>
  <c r="I329" i="26" l="1"/>
  <c r="G330" i="26"/>
  <c r="G329" i="26" s="1"/>
  <c r="H330" i="26"/>
  <c r="H329" i="26" s="1"/>
  <c r="F330" i="26"/>
  <c r="F329" i="26" s="1"/>
  <c r="H268" i="25"/>
  <c r="H267" i="25" s="1"/>
  <c r="I268" i="25"/>
  <c r="I267" i="25" s="1"/>
  <c r="G268" i="25"/>
  <c r="G267" i="25" s="1"/>
  <c r="I392" i="23"/>
  <c r="H392" i="23"/>
  <c r="G392" i="23"/>
  <c r="G509" i="23" l="1"/>
  <c r="G497" i="23"/>
  <c r="G447" i="23"/>
  <c r="G499" i="19"/>
  <c r="G502" i="19"/>
  <c r="G489" i="19"/>
  <c r="G433" i="19"/>
  <c r="G117" i="19"/>
  <c r="G115" i="19"/>
  <c r="G111" i="19"/>
  <c r="G83" i="26" l="1"/>
  <c r="H83" i="26"/>
  <c r="F83" i="26"/>
  <c r="H60" i="25"/>
  <c r="I60" i="25"/>
  <c r="G60" i="25"/>
  <c r="H541" i="23"/>
  <c r="H540" i="23" s="1"/>
  <c r="H539" i="23" s="1"/>
  <c r="I541" i="23"/>
  <c r="I540" i="23" s="1"/>
  <c r="I539" i="23" s="1"/>
  <c r="G541" i="23"/>
  <c r="G540" i="23" s="1"/>
  <c r="G539" i="23" s="1"/>
  <c r="G152" i="26"/>
  <c r="G151" i="26" s="1"/>
  <c r="H152" i="26"/>
  <c r="H151" i="26" s="1"/>
  <c r="F152" i="26"/>
  <c r="F151" i="26" s="1"/>
  <c r="H126" i="25"/>
  <c r="H125" i="25" s="1"/>
  <c r="I126" i="25"/>
  <c r="I125" i="25" s="1"/>
  <c r="G126" i="25"/>
  <c r="G125" i="25" s="1"/>
  <c r="J565" i="23"/>
  <c r="K565" i="23"/>
  <c r="L565" i="23"/>
  <c r="M565" i="23"/>
  <c r="N565" i="23"/>
  <c r="O565" i="23"/>
  <c r="P565" i="23"/>
  <c r="Q565" i="23"/>
  <c r="H568" i="23"/>
  <c r="I568" i="23"/>
  <c r="G568" i="23"/>
  <c r="G171" i="26" l="1"/>
  <c r="H171" i="26"/>
  <c r="I171" i="26"/>
  <c r="H164" i="26"/>
  <c r="G165" i="26"/>
  <c r="G164" i="26" s="1"/>
  <c r="F165" i="26"/>
  <c r="F164" i="26" s="1"/>
  <c r="H437" i="25"/>
  <c r="H436" i="25" s="1"/>
  <c r="I437" i="25"/>
  <c r="I436" i="25" s="1"/>
  <c r="G437" i="25"/>
  <c r="G436" i="25" s="1"/>
  <c r="G341" i="23"/>
  <c r="G340" i="23"/>
  <c r="J570" i="23"/>
  <c r="K570" i="23"/>
  <c r="L570" i="23"/>
  <c r="M570" i="23"/>
  <c r="N570" i="23"/>
  <c r="O570" i="23"/>
  <c r="P570" i="23"/>
  <c r="Q570" i="23"/>
  <c r="I571" i="23"/>
  <c r="H571" i="23"/>
  <c r="G571" i="23"/>
  <c r="G343" i="23" l="1"/>
  <c r="G358" i="23"/>
  <c r="I132" i="26" l="1"/>
  <c r="I121" i="26" s="1"/>
  <c r="G133" i="26"/>
  <c r="H133" i="26"/>
  <c r="I133" i="26"/>
  <c r="G131" i="26"/>
  <c r="G130" i="26" s="1"/>
  <c r="H131" i="26"/>
  <c r="H130" i="26" s="1"/>
  <c r="F131" i="26"/>
  <c r="F130" i="26" s="1"/>
  <c r="H562" i="23"/>
  <c r="G132" i="26" s="1"/>
  <c r="I562" i="23"/>
  <c r="H132" i="26" s="1"/>
  <c r="F133" i="26"/>
  <c r="G560" i="23"/>
  <c r="I560" i="23"/>
  <c r="H560" i="23"/>
  <c r="G511" i="25"/>
  <c r="G562" i="23" l="1"/>
  <c r="F132" i="26" s="1"/>
  <c r="G508" i="25"/>
  <c r="I135" i="23"/>
  <c r="I557" i="23"/>
  <c r="G189" i="23" l="1"/>
  <c r="G171" i="23"/>
  <c r="G178" i="23"/>
  <c r="G175" i="23"/>
  <c r="G176" i="23"/>
  <c r="G409" i="23" l="1"/>
  <c r="G405" i="23"/>
  <c r="G590" i="23" l="1"/>
  <c r="G611" i="23"/>
  <c r="F558" i="26"/>
  <c r="G553" i="23"/>
  <c r="G555" i="23"/>
  <c r="G541" i="26" l="1"/>
  <c r="H541" i="26"/>
  <c r="F541" i="26"/>
  <c r="H424" i="25"/>
  <c r="I424" i="25"/>
  <c r="G424" i="25"/>
  <c r="G158" i="23"/>
  <c r="G156" i="23" s="1"/>
  <c r="F540" i="26" s="1"/>
  <c r="H156" i="23"/>
  <c r="G540" i="26" s="1"/>
  <c r="I156" i="23"/>
  <c r="H540" i="26" s="1"/>
  <c r="H423" i="25" l="1"/>
  <c r="I423" i="25"/>
  <c r="G423" i="25"/>
  <c r="G265" i="23"/>
  <c r="G260" i="23"/>
  <c r="G322" i="23"/>
  <c r="G621" i="23"/>
  <c r="G619" i="23"/>
  <c r="G535" i="23" l="1"/>
  <c r="G552" i="26" l="1"/>
  <c r="H552" i="26"/>
  <c r="F552" i="26"/>
  <c r="G542" i="26"/>
  <c r="H542" i="26"/>
  <c r="F542" i="26"/>
  <c r="I534" i="26"/>
  <c r="G532" i="26"/>
  <c r="H532" i="26"/>
  <c r="I532" i="26"/>
  <c r="F532" i="26"/>
  <c r="G528" i="26"/>
  <c r="H528" i="26"/>
  <c r="G524" i="26"/>
  <c r="H524" i="26"/>
  <c r="G520" i="26"/>
  <c r="H520" i="26"/>
  <c r="F520" i="26"/>
  <c r="G517" i="26"/>
  <c r="H517" i="26"/>
  <c r="G518" i="26"/>
  <c r="H518" i="26"/>
  <c r="F518" i="26"/>
  <c r="G512" i="26"/>
  <c r="H512" i="26"/>
  <c r="G513" i="26"/>
  <c r="H513" i="26"/>
  <c r="F512" i="26"/>
  <c r="F513" i="26"/>
  <c r="G509" i="26"/>
  <c r="H509" i="26"/>
  <c r="F509" i="26"/>
  <c r="G507" i="26"/>
  <c r="H507" i="26"/>
  <c r="F507" i="26"/>
  <c r="G505" i="26"/>
  <c r="H505" i="26"/>
  <c r="F505" i="26"/>
  <c r="G503" i="26"/>
  <c r="G499" i="26" s="1"/>
  <c r="H503" i="26"/>
  <c r="H499" i="26" s="1"/>
  <c r="F503" i="26"/>
  <c r="F501" i="26"/>
  <c r="F498" i="26"/>
  <c r="G495" i="26"/>
  <c r="H495" i="26"/>
  <c r="G496" i="26"/>
  <c r="H496" i="26"/>
  <c r="G490" i="26"/>
  <c r="H490" i="26"/>
  <c r="G491" i="26"/>
  <c r="H491" i="26"/>
  <c r="F491" i="26"/>
  <c r="F490" i="26"/>
  <c r="G486" i="26"/>
  <c r="H486" i="26"/>
  <c r="G487" i="26"/>
  <c r="H487" i="26"/>
  <c r="F487" i="26"/>
  <c r="F486" i="26"/>
  <c r="G484" i="26"/>
  <c r="H484" i="26"/>
  <c r="I484" i="26"/>
  <c r="F484" i="26"/>
  <c r="G481" i="26"/>
  <c r="H481" i="26"/>
  <c r="G482" i="26"/>
  <c r="H482" i="26"/>
  <c r="F482" i="26"/>
  <c r="F481" i="26"/>
  <c r="G479" i="26"/>
  <c r="H479" i="26"/>
  <c r="F479" i="26"/>
  <c r="G476" i="26"/>
  <c r="H476" i="26"/>
  <c r="G477" i="26"/>
  <c r="H477" i="26"/>
  <c r="F477" i="26"/>
  <c r="F476" i="26"/>
  <c r="G474" i="26"/>
  <c r="F474" i="26"/>
  <c r="G472" i="26"/>
  <c r="H472" i="26"/>
  <c r="F472" i="26"/>
  <c r="G468" i="26"/>
  <c r="H468" i="26"/>
  <c r="F468" i="26"/>
  <c r="G464" i="26"/>
  <c r="H464" i="26"/>
  <c r="G465" i="26"/>
  <c r="H465" i="26"/>
  <c r="G466" i="26"/>
  <c r="H466" i="26"/>
  <c r="F466" i="26"/>
  <c r="F465" i="26"/>
  <c r="F464" i="26"/>
  <c r="G462" i="26"/>
  <c r="H462" i="26"/>
  <c r="F462" i="26"/>
  <c r="G460" i="26"/>
  <c r="H460" i="26"/>
  <c r="G458" i="26"/>
  <c r="H458" i="26"/>
  <c r="F458" i="26"/>
  <c r="G455" i="26"/>
  <c r="H455" i="26"/>
  <c r="G456" i="26"/>
  <c r="H456" i="26"/>
  <c r="F456" i="26"/>
  <c r="F455" i="26"/>
  <c r="G453" i="26"/>
  <c r="H453" i="26"/>
  <c r="G448" i="26"/>
  <c r="H448" i="26"/>
  <c r="G449" i="26"/>
  <c r="H449" i="26"/>
  <c r="G450" i="26"/>
  <c r="H450" i="26"/>
  <c r="F449" i="26"/>
  <c r="F450" i="26"/>
  <c r="F448" i="26"/>
  <c r="G442" i="26"/>
  <c r="H442" i="26"/>
  <c r="G443" i="26"/>
  <c r="H443" i="26"/>
  <c r="F443" i="26"/>
  <c r="F442" i="26"/>
  <c r="G439" i="26"/>
  <c r="H439" i="26"/>
  <c r="G440" i="26"/>
  <c r="H440" i="26"/>
  <c r="F440" i="26"/>
  <c r="F439" i="26"/>
  <c r="G436" i="26"/>
  <c r="H436" i="26"/>
  <c r="G437" i="26"/>
  <c r="H437" i="26"/>
  <c r="F437" i="26"/>
  <c r="F436" i="26"/>
  <c r="I433" i="26"/>
  <c r="G434" i="26"/>
  <c r="H434" i="26"/>
  <c r="I434" i="26"/>
  <c r="F434" i="26"/>
  <c r="G431" i="26"/>
  <c r="H431" i="26"/>
  <c r="F431" i="26"/>
  <c r="G429" i="26"/>
  <c r="H429" i="26"/>
  <c r="F429" i="26"/>
  <c r="G422" i="26"/>
  <c r="H422" i="26"/>
  <c r="G423" i="26"/>
  <c r="H423" i="26"/>
  <c r="F423" i="26"/>
  <c r="F422" i="26"/>
  <c r="G407" i="26"/>
  <c r="H407" i="26"/>
  <c r="G408" i="26"/>
  <c r="H408" i="26"/>
  <c r="F408" i="26"/>
  <c r="F407" i="26"/>
  <c r="G405" i="26"/>
  <c r="H405" i="26"/>
  <c r="F405" i="26"/>
  <c r="G401" i="26"/>
  <c r="H401" i="26"/>
  <c r="G402" i="26"/>
  <c r="H402" i="26"/>
  <c r="G398" i="26"/>
  <c r="H398" i="26"/>
  <c r="G399" i="26"/>
  <c r="H399" i="26"/>
  <c r="F399" i="26"/>
  <c r="F398" i="26"/>
  <c r="G396" i="26"/>
  <c r="H396" i="26"/>
  <c r="F396" i="26"/>
  <c r="G393" i="26"/>
  <c r="H393" i="26"/>
  <c r="I393" i="26"/>
  <c r="I394" i="26"/>
  <c r="F393" i="26"/>
  <c r="G391" i="26"/>
  <c r="H391" i="26"/>
  <c r="F391" i="26"/>
  <c r="G389" i="26"/>
  <c r="H389" i="26"/>
  <c r="F389" i="26"/>
  <c r="G384" i="26"/>
  <c r="H384" i="26"/>
  <c r="F384" i="26"/>
  <c r="G382" i="26"/>
  <c r="H382" i="26"/>
  <c r="F382" i="26"/>
  <c r="G378" i="26"/>
  <c r="H378" i="26"/>
  <c r="G374" i="26"/>
  <c r="H374" i="26"/>
  <c r="G369" i="26"/>
  <c r="H369" i="26"/>
  <c r="F369" i="26"/>
  <c r="G441" i="23"/>
  <c r="F366" i="26" s="1"/>
  <c r="F499" i="26" l="1"/>
  <c r="G362" i="26"/>
  <c r="H362" i="26"/>
  <c r="F362" i="26"/>
  <c r="G358" i="26"/>
  <c r="H358" i="26"/>
  <c r="F358" i="26"/>
  <c r="G350" i="26"/>
  <c r="H350" i="26"/>
  <c r="G351" i="26"/>
  <c r="H351" i="26"/>
  <c r="F351" i="26"/>
  <c r="F350" i="26"/>
  <c r="G345" i="26"/>
  <c r="H345" i="26"/>
  <c r="G346" i="26"/>
  <c r="H346" i="26"/>
  <c r="F346" i="26"/>
  <c r="G341" i="26"/>
  <c r="H341" i="26"/>
  <c r="G342" i="26"/>
  <c r="H342" i="26"/>
  <c r="G343" i="26"/>
  <c r="H343" i="26"/>
  <c r="F342" i="26"/>
  <c r="F343" i="26"/>
  <c r="F341" i="26"/>
  <c r="G337" i="26"/>
  <c r="H337" i="26"/>
  <c r="F337" i="26"/>
  <c r="G335" i="26"/>
  <c r="H335" i="26"/>
  <c r="G332" i="26"/>
  <c r="H332" i="26"/>
  <c r="F332" i="26"/>
  <c r="G328" i="26"/>
  <c r="H328" i="26"/>
  <c r="F328" i="26"/>
  <c r="G324" i="26"/>
  <c r="H324" i="26"/>
  <c r="I324" i="26"/>
  <c r="F324" i="26"/>
  <c r="G315" i="26"/>
  <c r="H315" i="26"/>
  <c r="G316" i="26"/>
  <c r="H316" i="26"/>
  <c r="H317" i="26"/>
  <c r="G318" i="26"/>
  <c r="H318" i="26"/>
  <c r="F316" i="26"/>
  <c r="F317" i="26"/>
  <c r="F318" i="26"/>
  <c r="F315" i="26"/>
  <c r="F313" i="26"/>
  <c r="G310" i="26"/>
  <c r="H310" i="26"/>
  <c r="G311" i="26"/>
  <c r="H311" i="26"/>
  <c r="F311" i="26"/>
  <c r="F310" i="26"/>
  <c r="G306" i="26"/>
  <c r="H306" i="26"/>
  <c r="G307" i="26"/>
  <c r="H307" i="26"/>
  <c r="G308" i="26"/>
  <c r="H308" i="26"/>
  <c r="F307" i="26"/>
  <c r="F308" i="26"/>
  <c r="F306" i="26"/>
  <c r="G303" i="26"/>
  <c r="H303" i="26"/>
  <c r="G304" i="26"/>
  <c r="H304" i="26"/>
  <c r="F304" i="26"/>
  <c r="F303" i="26"/>
  <c r="G300" i="26"/>
  <c r="H300" i="26"/>
  <c r="G301" i="26"/>
  <c r="H301" i="26"/>
  <c r="F301" i="26"/>
  <c r="F300" i="26"/>
  <c r="G298" i="26"/>
  <c r="H298" i="26"/>
  <c r="F298" i="26"/>
  <c r="G296" i="26"/>
  <c r="H296" i="26"/>
  <c r="F296" i="26"/>
  <c r="G292" i="26"/>
  <c r="H292" i="26"/>
  <c r="F292" i="26"/>
  <c r="G287" i="26"/>
  <c r="H287" i="26"/>
  <c r="G288" i="26"/>
  <c r="H288" i="26"/>
  <c r="F288" i="26"/>
  <c r="F287" i="26"/>
  <c r="G279" i="26" l="1"/>
  <c r="H279" i="26"/>
  <c r="F279" i="26"/>
  <c r="G273" i="26"/>
  <c r="H273" i="26"/>
  <c r="F273" i="26"/>
  <c r="G271" i="26"/>
  <c r="H271" i="26"/>
  <c r="F271" i="26"/>
  <c r="H269" i="26"/>
  <c r="G269" i="26"/>
  <c r="G263" i="26"/>
  <c r="H263" i="26"/>
  <c r="G264" i="26"/>
  <c r="H264" i="26"/>
  <c r="F264" i="26"/>
  <c r="F263" i="26"/>
  <c r="G260" i="26"/>
  <c r="H260" i="26"/>
  <c r="G261" i="26"/>
  <c r="H261" i="26"/>
  <c r="F261" i="26"/>
  <c r="F260" i="26"/>
  <c r="G257" i="26"/>
  <c r="H257" i="26"/>
  <c r="I257" i="26"/>
  <c r="I258" i="26"/>
  <c r="F257" i="26"/>
  <c r="H254" i="26"/>
  <c r="H253" i="26" s="1"/>
  <c r="G250" i="26"/>
  <c r="H250" i="26"/>
  <c r="G252" i="26"/>
  <c r="H252" i="26"/>
  <c r="F251" i="26"/>
  <c r="F252" i="26"/>
  <c r="F250" i="26"/>
  <c r="F248" i="26"/>
  <c r="G246" i="26"/>
  <c r="H246" i="26"/>
  <c r="F246" i="26"/>
  <c r="G240" i="26"/>
  <c r="H240" i="26"/>
  <c r="F240" i="26"/>
  <c r="G219" i="26"/>
  <c r="H219" i="26"/>
  <c r="G222" i="26"/>
  <c r="H222" i="26"/>
  <c r="F220" i="26"/>
  <c r="F221" i="26"/>
  <c r="F222" i="26"/>
  <c r="F219" i="26"/>
  <c r="G213" i="26"/>
  <c r="H213" i="26"/>
  <c r="F213" i="26"/>
  <c r="I210" i="26"/>
  <c r="I211" i="26"/>
  <c r="G206" i="26"/>
  <c r="H206" i="26"/>
  <c r="G203" i="26"/>
  <c r="H203" i="26"/>
  <c r="G204" i="26"/>
  <c r="H204" i="26"/>
  <c r="F204" i="26"/>
  <c r="F203" i="26"/>
  <c r="G201" i="26"/>
  <c r="H201" i="26"/>
  <c r="G198" i="26"/>
  <c r="H198" i="26"/>
  <c r="F198" i="26"/>
  <c r="G196" i="26"/>
  <c r="G194" i="26" s="1"/>
  <c r="H196" i="26"/>
  <c r="H194" i="26" s="1"/>
  <c r="G193" i="26"/>
  <c r="H193" i="26"/>
  <c r="F193" i="26"/>
  <c r="G191" i="26"/>
  <c r="H191" i="26"/>
  <c r="F191" i="26"/>
  <c r="G189" i="26"/>
  <c r="H189" i="26"/>
  <c r="F189" i="26"/>
  <c r="H187" i="26"/>
  <c r="G185" i="26"/>
  <c r="H185" i="26"/>
  <c r="F185" i="26"/>
  <c r="H182" i="26"/>
  <c r="H183" i="26"/>
  <c r="G179" i="26"/>
  <c r="H179" i="26"/>
  <c r="F179" i="26"/>
  <c r="G177" i="26"/>
  <c r="H177" i="26"/>
  <c r="F177" i="26"/>
  <c r="G175" i="26"/>
  <c r="H175" i="26"/>
  <c r="G173" i="26"/>
  <c r="H173" i="26"/>
  <c r="F173" i="26"/>
  <c r="G162" i="26"/>
  <c r="H162" i="26"/>
  <c r="F162" i="26"/>
  <c r="G160" i="26"/>
  <c r="H160" i="26"/>
  <c r="F160" i="26"/>
  <c r="G157" i="26"/>
  <c r="H157" i="26"/>
  <c r="G158" i="26"/>
  <c r="H158" i="26"/>
  <c r="F158" i="26"/>
  <c r="F157" i="26"/>
  <c r="G154" i="26"/>
  <c r="H154" i="26"/>
  <c r="G155" i="26"/>
  <c r="H155" i="26"/>
  <c r="F155" i="26"/>
  <c r="F154" i="26"/>
  <c r="G150" i="26"/>
  <c r="H150" i="26"/>
  <c r="F150" i="26"/>
  <c r="G142" i="26"/>
  <c r="H142" i="26"/>
  <c r="G140" i="26"/>
  <c r="H140" i="26"/>
  <c r="G136" i="26"/>
  <c r="H136" i="26"/>
  <c r="F136" i="26"/>
  <c r="G129" i="26"/>
  <c r="H129" i="26"/>
  <c r="F129" i="26"/>
  <c r="H127" i="26"/>
  <c r="G127" i="26"/>
  <c r="G125" i="26"/>
  <c r="H125" i="26"/>
  <c r="F125" i="26"/>
  <c r="G123" i="26"/>
  <c r="H123" i="26"/>
  <c r="F123" i="26"/>
  <c r="G120" i="26"/>
  <c r="H120" i="26"/>
  <c r="F120" i="26"/>
  <c r="G115" i="26"/>
  <c r="G114" i="26" s="1"/>
  <c r="H115" i="26"/>
  <c r="H114" i="26" s="1"/>
  <c r="F115" i="26"/>
  <c r="F114" i="26" s="1"/>
  <c r="G110" i="26"/>
  <c r="G109" i="26" s="1"/>
  <c r="H110" i="26"/>
  <c r="H109" i="26" s="1"/>
  <c r="F110" i="26"/>
  <c r="G106" i="26"/>
  <c r="H106" i="26"/>
  <c r="F106" i="26"/>
  <c r="G102" i="26"/>
  <c r="H102" i="26"/>
  <c r="G104" i="26"/>
  <c r="H104" i="26"/>
  <c r="F104" i="26"/>
  <c r="G98" i="26"/>
  <c r="H98" i="26"/>
  <c r="F98" i="26"/>
  <c r="G93" i="26"/>
  <c r="H93" i="26"/>
  <c r="F93" i="26"/>
  <c r="G88" i="26"/>
  <c r="H88" i="26"/>
  <c r="G89" i="26"/>
  <c r="H89" i="26"/>
  <c r="F88" i="26"/>
  <c r="G86" i="26"/>
  <c r="H86" i="26"/>
  <c r="G82" i="26"/>
  <c r="H82" i="26"/>
  <c r="G84" i="26"/>
  <c r="H84" i="26"/>
  <c r="F84" i="26"/>
  <c r="F82" i="26"/>
  <c r="G80" i="26"/>
  <c r="H80" i="26"/>
  <c r="F80" i="26"/>
  <c r="G78" i="26"/>
  <c r="H78" i="26"/>
  <c r="G76" i="26"/>
  <c r="H76" i="26"/>
  <c r="G74" i="26"/>
  <c r="H74" i="26"/>
  <c r="F74" i="26"/>
  <c r="G72" i="26"/>
  <c r="H72" i="26"/>
  <c r="F72" i="26"/>
  <c r="G70" i="26"/>
  <c r="H70" i="26"/>
  <c r="F70" i="26"/>
  <c r="G68" i="26"/>
  <c r="H68" i="26"/>
  <c r="I68" i="26"/>
  <c r="G66" i="26"/>
  <c r="H66" i="26"/>
  <c r="F66" i="26"/>
  <c r="G64" i="26"/>
  <c r="H64" i="26"/>
  <c r="F64" i="26"/>
  <c r="G62" i="26"/>
  <c r="H62" i="26"/>
  <c r="F62" i="26"/>
  <c r="G55" i="26"/>
  <c r="H55" i="26"/>
  <c r="F55" i="26"/>
  <c r="G50" i="26"/>
  <c r="H50" i="26"/>
  <c r="F50" i="26"/>
  <c r="G45" i="26"/>
  <c r="H45" i="26"/>
  <c r="F45" i="26"/>
  <c r="G39" i="26"/>
  <c r="H39" i="26"/>
  <c r="F39" i="26"/>
  <c r="G33" i="26"/>
  <c r="H33" i="26"/>
  <c r="F33" i="26"/>
  <c r="G30" i="26"/>
  <c r="H30" i="26"/>
  <c r="F30" i="26"/>
  <c r="G26" i="26"/>
  <c r="H26" i="26"/>
  <c r="G24" i="26"/>
  <c r="H24" i="26"/>
  <c r="G20" i="26"/>
  <c r="H20" i="26"/>
  <c r="G21" i="26"/>
  <c r="H21" i="26"/>
  <c r="G22" i="26"/>
  <c r="H22" i="26"/>
  <c r="F21" i="26"/>
  <c r="F22" i="26"/>
  <c r="H524" i="25"/>
  <c r="I524" i="25"/>
  <c r="G524" i="25"/>
  <c r="H522" i="25"/>
  <c r="I522" i="25"/>
  <c r="G522" i="25"/>
  <c r="H516" i="25"/>
  <c r="I516" i="25"/>
  <c r="H514" i="25"/>
  <c r="I514" i="25"/>
  <c r="I511" i="25"/>
  <c r="I508" i="25"/>
  <c r="I509" i="25"/>
  <c r="H502" i="25"/>
  <c r="I502" i="25"/>
  <c r="G502" i="25"/>
  <c r="H496" i="25"/>
  <c r="I496" i="25"/>
  <c r="G496" i="25"/>
  <c r="H493" i="25"/>
  <c r="I493" i="25"/>
  <c r="G493" i="25"/>
  <c r="H490" i="25"/>
  <c r="I490" i="25"/>
  <c r="H487" i="25"/>
  <c r="H485" i="25" s="1"/>
  <c r="I487" i="25"/>
  <c r="I485" i="25" s="1"/>
  <c r="H483" i="25"/>
  <c r="I483" i="25"/>
  <c r="G483" i="25"/>
  <c r="H480" i="25"/>
  <c r="I480" i="25"/>
  <c r="G480" i="25"/>
  <c r="H477" i="25"/>
  <c r="I477" i="25"/>
  <c r="G477" i="25"/>
  <c r="H475" i="25"/>
  <c r="I475" i="25"/>
  <c r="G475" i="25"/>
  <c r="I472" i="25"/>
  <c r="H472" i="25"/>
  <c r="H470" i="25"/>
  <c r="I470" i="25"/>
  <c r="G470" i="25"/>
  <c r="H468" i="25"/>
  <c r="I468" i="25"/>
  <c r="G468" i="25"/>
  <c r="H464" i="25"/>
  <c r="I464" i="25"/>
  <c r="G464" i="25"/>
  <c r="H460" i="25"/>
  <c r="I460" i="25"/>
  <c r="H461" i="25"/>
  <c r="I461" i="25"/>
  <c r="G461" i="25"/>
  <c r="G460" i="25"/>
  <c r="H457" i="25"/>
  <c r="I457" i="25"/>
  <c r="G457" i="25"/>
  <c r="H455" i="25"/>
  <c r="I455" i="25"/>
  <c r="G455" i="25"/>
  <c r="H453" i="25"/>
  <c r="I453" i="25"/>
  <c r="G453" i="25"/>
  <c r="H451" i="25"/>
  <c r="I451" i="25"/>
  <c r="H448" i="25"/>
  <c r="I448" i="25"/>
  <c r="H445" i="25"/>
  <c r="I445" i="25"/>
  <c r="G445" i="25"/>
  <c r="H443" i="25"/>
  <c r="I443" i="25"/>
  <c r="G87" i="26" l="1"/>
  <c r="H87" i="26"/>
  <c r="G81" i="26"/>
  <c r="F81" i="26"/>
  <c r="H81" i="26"/>
  <c r="H427" i="25"/>
  <c r="I427" i="25"/>
  <c r="G427" i="25"/>
  <c r="H425" i="25"/>
  <c r="I425" i="25"/>
  <c r="G425" i="25"/>
  <c r="H415" i="25"/>
  <c r="I415" i="25"/>
  <c r="H411" i="25"/>
  <c r="I411" i="25"/>
  <c r="G411" i="25"/>
  <c r="H408" i="25"/>
  <c r="I408" i="25"/>
  <c r="H409" i="25"/>
  <c r="I409" i="25"/>
  <c r="G409" i="25"/>
  <c r="H405" i="25"/>
  <c r="I405" i="25"/>
  <c r="G405" i="25"/>
  <c r="H401" i="25"/>
  <c r="I401" i="25"/>
  <c r="H402" i="25"/>
  <c r="I402" i="25"/>
  <c r="H403" i="25"/>
  <c r="I403" i="25"/>
  <c r="G402" i="25"/>
  <c r="G403" i="25"/>
  <c r="G401" i="25"/>
  <c r="H395" i="25"/>
  <c r="I395" i="25"/>
  <c r="H396" i="25"/>
  <c r="I396" i="25"/>
  <c r="G396" i="25"/>
  <c r="G395" i="25"/>
  <c r="H392" i="25"/>
  <c r="I392" i="25"/>
  <c r="H393" i="25"/>
  <c r="I393" i="25"/>
  <c r="G393" i="25"/>
  <c r="G392" i="25"/>
  <c r="H389" i="25"/>
  <c r="I389" i="25"/>
  <c r="H390" i="25"/>
  <c r="I390" i="25"/>
  <c r="G390" i="25"/>
  <c r="G389" i="25"/>
  <c r="H386" i="25"/>
  <c r="I386" i="25"/>
  <c r="H387" i="25"/>
  <c r="I387" i="25"/>
  <c r="G387" i="25"/>
  <c r="G386" i="25"/>
  <c r="H384" i="25"/>
  <c r="I384" i="25"/>
  <c r="G384" i="25"/>
  <c r="H381" i="25"/>
  <c r="I381" i="25"/>
  <c r="G381" i="25"/>
  <c r="H379" i="25"/>
  <c r="I379" i="25"/>
  <c r="G379" i="25"/>
  <c r="H377" i="25"/>
  <c r="I377" i="25"/>
  <c r="G377" i="25"/>
  <c r="H370" i="25"/>
  <c r="I370" i="25"/>
  <c r="H371" i="25"/>
  <c r="I371" i="25"/>
  <c r="G371" i="25"/>
  <c r="G370" i="25"/>
  <c r="H355" i="25"/>
  <c r="I355" i="25"/>
  <c r="H356" i="25"/>
  <c r="I356" i="25"/>
  <c r="G356" i="25"/>
  <c r="G355" i="25"/>
  <c r="H352" i="25"/>
  <c r="I352" i="25"/>
  <c r="H353" i="25"/>
  <c r="I353" i="25"/>
  <c r="G353" i="25"/>
  <c r="G352" i="25"/>
  <c r="H350" i="25"/>
  <c r="I350" i="25"/>
  <c r="G350" i="25"/>
  <c r="H348" i="25"/>
  <c r="I348" i="25"/>
  <c r="G348" i="25"/>
  <c r="H344" i="25"/>
  <c r="I344" i="25"/>
  <c r="H345" i="25"/>
  <c r="I345" i="25"/>
  <c r="H341" i="25"/>
  <c r="I341" i="25"/>
  <c r="H342" i="25"/>
  <c r="I342" i="25"/>
  <c r="G342" i="25"/>
  <c r="G341" i="25"/>
  <c r="H338" i="25"/>
  <c r="I338" i="25"/>
  <c r="G338" i="25"/>
  <c r="H336" i="25"/>
  <c r="I336" i="25"/>
  <c r="G336" i="25"/>
  <c r="G335" i="25"/>
  <c r="H332" i="25"/>
  <c r="I332" i="25"/>
  <c r="H329" i="25"/>
  <c r="I329" i="25"/>
  <c r="H330" i="25"/>
  <c r="I330" i="25"/>
  <c r="G330" i="25"/>
  <c r="G329" i="25"/>
  <c r="H323" i="25"/>
  <c r="I323" i="25"/>
  <c r="G323" i="25"/>
  <c r="H312" i="25"/>
  <c r="I312" i="25"/>
  <c r="H313" i="25"/>
  <c r="I313" i="25"/>
  <c r="G312" i="25"/>
  <c r="G313" i="25"/>
  <c r="H307" i="25"/>
  <c r="I307" i="25"/>
  <c r="H308" i="25"/>
  <c r="I308" i="25"/>
  <c r="G308" i="25"/>
  <c r="G307" i="25"/>
  <c r="H304" i="25"/>
  <c r="I304" i="25"/>
  <c r="G304" i="25"/>
  <c r="H302" i="25"/>
  <c r="I302" i="25"/>
  <c r="G302" i="25"/>
  <c r="H300" i="25"/>
  <c r="I300" i="25"/>
  <c r="G300" i="25"/>
  <c r="G298" i="25"/>
  <c r="G296" i="25"/>
  <c r="H290" i="25"/>
  <c r="I290" i="25"/>
  <c r="H291" i="25"/>
  <c r="I291" i="25"/>
  <c r="H293" i="25"/>
  <c r="I293" i="25"/>
  <c r="G293" i="25"/>
  <c r="H282" i="25"/>
  <c r="I282" i="25"/>
  <c r="H283" i="25"/>
  <c r="I283" i="25"/>
  <c r="G283" i="25"/>
  <c r="H278" i="25"/>
  <c r="I278" i="25"/>
  <c r="H279" i="25"/>
  <c r="I279" i="25"/>
  <c r="H280" i="25"/>
  <c r="I280" i="25"/>
  <c r="G279" i="25"/>
  <c r="G280" i="25"/>
  <c r="G278" i="25"/>
  <c r="H275" i="25"/>
  <c r="I275" i="25"/>
  <c r="G275" i="25"/>
  <c r="H273" i="25"/>
  <c r="I273" i="25"/>
  <c r="H270" i="25"/>
  <c r="I270" i="25"/>
  <c r="G270" i="25"/>
  <c r="H266" i="25"/>
  <c r="I266" i="25"/>
  <c r="G266" i="25"/>
  <c r="G294" i="25" l="1"/>
  <c r="H260" i="25"/>
  <c r="I260" i="25"/>
  <c r="G260" i="25"/>
  <c r="H254" i="25"/>
  <c r="I254" i="25"/>
  <c r="H255" i="25"/>
  <c r="I255" i="25"/>
  <c r="I256" i="25"/>
  <c r="H257" i="25"/>
  <c r="I257" i="25"/>
  <c r="G255" i="25"/>
  <c r="G256" i="25"/>
  <c r="G257" i="25"/>
  <c r="G254" i="25"/>
  <c r="G252" i="25"/>
  <c r="H249" i="25"/>
  <c r="I249" i="25"/>
  <c r="H250" i="25"/>
  <c r="I250" i="25"/>
  <c r="G250" i="25"/>
  <c r="G249" i="25"/>
  <c r="H242" i="25"/>
  <c r="I242" i="25"/>
  <c r="H243" i="25"/>
  <c r="I243" i="25"/>
  <c r="G243" i="25"/>
  <c r="G242" i="25"/>
  <c r="H240" i="25"/>
  <c r="G240" i="25"/>
  <c r="H238" i="25"/>
  <c r="I238" i="25"/>
  <c r="G238" i="25"/>
  <c r="H234" i="25"/>
  <c r="I234" i="25"/>
  <c r="G234" i="25"/>
  <c r="H231" i="25"/>
  <c r="I231" i="25"/>
  <c r="G231" i="25"/>
  <c r="H229" i="25"/>
  <c r="I229" i="25"/>
  <c r="G229" i="25"/>
  <c r="H227" i="25"/>
  <c r="I227" i="25"/>
  <c r="G227" i="25"/>
  <c r="H225" i="25"/>
  <c r="I225" i="25"/>
  <c r="G225" i="25"/>
  <c r="H219" i="25"/>
  <c r="I219" i="25"/>
  <c r="H220" i="25"/>
  <c r="I220" i="25"/>
  <c r="G220" i="25"/>
  <c r="G219" i="25"/>
  <c r="H215" i="25"/>
  <c r="I215" i="25"/>
  <c r="H216" i="25"/>
  <c r="I216" i="25"/>
  <c r="H217" i="25"/>
  <c r="I217" i="25"/>
  <c r="G216" i="25"/>
  <c r="G217" i="25"/>
  <c r="G215" i="25"/>
  <c r="H213" i="25"/>
  <c r="I213" i="25"/>
  <c r="G213" i="25"/>
  <c r="H211" i="25"/>
  <c r="I211" i="25"/>
  <c r="G211" i="25"/>
  <c r="H208" i="25"/>
  <c r="I208" i="25"/>
  <c r="H209" i="25"/>
  <c r="I209" i="25"/>
  <c r="G209" i="25"/>
  <c r="G208" i="25"/>
  <c r="H202" i="25"/>
  <c r="I202" i="25"/>
  <c r="G202" i="25"/>
  <c r="H199" i="25"/>
  <c r="I199" i="25"/>
  <c r="G199" i="25"/>
  <c r="H197" i="25"/>
  <c r="I197" i="25"/>
  <c r="G197" i="25"/>
  <c r="H191" i="25"/>
  <c r="I191" i="25"/>
  <c r="G191" i="25"/>
  <c r="H173" i="25"/>
  <c r="I173" i="25"/>
  <c r="H174" i="25"/>
  <c r="I174" i="25"/>
  <c r="H175" i="25"/>
  <c r="I175" i="25"/>
  <c r="G174" i="25"/>
  <c r="G175" i="25"/>
  <c r="G173" i="25"/>
  <c r="H170" i="25"/>
  <c r="I170" i="25"/>
  <c r="H171" i="25"/>
  <c r="I171" i="25"/>
  <c r="G171" i="25"/>
  <c r="G170" i="25"/>
  <c r="H166" i="25"/>
  <c r="I166" i="25"/>
  <c r="G166" i="25"/>
  <c r="H164" i="25"/>
  <c r="I164" i="25"/>
  <c r="G164" i="25"/>
  <c r="H163" i="25"/>
  <c r="I163" i="25"/>
  <c r="G163" i="25"/>
  <c r="H159" i="25"/>
  <c r="I159" i="25"/>
  <c r="H161" i="25"/>
  <c r="I161" i="25"/>
  <c r="G160" i="25"/>
  <c r="G161" i="25"/>
  <c r="G159" i="25"/>
  <c r="I156" i="25"/>
  <c r="I155" i="25" s="1"/>
  <c r="H151" i="25"/>
  <c r="I151" i="25"/>
  <c r="G151" i="25"/>
  <c r="G149" i="25"/>
  <c r="H144" i="25"/>
  <c r="I144" i="25"/>
  <c r="H147" i="25"/>
  <c r="I147" i="25"/>
  <c r="G145" i="25"/>
  <c r="G146" i="25"/>
  <c r="G147" i="25"/>
  <c r="G144" i="25"/>
  <c r="H140" i="25"/>
  <c r="I140" i="25"/>
  <c r="G140" i="25"/>
  <c r="H138" i="25"/>
  <c r="I138" i="25"/>
  <c r="G138" i="25"/>
  <c r="H135" i="25"/>
  <c r="I135" i="25"/>
  <c r="G135" i="25"/>
  <c r="H133" i="25"/>
  <c r="I133" i="25"/>
  <c r="H132" i="25"/>
  <c r="I132" i="25"/>
  <c r="G132" i="25"/>
  <c r="H130" i="25" l="1"/>
  <c r="I130" i="25"/>
  <c r="H129" i="25" l="1"/>
  <c r="I129" i="25"/>
  <c r="G129" i="25"/>
  <c r="H124" i="25"/>
  <c r="I124" i="25"/>
  <c r="G124" i="25"/>
  <c r="H122" i="25"/>
  <c r="I122" i="25"/>
  <c r="G122" i="25"/>
  <c r="H114" i="25"/>
  <c r="I114" i="25"/>
  <c r="G114" i="25"/>
  <c r="I111" i="25"/>
  <c r="H111" i="25"/>
  <c r="H109" i="25"/>
  <c r="I109" i="25"/>
  <c r="G109" i="25"/>
  <c r="H107" i="25"/>
  <c r="I107" i="25"/>
  <c r="H103" i="25"/>
  <c r="I103" i="25"/>
  <c r="H95" i="25"/>
  <c r="I95" i="25"/>
  <c r="G95" i="25"/>
  <c r="H88" i="25"/>
  <c r="H87" i="25" s="1"/>
  <c r="I88" i="25"/>
  <c r="I87" i="25" s="1"/>
  <c r="G88" i="25"/>
  <c r="G87" i="25" s="1"/>
  <c r="H78" i="25" l="1"/>
  <c r="H77" i="25" s="1"/>
  <c r="I78" i="25"/>
  <c r="I77" i="25" s="1"/>
  <c r="G78" i="25"/>
  <c r="G77" i="25" s="1"/>
  <c r="H74" i="25"/>
  <c r="I74" i="25"/>
  <c r="H76" i="25"/>
  <c r="I76" i="25"/>
  <c r="G76" i="25"/>
  <c r="H70" i="25"/>
  <c r="I70" i="25"/>
  <c r="G70" i="25"/>
  <c r="H65" i="25"/>
  <c r="I65" i="25"/>
  <c r="H66" i="25"/>
  <c r="I66" i="25"/>
  <c r="G65" i="25"/>
  <c r="H63" i="25"/>
  <c r="H62" i="25" s="1"/>
  <c r="I63" i="25"/>
  <c r="I62" i="25" s="1"/>
  <c r="H59" i="25"/>
  <c r="I59" i="25"/>
  <c r="H61" i="25"/>
  <c r="I61" i="25"/>
  <c r="G61" i="25"/>
  <c r="G59" i="25"/>
  <c r="H57" i="25"/>
  <c r="H56" i="25" s="1"/>
  <c r="I57" i="25"/>
  <c r="I56" i="25" s="1"/>
  <c r="G57" i="25"/>
  <c r="G56" i="25" s="1"/>
  <c r="H55" i="25"/>
  <c r="H54" i="25" s="1"/>
  <c r="I55" i="25"/>
  <c r="I54" i="25" s="1"/>
  <c r="H53" i="25"/>
  <c r="H52" i="25" s="1"/>
  <c r="I53" i="25"/>
  <c r="I52" i="25" s="1"/>
  <c r="H51" i="25"/>
  <c r="H50" i="25" s="1"/>
  <c r="I51" i="25"/>
  <c r="I50" i="25" s="1"/>
  <c r="H49" i="25"/>
  <c r="H48" i="25" s="1"/>
  <c r="I49" i="25"/>
  <c r="I48" i="25" s="1"/>
  <c r="H46" i="25"/>
  <c r="H45" i="25" s="1"/>
  <c r="I46" i="25"/>
  <c r="I45" i="25" s="1"/>
  <c r="G46" i="25"/>
  <c r="G45" i="25" s="1"/>
  <c r="H44" i="25"/>
  <c r="I44" i="25"/>
  <c r="G44" i="25"/>
  <c r="H41" i="25"/>
  <c r="I41" i="25"/>
  <c r="G41" i="25"/>
  <c r="H38" i="25"/>
  <c r="H37" i="25" s="1"/>
  <c r="I38" i="25"/>
  <c r="I37" i="25" s="1"/>
  <c r="G38" i="25"/>
  <c r="G37" i="25" s="1"/>
  <c r="H36" i="25"/>
  <c r="H35" i="25" s="1"/>
  <c r="I36" i="25"/>
  <c r="I35" i="25" s="1"/>
  <c r="G36" i="25"/>
  <c r="G35" i="25" s="1"/>
  <c r="H33" i="25"/>
  <c r="I33" i="25"/>
  <c r="H34" i="25"/>
  <c r="I34" i="25"/>
  <c r="G34" i="25"/>
  <c r="G33" i="25"/>
  <c r="H31" i="25"/>
  <c r="H30" i="25" s="1"/>
  <c r="I31" i="25"/>
  <c r="I30" i="25" s="1"/>
  <c r="G31" i="25"/>
  <c r="G30" i="25" s="1"/>
  <c r="H28" i="25"/>
  <c r="H27" i="25" s="1"/>
  <c r="I28" i="25"/>
  <c r="I27" i="25" s="1"/>
  <c r="G28" i="25"/>
  <c r="G27" i="25" s="1"/>
  <c r="H26" i="25"/>
  <c r="H25" i="25" s="1"/>
  <c r="I26" i="25"/>
  <c r="I25" i="25" s="1"/>
  <c r="H551" i="26"/>
  <c r="H550" i="26" s="1"/>
  <c r="H549" i="26" s="1"/>
  <c r="G551" i="26"/>
  <c r="G550" i="26" s="1"/>
  <c r="G549" i="26" s="1"/>
  <c r="F551" i="26"/>
  <c r="F550" i="26" s="1"/>
  <c r="F549" i="26" s="1"/>
  <c r="H539" i="26"/>
  <c r="G539" i="26"/>
  <c r="F539" i="26"/>
  <c r="H531" i="26"/>
  <c r="G531" i="26"/>
  <c r="F531" i="26"/>
  <c r="H527" i="26"/>
  <c r="G527" i="26"/>
  <c r="H523" i="26"/>
  <c r="G523" i="26"/>
  <c r="H519" i="26"/>
  <c r="G519" i="26"/>
  <c r="F519" i="26"/>
  <c r="H516" i="26"/>
  <c r="G516" i="26"/>
  <c r="H508" i="26"/>
  <c r="G508" i="26"/>
  <c r="F508" i="26"/>
  <c r="H506" i="26"/>
  <c r="G506" i="26"/>
  <c r="F506" i="26"/>
  <c r="H504" i="26"/>
  <c r="G504" i="26"/>
  <c r="F504" i="26"/>
  <c r="H497" i="26"/>
  <c r="G497" i="26"/>
  <c r="F497" i="26"/>
  <c r="H494" i="26"/>
  <c r="G494" i="26"/>
  <c r="H489" i="26"/>
  <c r="G489" i="26"/>
  <c r="F489" i="26"/>
  <c r="H485" i="26"/>
  <c r="G485" i="26"/>
  <c r="F485" i="26"/>
  <c r="H483" i="26"/>
  <c r="G483" i="26"/>
  <c r="F483" i="26"/>
  <c r="H480" i="26"/>
  <c r="G480" i="26"/>
  <c r="F480" i="26"/>
  <c r="H478" i="26"/>
  <c r="G478" i="26"/>
  <c r="F478" i="26"/>
  <c r="H475" i="26"/>
  <c r="G475" i="26"/>
  <c r="F475" i="26"/>
  <c r="G473" i="26"/>
  <c r="F473" i="26"/>
  <c r="H471" i="26"/>
  <c r="G471" i="26"/>
  <c r="F471" i="26"/>
  <c r="H467" i="26"/>
  <c r="G467" i="26"/>
  <c r="F467" i="26"/>
  <c r="H463" i="26"/>
  <c r="G463" i="26"/>
  <c r="F463" i="26"/>
  <c r="H461" i="26"/>
  <c r="G461" i="26"/>
  <c r="F461" i="26"/>
  <c r="H459" i="26"/>
  <c r="G459" i="26"/>
  <c r="H457" i="26"/>
  <c r="G457" i="26"/>
  <c r="F457" i="26"/>
  <c r="H454" i="26"/>
  <c r="G454" i="26"/>
  <c r="F454" i="26"/>
  <c r="H452" i="26"/>
  <c r="G452" i="26"/>
  <c r="H447" i="26"/>
  <c r="G447" i="26"/>
  <c r="F447" i="26"/>
  <c r="H441" i="26"/>
  <c r="G441" i="26"/>
  <c r="F441" i="26"/>
  <c r="H438" i="26"/>
  <c r="G438" i="26"/>
  <c r="F438" i="26"/>
  <c r="H435" i="26"/>
  <c r="G435" i="26"/>
  <c r="F435" i="26"/>
  <c r="H430" i="26"/>
  <c r="G430" i="26"/>
  <c r="F430" i="26"/>
  <c r="H421" i="26"/>
  <c r="G421" i="26"/>
  <c r="F421" i="26"/>
  <c r="H406" i="26"/>
  <c r="G406" i="26"/>
  <c r="F406" i="26"/>
  <c r="H400" i="26"/>
  <c r="G400" i="26"/>
  <c r="H397" i="26"/>
  <c r="G397" i="26"/>
  <c r="F397" i="26"/>
  <c r="H395" i="26"/>
  <c r="G395" i="26"/>
  <c r="F395" i="26"/>
  <c r="H390" i="26"/>
  <c r="G390" i="26"/>
  <c r="F390" i="26"/>
  <c r="H388" i="26"/>
  <c r="G388" i="26"/>
  <c r="F388" i="26"/>
  <c r="H383" i="26"/>
  <c r="G383" i="26"/>
  <c r="F383" i="26"/>
  <c r="H381" i="26"/>
  <c r="G381" i="26"/>
  <c r="F381" i="26"/>
  <c r="H379" i="26"/>
  <c r="G379" i="26"/>
  <c r="F379" i="26"/>
  <c r="H377" i="26"/>
  <c r="G377" i="26"/>
  <c r="H373" i="26"/>
  <c r="G373" i="26"/>
  <c r="I363" i="26"/>
  <c r="H361" i="26"/>
  <c r="G361" i="26"/>
  <c r="F361" i="26"/>
  <c r="H349" i="26"/>
  <c r="H348" i="26" s="1"/>
  <c r="G349" i="26"/>
  <c r="G348" i="26" s="1"/>
  <c r="F349" i="26"/>
  <c r="F348" i="26" s="1"/>
  <c r="H344" i="26"/>
  <c r="G344" i="26"/>
  <c r="H340" i="26"/>
  <c r="G340" i="26"/>
  <c r="F340" i="26"/>
  <c r="H334" i="26"/>
  <c r="G334" i="26"/>
  <c r="H327" i="26"/>
  <c r="G327" i="26"/>
  <c r="F327" i="26"/>
  <c r="H323" i="26"/>
  <c r="G323" i="26"/>
  <c r="F323" i="26"/>
  <c r="I320" i="26"/>
  <c r="H314" i="26"/>
  <c r="F314" i="26"/>
  <c r="F312" i="26"/>
  <c r="H309" i="26"/>
  <c r="G309" i="26"/>
  <c r="F309" i="26"/>
  <c r="H305" i="26"/>
  <c r="G305" i="26"/>
  <c r="F305" i="26"/>
  <c r="H302" i="26"/>
  <c r="G302" i="26"/>
  <c r="F302" i="26"/>
  <c r="G299" i="26"/>
  <c r="H299" i="26"/>
  <c r="F299" i="26"/>
  <c r="H297" i="26"/>
  <c r="G297" i="26"/>
  <c r="F297" i="26"/>
  <c r="H286" i="26"/>
  <c r="G286" i="26"/>
  <c r="F286" i="26"/>
  <c r="I285" i="26"/>
  <c r="H278" i="26"/>
  <c r="G278" i="26"/>
  <c r="F278" i="26"/>
  <c r="H270" i="26"/>
  <c r="G270" i="26"/>
  <c r="F270" i="26"/>
  <c r="H268" i="26"/>
  <c r="G268" i="26"/>
  <c r="H262" i="26"/>
  <c r="G262" i="26"/>
  <c r="F262" i="26"/>
  <c r="H259" i="26"/>
  <c r="G259" i="26"/>
  <c r="F259" i="26"/>
  <c r="F249" i="26"/>
  <c r="F247" i="26"/>
  <c r="H245" i="26"/>
  <c r="G245" i="26"/>
  <c r="F245" i="26"/>
  <c r="F218" i="26"/>
  <c r="H212" i="26"/>
  <c r="G212" i="26"/>
  <c r="F212" i="26"/>
  <c r="H205" i="26"/>
  <c r="G205" i="26"/>
  <c r="H202" i="26"/>
  <c r="G202" i="26"/>
  <c r="F202" i="26"/>
  <c r="H200" i="26"/>
  <c r="G200" i="26"/>
  <c r="H197" i="26"/>
  <c r="G197" i="26"/>
  <c r="F197" i="26"/>
  <c r="H192" i="26"/>
  <c r="G192" i="26"/>
  <c r="F192" i="26"/>
  <c r="H190" i="26"/>
  <c r="G190" i="26"/>
  <c r="F190" i="26"/>
  <c r="H188" i="26"/>
  <c r="G188" i="26"/>
  <c r="F188" i="26"/>
  <c r="H186" i="26"/>
  <c r="H184" i="26"/>
  <c r="G184" i="26"/>
  <c r="F184" i="26"/>
  <c r="H181" i="26"/>
  <c r="H178" i="26"/>
  <c r="G178" i="26"/>
  <c r="F178" i="26"/>
  <c r="H176" i="26"/>
  <c r="G176" i="26"/>
  <c r="F176" i="26"/>
  <c r="H174" i="26"/>
  <c r="G174" i="26"/>
  <c r="H172" i="26"/>
  <c r="G172" i="26"/>
  <c r="F172" i="26"/>
  <c r="H170" i="26"/>
  <c r="G170" i="26"/>
  <c r="H161" i="26"/>
  <c r="G161" i="26"/>
  <c r="F161" i="26"/>
  <c r="H159" i="26"/>
  <c r="G159" i="26"/>
  <c r="F159" i="26"/>
  <c r="H156" i="26"/>
  <c r="G156" i="26"/>
  <c r="F156" i="26"/>
  <c r="H153" i="26"/>
  <c r="G153" i="26"/>
  <c r="F153" i="26"/>
  <c r="F149" i="26"/>
  <c r="H141" i="26"/>
  <c r="G141" i="26"/>
  <c r="H139" i="26"/>
  <c r="G139" i="26"/>
  <c r="H135" i="26"/>
  <c r="G135" i="26"/>
  <c r="F135" i="26"/>
  <c r="H128" i="26"/>
  <c r="G128" i="26"/>
  <c r="F128" i="26"/>
  <c r="H126" i="26"/>
  <c r="G126" i="26"/>
  <c r="H124" i="26"/>
  <c r="G124" i="26"/>
  <c r="F124" i="26"/>
  <c r="H122" i="26"/>
  <c r="G122" i="26"/>
  <c r="F122" i="26"/>
  <c r="H119" i="26"/>
  <c r="H118" i="26" s="1"/>
  <c r="G119" i="26"/>
  <c r="G118" i="26" s="1"/>
  <c r="F119" i="26"/>
  <c r="F118" i="26" s="1"/>
  <c r="F109" i="26"/>
  <c r="H105" i="26"/>
  <c r="G105" i="26"/>
  <c r="F105" i="26"/>
  <c r="H97" i="26"/>
  <c r="G97" i="26"/>
  <c r="F97" i="26"/>
  <c r="H85" i="26"/>
  <c r="G85" i="26"/>
  <c r="H79" i="26"/>
  <c r="G79" i="26"/>
  <c r="F79" i="26"/>
  <c r="H77" i="26"/>
  <c r="G77" i="26"/>
  <c r="H75" i="26"/>
  <c r="G75" i="26"/>
  <c r="H73" i="26"/>
  <c r="G73" i="26"/>
  <c r="F73" i="26"/>
  <c r="H71" i="26"/>
  <c r="F71" i="26"/>
  <c r="G71" i="26"/>
  <c r="H69" i="26"/>
  <c r="G69" i="26"/>
  <c r="F69" i="26"/>
  <c r="H67" i="26"/>
  <c r="G67" i="26"/>
  <c r="H65" i="26"/>
  <c r="G65" i="26"/>
  <c r="F65" i="26"/>
  <c r="H63" i="26"/>
  <c r="G63" i="26"/>
  <c r="F63" i="26"/>
  <c r="H61" i="26"/>
  <c r="G61" i="26"/>
  <c r="F61" i="26"/>
  <c r="H54" i="26"/>
  <c r="H53" i="26" s="1"/>
  <c r="G54" i="26"/>
  <c r="G53" i="26" s="1"/>
  <c r="F54" i="26"/>
  <c r="F53" i="26" s="1"/>
  <c r="H44" i="26"/>
  <c r="H43" i="26" s="1"/>
  <c r="G44" i="26"/>
  <c r="G43" i="26" s="1"/>
  <c r="F44" i="26"/>
  <c r="F43" i="26" s="1"/>
  <c r="H38" i="26"/>
  <c r="G38" i="26"/>
  <c r="F38" i="26"/>
  <c r="I27" i="26"/>
  <c r="H25" i="26"/>
  <c r="G25" i="26"/>
  <c r="H23" i="26"/>
  <c r="G23" i="26"/>
  <c r="H19" i="26"/>
  <c r="G19" i="26"/>
  <c r="G94" i="25"/>
  <c r="H94" i="25"/>
  <c r="I94" i="25"/>
  <c r="G98" i="25"/>
  <c r="H98" i="25"/>
  <c r="I98" i="25"/>
  <c r="H102" i="25"/>
  <c r="I102" i="25"/>
  <c r="H106" i="25"/>
  <c r="I106" i="25"/>
  <c r="G108" i="25"/>
  <c r="H108" i="25"/>
  <c r="I108" i="25"/>
  <c r="H110" i="25"/>
  <c r="I110" i="25"/>
  <c r="G113" i="25"/>
  <c r="G112" i="25" s="1"/>
  <c r="H113" i="25"/>
  <c r="H112" i="25" s="1"/>
  <c r="I113" i="25"/>
  <c r="I112" i="25" s="1"/>
  <c r="G121" i="25"/>
  <c r="H121" i="25"/>
  <c r="H115" i="25" s="1"/>
  <c r="I121" i="25"/>
  <c r="I115" i="25" s="1"/>
  <c r="G123" i="25"/>
  <c r="I128" i="25"/>
  <c r="H128" i="25"/>
  <c r="H131" i="25"/>
  <c r="I131" i="25"/>
  <c r="G134" i="25"/>
  <c r="H134" i="25"/>
  <c r="I134" i="25"/>
  <c r="G137" i="25"/>
  <c r="H137" i="25"/>
  <c r="I137" i="25"/>
  <c r="G139" i="25"/>
  <c r="H139" i="25"/>
  <c r="I139" i="25"/>
  <c r="G143" i="25"/>
  <c r="G148" i="25"/>
  <c r="G158" i="25"/>
  <c r="G162" i="25"/>
  <c r="I162" i="25"/>
  <c r="H162" i="25"/>
  <c r="G165" i="25"/>
  <c r="H165" i="25"/>
  <c r="I165" i="25"/>
  <c r="G169" i="25"/>
  <c r="H169" i="25"/>
  <c r="I169" i="25"/>
  <c r="G172" i="25"/>
  <c r="H172" i="25"/>
  <c r="I172" i="25"/>
  <c r="G196" i="25"/>
  <c r="H196" i="25"/>
  <c r="I196" i="25"/>
  <c r="G207" i="25"/>
  <c r="H207" i="25"/>
  <c r="I207" i="25"/>
  <c r="G210" i="25"/>
  <c r="H210" i="25"/>
  <c r="I210" i="25"/>
  <c r="G212" i="25"/>
  <c r="H212" i="25"/>
  <c r="I212" i="25"/>
  <c r="G214" i="25"/>
  <c r="H214" i="25"/>
  <c r="I214" i="25"/>
  <c r="G218" i="25"/>
  <c r="H218" i="25"/>
  <c r="I218" i="25"/>
  <c r="G224" i="25"/>
  <c r="H224" i="25"/>
  <c r="I224" i="25"/>
  <c r="G226" i="25"/>
  <c r="H226" i="25"/>
  <c r="I226" i="25"/>
  <c r="G228" i="25"/>
  <c r="H228" i="25"/>
  <c r="I228" i="25"/>
  <c r="G233" i="25"/>
  <c r="H233" i="25"/>
  <c r="I233" i="25"/>
  <c r="G237" i="25"/>
  <c r="H237" i="25"/>
  <c r="I237" i="25"/>
  <c r="G239" i="25"/>
  <c r="H239" i="25"/>
  <c r="G241" i="25"/>
  <c r="H241" i="25"/>
  <c r="I241" i="25"/>
  <c r="G248" i="25"/>
  <c r="H248" i="25"/>
  <c r="I248" i="25"/>
  <c r="G251" i="25"/>
  <c r="G253" i="25"/>
  <c r="I253" i="25"/>
  <c r="G265" i="25"/>
  <c r="H265" i="25"/>
  <c r="I265" i="25"/>
  <c r="H272" i="25"/>
  <c r="I272" i="25"/>
  <c r="G277" i="25"/>
  <c r="H277" i="25"/>
  <c r="I277" i="25"/>
  <c r="H281" i="25"/>
  <c r="I281" i="25"/>
  <c r="H289" i="25"/>
  <c r="I289" i="25"/>
  <c r="G292" i="25"/>
  <c r="H292" i="25"/>
  <c r="I292" i="25"/>
  <c r="G299" i="25"/>
  <c r="H299" i="25"/>
  <c r="I299" i="25"/>
  <c r="G301" i="25"/>
  <c r="H301" i="25"/>
  <c r="I301" i="25"/>
  <c r="G303" i="25"/>
  <c r="H303" i="25"/>
  <c r="I303" i="25"/>
  <c r="G306" i="25"/>
  <c r="G305" i="25" s="1"/>
  <c r="H306" i="25"/>
  <c r="H305" i="25" s="1"/>
  <c r="I306" i="25"/>
  <c r="I305" i="25" s="1"/>
  <c r="G328" i="25"/>
  <c r="H328" i="25"/>
  <c r="I328" i="25"/>
  <c r="H331" i="25"/>
  <c r="I331" i="25"/>
  <c r="G340" i="25"/>
  <c r="H340" i="25"/>
  <c r="I340" i="25"/>
  <c r="H343" i="25"/>
  <c r="I343" i="25"/>
  <c r="G349" i="25"/>
  <c r="H349" i="25"/>
  <c r="I349" i="25"/>
  <c r="G351" i="25"/>
  <c r="H351" i="25"/>
  <c r="I351" i="25"/>
  <c r="G354" i="25"/>
  <c r="H354" i="25"/>
  <c r="I354" i="25"/>
  <c r="G369" i="25"/>
  <c r="H369" i="25"/>
  <c r="I369" i="25"/>
  <c r="G378" i="25"/>
  <c r="H378" i="25"/>
  <c r="I378" i="25"/>
  <c r="G380" i="25"/>
  <c r="H380" i="25"/>
  <c r="I380" i="25"/>
  <c r="G385" i="25"/>
  <c r="H385" i="25"/>
  <c r="I385" i="25"/>
  <c r="G388" i="25"/>
  <c r="H388" i="25"/>
  <c r="I388" i="25"/>
  <c r="G391" i="25"/>
  <c r="H391" i="25"/>
  <c r="I391" i="25"/>
  <c r="G394" i="25"/>
  <c r="H394" i="25"/>
  <c r="I394" i="25"/>
  <c r="G400" i="25"/>
  <c r="H400" i="25"/>
  <c r="I400" i="25"/>
  <c r="G404" i="25"/>
  <c r="H404" i="25"/>
  <c r="I404" i="25"/>
  <c r="H407" i="25"/>
  <c r="I407" i="25"/>
  <c r="G410" i="25"/>
  <c r="H410" i="25"/>
  <c r="I410" i="25"/>
  <c r="H414" i="25"/>
  <c r="H413" i="25" s="1"/>
  <c r="I414" i="25"/>
  <c r="I413" i="25" s="1"/>
  <c r="G426" i="25"/>
  <c r="H426" i="25"/>
  <c r="I426" i="25"/>
  <c r="H442" i="25"/>
  <c r="I442" i="25"/>
  <c r="G444" i="25"/>
  <c r="H444" i="25"/>
  <c r="I444" i="25"/>
  <c r="H447" i="25"/>
  <c r="H446" i="25" s="1"/>
  <c r="I447" i="25"/>
  <c r="I446" i="25" s="1"/>
  <c r="H450" i="25"/>
  <c r="I450" i="25"/>
  <c r="G452" i="25"/>
  <c r="H452" i="25"/>
  <c r="I452" i="25"/>
  <c r="G454" i="25"/>
  <c r="H454" i="25"/>
  <c r="I454" i="25"/>
  <c r="G456" i="25"/>
  <c r="H456" i="25"/>
  <c r="I456" i="25"/>
  <c r="G459" i="25"/>
  <c r="G458" i="25" s="1"/>
  <c r="H459" i="25"/>
  <c r="H458" i="25" s="1"/>
  <c r="I459" i="25"/>
  <c r="I458" i="25" s="1"/>
  <c r="G463" i="25"/>
  <c r="G462" i="25" s="1"/>
  <c r="H463" i="25"/>
  <c r="H462" i="25" s="1"/>
  <c r="I463" i="25"/>
  <c r="I462" i="25" s="1"/>
  <c r="G467" i="25"/>
  <c r="H467" i="25"/>
  <c r="I467" i="25"/>
  <c r="G469" i="25"/>
  <c r="H469" i="25"/>
  <c r="I469" i="25"/>
  <c r="H471" i="25"/>
  <c r="I471" i="25"/>
  <c r="G474" i="25"/>
  <c r="H474" i="25"/>
  <c r="I474" i="25"/>
  <c r="G476" i="25"/>
  <c r="H476" i="25"/>
  <c r="I476" i="25"/>
  <c r="G479" i="25"/>
  <c r="G478" i="25" s="1"/>
  <c r="H479" i="25"/>
  <c r="H478" i="25" s="1"/>
  <c r="I479" i="25"/>
  <c r="I478" i="25" s="1"/>
  <c r="G482" i="25"/>
  <c r="G481" i="25" s="1"/>
  <c r="H482" i="25"/>
  <c r="H481" i="25" s="1"/>
  <c r="I482" i="25"/>
  <c r="I481" i="25" s="1"/>
  <c r="H484" i="25"/>
  <c r="I484" i="25"/>
  <c r="H489" i="25"/>
  <c r="H488" i="25" s="1"/>
  <c r="I489" i="25"/>
  <c r="I488" i="25" s="1"/>
  <c r="G492" i="25"/>
  <c r="G491" i="25" s="1"/>
  <c r="H492" i="25"/>
  <c r="H491" i="25" s="1"/>
  <c r="I492" i="25"/>
  <c r="I491" i="25" s="1"/>
  <c r="G495" i="25"/>
  <c r="G494" i="25" s="1"/>
  <c r="H495" i="25"/>
  <c r="H494" i="25" s="1"/>
  <c r="I495" i="25"/>
  <c r="I494" i="25" s="1"/>
  <c r="G501" i="25"/>
  <c r="G500" i="25" s="1"/>
  <c r="H501" i="25"/>
  <c r="H500" i="25" s="1"/>
  <c r="I501" i="25"/>
  <c r="I500" i="25" s="1"/>
  <c r="I507" i="25"/>
  <c r="I506" i="25" s="1"/>
  <c r="I510" i="25"/>
  <c r="H513" i="25"/>
  <c r="I513" i="25"/>
  <c r="H515" i="25"/>
  <c r="I515" i="25"/>
  <c r="G523" i="25"/>
  <c r="H523" i="25"/>
  <c r="I523" i="25"/>
  <c r="H285" i="25" l="1"/>
  <c r="I285" i="25"/>
  <c r="H64" i="25"/>
  <c r="I64" i="25"/>
  <c r="H180" i="26"/>
  <c r="H144" i="26"/>
  <c r="F144" i="26"/>
  <c r="G144" i="26"/>
  <c r="G134" i="26"/>
  <c r="H134" i="26"/>
  <c r="I435" i="25"/>
  <c r="H163" i="26"/>
  <c r="H435" i="25"/>
  <c r="G163" i="26"/>
  <c r="G115" i="25"/>
  <c r="G121" i="26"/>
  <c r="H121" i="26"/>
  <c r="G58" i="25"/>
  <c r="I58" i="25"/>
  <c r="H58" i="25"/>
  <c r="G18" i="26"/>
  <c r="H32" i="25"/>
  <c r="G32" i="25"/>
  <c r="I473" i="25"/>
  <c r="I406" i="25"/>
  <c r="H136" i="25"/>
  <c r="H18" i="26"/>
  <c r="I136" i="25"/>
  <c r="H339" i="26"/>
  <c r="H199" i="26"/>
  <c r="H406" i="25"/>
  <c r="I32" i="25"/>
  <c r="G199" i="26"/>
  <c r="G339" i="26"/>
  <c r="I449" i="25"/>
  <c r="G136" i="25"/>
  <c r="G473" i="25"/>
  <c r="I505" i="25"/>
  <c r="H473" i="25"/>
  <c r="I466" i="25"/>
  <c r="I24" i="25"/>
  <c r="H24" i="25"/>
  <c r="I127" i="25"/>
  <c r="H449" i="25"/>
  <c r="H127" i="25"/>
  <c r="H466" i="25"/>
  <c r="H434" i="25" l="1"/>
  <c r="I434" i="25"/>
  <c r="H117" i="26"/>
  <c r="H465" i="25"/>
  <c r="I465" i="25"/>
  <c r="H143" i="26"/>
  <c r="G117" i="26"/>
  <c r="G191" i="23" l="1"/>
  <c r="F89" i="26" l="1"/>
  <c r="F87" i="26" s="1"/>
  <c r="G66" i="25"/>
  <c r="G64" i="25" s="1"/>
  <c r="F86" i="26"/>
  <c r="F85" i="26" s="1"/>
  <c r="G63" i="25"/>
  <c r="G62" i="25" s="1"/>
  <c r="F76" i="26"/>
  <c r="F75" i="26" s="1"/>
  <c r="G53" i="25"/>
  <c r="G52" i="25" s="1"/>
  <c r="F78" i="26"/>
  <c r="F77" i="26" s="1"/>
  <c r="G55" i="25"/>
  <c r="G54" i="25" s="1"/>
  <c r="F142" i="26"/>
  <c r="F141" i="26" s="1"/>
  <c r="G51" i="25"/>
  <c r="G50" i="25" s="1"/>
  <c r="J551" i="23"/>
  <c r="K551" i="23"/>
  <c r="L551" i="23"/>
  <c r="M551" i="23"/>
  <c r="N551" i="23"/>
  <c r="O551" i="23"/>
  <c r="P551" i="23"/>
  <c r="Q551" i="23"/>
  <c r="J538" i="23"/>
  <c r="K538" i="23"/>
  <c r="L538" i="23"/>
  <c r="M538" i="23"/>
  <c r="N538" i="23"/>
  <c r="O538" i="23"/>
  <c r="P538" i="23"/>
  <c r="Q538" i="23"/>
  <c r="H307" i="23"/>
  <c r="I307" i="23"/>
  <c r="G307" i="23"/>
  <c r="H305" i="23"/>
  <c r="I305" i="23"/>
  <c r="G305" i="23"/>
  <c r="H61" i="23"/>
  <c r="I61" i="23"/>
  <c r="H83" i="23"/>
  <c r="H82" i="23" s="1"/>
  <c r="I83" i="23"/>
  <c r="I82" i="23" s="1"/>
  <c r="H98" i="23"/>
  <c r="I98" i="23"/>
  <c r="H109" i="23"/>
  <c r="I109" i="23"/>
  <c r="H115" i="23"/>
  <c r="I115" i="23"/>
  <c r="H117" i="23"/>
  <c r="I117" i="23"/>
  <c r="H139" i="23"/>
  <c r="I139" i="23"/>
  <c r="H143" i="23"/>
  <c r="I143" i="23"/>
  <c r="H194" i="23"/>
  <c r="H193" i="23" s="1"/>
  <c r="H192" i="23" s="1"/>
  <c r="I194" i="23"/>
  <c r="I193" i="23" s="1"/>
  <c r="I192" i="23" s="1"/>
  <c r="H234" i="23"/>
  <c r="I234" i="23"/>
  <c r="H386" i="23"/>
  <c r="I386" i="23"/>
  <c r="H518" i="23"/>
  <c r="I518" i="23"/>
  <c r="H521" i="23"/>
  <c r="I521" i="23"/>
  <c r="H523" i="23"/>
  <c r="I523" i="23"/>
  <c r="H525" i="23"/>
  <c r="I525" i="23"/>
  <c r="H533" i="23"/>
  <c r="I533" i="23"/>
  <c r="H536" i="23"/>
  <c r="I536" i="23"/>
  <c r="H549" i="23"/>
  <c r="H548" i="23" s="1"/>
  <c r="I549" i="23"/>
  <c r="I548" i="23" s="1"/>
  <c r="H552" i="23"/>
  <c r="I552" i="23"/>
  <c r="H554" i="23"/>
  <c r="I554" i="23"/>
  <c r="H558" i="23"/>
  <c r="I558" i="23"/>
  <c r="H566" i="23"/>
  <c r="H565" i="23" s="1"/>
  <c r="I566" i="23"/>
  <c r="I565" i="23" s="1"/>
  <c r="H579" i="23"/>
  <c r="I579" i="23"/>
  <c r="H581" i="23"/>
  <c r="I581" i="23"/>
  <c r="H583" i="23"/>
  <c r="I583" i="23"/>
  <c r="H585" i="23"/>
  <c r="I585" i="23"/>
  <c r="H591" i="23"/>
  <c r="I591" i="23"/>
  <c r="H595" i="23"/>
  <c r="I595" i="23"/>
  <c r="H597" i="23"/>
  <c r="I597" i="23"/>
  <c r="H599" i="23"/>
  <c r="I599" i="23"/>
  <c r="H604" i="23"/>
  <c r="I604" i="23"/>
  <c r="H616" i="23"/>
  <c r="I616" i="23"/>
  <c r="H618" i="23"/>
  <c r="I618" i="23"/>
  <c r="H620" i="23"/>
  <c r="I620" i="23"/>
  <c r="G408" i="23"/>
  <c r="G373" i="23"/>
  <c r="I396" i="23"/>
  <c r="H396" i="23"/>
  <c r="F269" i="26" l="1"/>
  <c r="F268" i="26" s="1"/>
  <c r="G130" i="25"/>
  <c r="G128" i="25" s="1"/>
  <c r="F274" i="26"/>
  <c r="F272" i="26" s="1"/>
  <c r="G152" i="25"/>
  <c r="G150" i="25" s="1"/>
  <c r="F345" i="26"/>
  <c r="F344" i="26" s="1"/>
  <c r="F339" i="26" s="1"/>
  <c r="G282" i="25"/>
  <c r="G281" i="25" s="1"/>
  <c r="F338" i="26"/>
  <c r="F336" i="26" s="1"/>
  <c r="G276" i="25"/>
  <c r="G274" i="25" s="1"/>
  <c r="G333" i="26"/>
  <c r="G331" i="26" s="1"/>
  <c r="H271" i="25"/>
  <c r="H269" i="25" s="1"/>
  <c r="F333" i="26"/>
  <c r="F331" i="26" s="1"/>
  <c r="G271" i="25"/>
  <c r="G269" i="25" s="1"/>
  <c r="H333" i="26"/>
  <c r="H331" i="26" s="1"/>
  <c r="I271" i="25"/>
  <c r="I269" i="25" s="1"/>
  <c r="F335" i="26"/>
  <c r="F334" i="26" s="1"/>
  <c r="G273" i="25"/>
  <c r="G272" i="25" s="1"/>
  <c r="I615" i="23"/>
  <c r="I614" i="23" s="1"/>
  <c r="H615" i="23"/>
  <c r="H614" i="23" s="1"/>
  <c r="G261" i="25" l="1"/>
  <c r="G213" i="23"/>
  <c r="G209" i="23"/>
  <c r="G224" i="23"/>
  <c r="G222" i="23"/>
  <c r="G218" i="23"/>
  <c r="F20" i="26" s="1"/>
  <c r="F19" i="26" s="1"/>
  <c r="G514" i="25" l="1"/>
  <c r="G513" i="25" s="1"/>
  <c r="F24" i="26"/>
  <c r="F23" i="26" s="1"/>
  <c r="F52" i="26"/>
  <c r="F51" i="26" s="1"/>
  <c r="G518" i="25"/>
  <c r="G517" i="25" s="1"/>
  <c r="G516" i="25"/>
  <c r="G515" i="25" s="1"/>
  <c r="F26" i="26"/>
  <c r="F25" i="26" s="1"/>
  <c r="G520" i="25"/>
  <c r="F48" i="26"/>
  <c r="G59" i="23"/>
  <c r="G33" i="23"/>
  <c r="F18" i="26" l="1"/>
  <c r="F68" i="26"/>
  <c r="F67" i="26" s="1"/>
  <c r="G26" i="25"/>
  <c r="G25" i="25" s="1"/>
  <c r="G24" i="25" s="1"/>
  <c r="F206" i="26"/>
  <c r="F205" i="26" s="1"/>
  <c r="G490" i="25"/>
  <c r="G489" i="25" s="1"/>
  <c r="G488" i="25" s="1"/>
  <c r="F102" i="26"/>
  <c r="G74" i="25"/>
  <c r="F41" i="26"/>
  <c r="G22" i="25"/>
  <c r="F95" i="26"/>
  <c r="G92" i="25"/>
  <c r="I270" i="23"/>
  <c r="H248" i="26" l="1"/>
  <c r="H247" i="26" s="1"/>
  <c r="I149" i="25"/>
  <c r="I148" i="25" s="1"/>
  <c r="H556" i="26"/>
  <c r="H555" i="26" s="1"/>
  <c r="H554" i="26" s="1"/>
  <c r="H553" i="26" s="1"/>
  <c r="I528" i="25"/>
  <c r="I527" i="25" s="1"/>
  <c r="I526" i="25" s="1"/>
  <c r="I525" i="25" s="1"/>
  <c r="G140" i="23"/>
  <c r="F528" i="26" l="1"/>
  <c r="F527" i="26" s="1"/>
  <c r="G133" i="25"/>
  <c r="G131" i="25" s="1"/>
  <c r="G127" i="25" s="1"/>
  <c r="F524" i="26"/>
  <c r="F523" i="26" s="1"/>
  <c r="G415" i="25"/>
  <c r="G414" i="25" s="1"/>
  <c r="G413" i="25" s="1"/>
  <c r="F140" i="26" l="1"/>
  <c r="F139" i="26" s="1"/>
  <c r="F134" i="26" s="1"/>
  <c r="G49" i="25"/>
  <c r="G48" i="25" s="1"/>
  <c r="I625" i="23"/>
  <c r="H625" i="23"/>
  <c r="G625" i="23"/>
  <c r="G620" i="23"/>
  <c r="G618" i="23"/>
  <c r="G616" i="23"/>
  <c r="I612" i="23"/>
  <c r="H612" i="23"/>
  <c r="G612" i="23"/>
  <c r="I609" i="23"/>
  <c r="H609" i="23"/>
  <c r="G609" i="23"/>
  <c r="I607" i="23"/>
  <c r="H607" i="23"/>
  <c r="G604" i="23"/>
  <c r="G599" i="23"/>
  <c r="G597" i="23"/>
  <c r="G595" i="23"/>
  <c r="I593" i="23"/>
  <c r="G591" i="23"/>
  <c r="I588" i="23"/>
  <c r="G585" i="23"/>
  <c r="G583" i="23"/>
  <c r="G582" i="23"/>
  <c r="G579" i="23"/>
  <c r="I577" i="23"/>
  <c r="I570" i="23" s="1"/>
  <c r="H577" i="23"/>
  <c r="H570" i="23" s="1"/>
  <c r="G566" i="23"/>
  <c r="G565" i="23" s="1"/>
  <c r="G558" i="23"/>
  <c r="I556" i="23"/>
  <c r="I551" i="23" s="1"/>
  <c r="H556" i="23"/>
  <c r="H551" i="23" s="1"/>
  <c r="G554" i="23"/>
  <c r="G552" i="23"/>
  <c r="G549" i="23"/>
  <c r="G548" i="23" s="1"/>
  <c r="I545" i="23"/>
  <c r="I544" i="23" s="1"/>
  <c r="I543" i="23" s="1"/>
  <c r="H545" i="23"/>
  <c r="H544" i="23" s="1"/>
  <c r="H543" i="23" s="1"/>
  <c r="G545" i="23"/>
  <c r="G544" i="23" s="1"/>
  <c r="G543" i="23" s="1"/>
  <c r="G536" i="23"/>
  <c r="I528" i="23"/>
  <c r="H528" i="23"/>
  <c r="G525" i="23"/>
  <c r="G523" i="23"/>
  <c r="G521" i="23"/>
  <c r="G520" i="23"/>
  <c r="I512" i="23"/>
  <c r="H512" i="23"/>
  <c r="G512" i="23"/>
  <c r="I510" i="23"/>
  <c r="H510" i="23"/>
  <c r="G510" i="23"/>
  <c r="I507" i="23"/>
  <c r="H507" i="23"/>
  <c r="G507" i="23"/>
  <c r="I505" i="23"/>
  <c r="H505" i="23"/>
  <c r="G505" i="23"/>
  <c r="G504" i="23"/>
  <c r="I503" i="23"/>
  <c r="H503" i="23"/>
  <c r="I500" i="23"/>
  <c r="H500" i="23"/>
  <c r="G500" i="23"/>
  <c r="I495" i="23"/>
  <c r="H495" i="23"/>
  <c r="G495" i="23"/>
  <c r="I494" i="23"/>
  <c r="H494" i="23"/>
  <c r="G494" i="23"/>
  <c r="I493" i="23"/>
  <c r="H493" i="23"/>
  <c r="G493" i="23"/>
  <c r="I489" i="23"/>
  <c r="H489" i="23"/>
  <c r="G489" i="23"/>
  <c r="I486" i="23"/>
  <c r="H486" i="23"/>
  <c r="G486" i="23"/>
  <c r="I483" i="23"/>
  <c r="H483" i="23"/>
  <c r="G483" i="23"/>
  <c r="I481" i="23"/>
  <c r="H481" i="23"/>
  <c r="G481" i="23"/>
  <c r="I444" i="23"/>
  <c r="H444" i="23"/>
  <c r="G444" i="23"/>
  <c r="I478" i="23"/>
  <c r="H478" i="23"/>
  <c r="G478" i="23"/>
  <c r="I476" i="23"/>
  <c r="H476" i="23"/>
  <c r="G476" i="23"/>
  <c r="I474" i="23"/>
  <c r="H474" i="23"/>
  <c r="G474" i="23"/>
  <c r="I473" i="23"/>
  <c r="H473" i="23"/>
  <c r="G473" i="23"/>
  <c r="I469" i="23"/>
  <c r="H469" i="23"/>
  <c r="G469" i="23"/>
  <c r="I468" i="23"/>
  <c r="H468" i="23"/>
  <c r="I467" i="23"/>
  <c r="H467" i="23"/>
  <c r="I441" i="23"/>
  <c r="H441" i="23"/>
  <c r="I440" i="23"/>
  <c r="H440" i="23"/>
  <c r="G440" i="23"/>
  <c r="G439" i="23" s="1"/>
  <c r="I465" i="23"/>
  <c r="H465" i="23"/>
  <c r="G465" i="23"/>
  <c r="I464" i="23"/>
  <c r="H464" i="23"/>
  <c r="G464" i="23"/>
  <c r="I462" i="23"/>
  <c r="H462" i="23"/>
  <c r="G462" i="23"/>
  <c r="I461" i="23"/>
  <c r="H461" i="23"/>
  <c r="G461" i="23"/>
  <c r="I459" i="23"/>
  <c r="H459" i="23"/>
  <c r="G459" i="23"/>
  <c r="I458" i="23"/>
  <c r="H458" i="23"/>
  <c r="G458" i="23"/>
  <c r="I454" i="23"/>
  <c r="H454" i="23"/>
  <c r="G454" i="23"/>
  <c r="I452" i="23"/>
  <c r="H452" i="23"/>
  <c r="G452" i="23"/>
  <c r="I448" i="23"/>
  <c r="H448" i="23"/>
  <c r="I445" i="23"/>
  <c r="H445" i="23"/>
  <c r="G445" i="23"/>
  <c r="I436" i="23"/>
  <c r="H436" i="23"/>
  <c r="G436" i="23"/>
  <c r="I432" i="23"/>
  <c r="H432" i="23"/>
  <c r="I431" i="23"/>
  <c r="H431" i="23"/>
  <c r="Q430" i="23"/>
  <c r="P430" i="23"/>
  <c r="O430" i="23"/>
  <c r="N430" i="23"/>
  <c r="M430" i="23"/>
  <c r="L430" i="23"/>
  <c r="K430" i="23"/>
  <c r="J430" i="23"/>
  <c r="I429" i="23"/>
  <c r="H429" i="23"/>
  <c r="I424" i="23"/>
  <c r="I423" i="23" s="1"/>
  <c r="H424" i="23"/>
  <c r="H423" i="23" s="1"/>
  <c r="G424" i="23"/>
  <c r="G423" i="23" s="1"/>
  <c r="I420" i="23"/>
  <c r="H420" i="23"/>
  <c r="G420" i="23"/>
  <c r="I418" i="23"/>
  <c r="H418" i="23"/>
  <c r="I412" i="23"/>
  <c r="I411" i="23" s="1"/>
  <c r="I410" i="23" s="1"/>
  <c r="H412" i="23"/>
  <c r="H411" i="23" s="1"/>
  <c r="H410" i="23" s="1"/>
  <c r="G412" i="23"/>
  <c r="G411" i="23" s="1"/>
  <c r="G410" i="23" s="1"/>
  <c r="I407" i="23"/>
  <c r="H407" i="23"/>
  <c r="G407" i="23"/>
  <c r="I403" i="23"/>
  <c r="H403" i="23"/>
  <c r="G403" i="23"/>
  <c r="I401" i="23"/>
  <c r="H401" i="23"/>
  <c r="G399" i="23"/>
  <c r="I397" i="23"/>
  <c r="H397" i="23"/>
  <c r="G397" i="23"/>
  <c r="I394" i="23"/>
  <c r="H394" i="23"/>
  <c r="G394" i="23"/>
  <c r="I390" i="23"/>
  <c r="H390" i="23"/>
  <c r="G390" i="23"/>
  <c r="G386" i="23"/>
  <c r="I385" i="23"/>
  <c r="H385" i="23"/>
  <c r="Q383" i="23"/>
  <c r="P383" i="23"/>
  <c r="O383" i="23"/>
  <c r="N383" i="23"/>
  <c r="M383" i="23"/>
  <c r="L383" i="23"/>
  <c r="K383" i="23"/>
  <c r="J383" i="23"/>
  <c r="I380" i="23"/>
  <c r="H380" i="23"/>
  <c r="G380" i="23"/>
  <c r="I378" i="23"/>
  <c r="H378" i="23"/>
  <c r="G378" i="23"/>
  <c r="I376" i="23"/>
  <c r="H376" i="23"/>
  <c r="G374" i="23"/>
  <c r="I372" i="23"/>
  <c r="H372" i="23"/>
  <c r="G372" i="23"/>
  <c r="I371" i="23"/>
  <c r="I370" i="23" s="1"/>
  <c r="H371" i="23"/>
  <c r="H370" i="23" s="1"/>
  <c r="G370" i="23"/>
  <c r="I361" i="23"/>
  <c r="H361" i="23"/>
  <c r="G361" i="23"/>
  <c r="I360" i="23"/>
  <c r="H359" i="23"/>
  <c r="G359" i="23"/>
  <c r="I357" i="23"/>
  <c r="H357" i="23"/>
  <c r="G357" i="23"/>
  <c r="I356" i="23"/>
  <c r="H356" i="23"/>
  <c r="G356" i="23"/>
  <c r="I353" i="23"/>
  <c r="H353" i="23"/>
  <c r="G353" i="23"/>
  <c r="I349" i="23"/>
  <c r="H349" i="23"/>
  <c r="G349" i="23"/>
  <c r="I347" i="23"/>
  <c r="H347" i="23"/>
  <c r="G347" i="23"/>
  <c r="I344" i="23"/>
  <c r="H344" i="23"/>
  <c r="G344" i="23"/>
  <c r="I342" i="23"/>
  <c r="H342" i="23"/>
  <c r="G342" i="23"/>
  <c r="I341" i="23"/>
  <c r="I339" i="23" s="1"/>
  <c r="H341" i="23"/>
  <c r="I337" i="23"/>
  <c r="H337" i="23"/>
  <c r="G337" i="23"/>
  <c r="I335" i="23"/>
  <c r="H335" i="23"/>
  <c r="G335" i="23"/>
  <c r="I334" i="23"/>
  <c r="H334" i="23"/>
  <c r="G334" i="23"/>
  <c r="I333" i="23"/>
  <c r="H333" i="23"/>
  <c r="G333" i="23"/>
  <c r="H328" i="23"/>
  <c r="I325" i="23"/>
  <c r="G325" i="23"/>
  <c r="I324" i="23"/>
  <c r="H324" i="23"/>
  <c r="G323" i="23"/>
  <c r="I320" i="23"/>
  <c r="H320" i="23"/>
  <c r="G320" i="23"/>
  <c r="I318" i="23"/>
  <c r="H318" i="23"/>
  <c r="G318" i="23"/>
  <c r="I313" i="23"/>
  <c r="H313" i="23"/>
  <c r="G313" i="23"/>
  <c r="I310" i="23"/>
  <c r="H310" i="23"/>
  <c r="G310" i="23"/>
  <c r="I297" i="23"/>
  <c r="H297" i="23"/>
  <c r="G297" i="23"/>
  <c r="I293" i="23"/>
  <c r="I292" i="23" s="1"/>
  <c r="H293" i="23"/>
  <c r="H292" i="23" s="1"/>
  <c r="G292" i="23"/>
  <c r="I290" i="23"/>
  <c r="H290" i="23"/>
  <c r="G290" i="23"/>
  <c r="I289" i="23"/>
  <c r="H289" i="23"/>
  <c r="I284" i="23"/>
  <c r="H284" i="23"/>
  <c r="G284" i="23"/>
  <c r="I281" i="23"/>
  <c r="H281" i="23"/>
  <c r="G281" i="23"/>
  <c r="I280" i="23"/>
  <c r="I200" i="25" s="1"/>
  <c r="H280" i="23"/>
  <c r="H200" i="25" s="1"/>
  <c r="G280" i="23"/>
  <c r="G200" i="25" s="1"/>
  <c r="H276" i="23"/>
  <c r="H275" i="23" s="1"/>
  <c r="I273" i="23"/>
  <c r="H273" i="23"/>
  <c r="G271" i="23"/>
  <c r="I269" i="23"/>
  <c r="H270" i="23"/>
  <c r="G269" i="23"/>
  <c r="I267" i="23"/>
  <c r="H267" i="23"/>
  <c r="G267" i="23"/>
  <c r="I266" i="23"/>
  <c r="H266" i="23"/>
  <c r="I265" i="23"/>
  <c r="H265" i="23"/>
  <c r="I264" i="23"/>
  <c r="H264" i="23"/>
  <c r="I261" i="23"/>
  <c r="H261" i="23"/>
  <c r="I260" i="23"/>
  <c r="H260" i="23"/>
  <c r="I254" i="23"/>
  <c r="H228" i="26" s="1"/>
  <c r="H254" i="23"/>
  <c r="G228" i="26" s="1"/>
  <c r="F228" i="26"/>
  <c r="I253" i="23"/>
  <c r="H227" i="26" s="1"/>
  <c r="H253" i="23"/>
  <c r="G227" i="26" s="1"/>
  <c r="F227" i="26"/>
  <c r="I243" i="23"/>
  <c r="H243" i="23"/>
  <c r="I242" i="23"/>
  <c r="H242" i="23"/>
  <c r="I239" i="23"/>
  <c r="H239" i="23"/>
  <c r="I238" i="23"/>
  <c r="H238" i="23"/>
  <c r="G238" i="23"/>
  <c r="I237" i="23"/>
  <c r="H237" i="23"/>
  <c r="G234" i="23"/>
  <c r="I233" i="23"/>
  <c r="H211" i="26" s="1"/>
  <c r="H233" i="23"/>
  <c r="G211" i="26" s="1"/>
  <c r="F211" i="26"/>
  <c r="I232" i="23"/>
  <c r="H232" i="23"/>
  <c r="I226" i="23"/>
  <c r="I225" i="23" s="1"/>
  <c r="H226" i="23"/>
  <c r="H225" i="23" s="1"/>
  <c r="G226" i="23"/>
  <c r="G225" i="23" s="1"/>
  <c r="I223" i="23"/>
  <c r="H223" i="23"/>
  <c r="G223" i="23"/>
  <c r="I221" i="23"/>
  <c r="H221" i="23"/>
  <c r="G221" i="23"/>
  <c r="I217" i="23"/>
  <c r="H217" i="23"/>
  <c r="G217" i="23"/>
  <c r="I213" i="23"/>
  <c r="H213" i="23"/>
  <c r="G212" i="23"/>
  <c r="I210" i="23"/>
  <c r="H210" i="23"/>
  <c r="G210" i="23"/>
  <c r="I209" i="23"/>
  <c r="H209" i="23"/>
  <c r="G204" i="23"/>
  <c r="I203" i="23"/>
  <c r="H203" i="23"/>
  <c r="I201" i="23"/>
  <c r="H201" i="23"/>
  <c r="G201" i="23"/>
  <c r="G194" i="23"/>
  <c r="G193" i="23" s="1"/>
  <c r="G192" i="23" s="1"/>
  <c r="I190" i="23"/>
  <c r="H190" i="23"/>
  <c r="G190" i="23"/>
  <c r="I188" i="23"/>
  <c r="H188" i="23"/>
  <c r="G188" i="23"/>
  <c r="I184" i="23"/>
  <c r="H184" i="23"/>
  <c r="G184" i="23"/>
  <c r="I183" i="23"/>
  <c r="H183" i="23"/>
  <c r="I177" i="23"/>
  <c r="H177" i="23"/>
  <c r="G177" i="23"/>
  <c r="I174" i="23"/>
  <c r="H174" i="23"/>
  <c r="G174" i="23"/>
  <c r="I172" i="23"/>
  <c r="H172" i="23"/>
  <c r="G172" i="23"/>
  <c r="I170" i="23"/>
  <c r="H170" i="23"/>
  <c r="G170" i="23"/>
  <c r="I168" i="23"/>
  <c r="H168" i="23"/>
  <c r="G168" i="23"/>
  <c r="I164" i="23"/>
  <c r="H164" i="23"/>
  <c r="I162" i="23"/>
  <c r="H162" i="23"/>
  <c r="I161" i="23"/>
  <c r="H161" i="23"/>
  <c r="I155" i="23"/>
  <c r="H155" i="23"/>
  <c r="G155" i="23"/>
  <c r="I150" i="23"/>
  <c r="H150" i="23"/>
  <c r="I147" i="23"/>
  <c r="H147" i="23"/>
  <c r="G147" i="23"/>
  <c r="I146" i="23"/>
  <c r="H146" i="23"/>
  <c r="G143" i="23"/>
  <c r="I142" i="23"/>
  <c r="H142" i="23"/>
  <c r="G139" i="23"/>
  <c r="I134" i="23"/>
  <c r="I133" i="23" s="1"/>
  <c r="I132" i="23" s="1"/>
  <c r="H135" i="23"/>
  <c r="I130" i="23"/>
  <c r="I129" i="23" s="1"/>
  <c r="I128" i="23" s="1"/>
  <c r="H130" i="23"/>
  <c r="H129" i="23" s="1"/>
  <c r="H128" i="23" s="1"/>
  <c r="G130" i="23"/>
  <c r="G129" i="23" s="1"/>
  <c r="G128" i="23" s="1"/>
  <c r="I122" i="23"/>
  <c r="I121" i="23" s="1"/>
  <c r="H122" i="23"/>
  <c r="H121" i="23" s="1"/>
  <c r="G122" i="23"/>
  <c r="G121" i="23" s="1"/>
  <c r="I119" i="23"/>
  <c r="H119" i="23"/>
  <c r="G119" i="23"/>
  <c r="G117" i="23"/>
  <c r="G115" i="23"/>
  <c r="I113" i="23"/>
  <c r="H113" i="23"/>
  <c r="I112" i="23"/>
  <c r="H112" i="23"/>
  <c r="I108" i="23"/>
  <c r="H108" i="23"/>
  <c r="I103" i="23"/>
  <c r="I102" i="23" s="1"/>
  <c r="I101" i="23" s="1"/>
  <c r="H103" i="23"/>
  <c r="H102" i="23" s="1"/>
  <c r="H101" i="23" s="1"/>
  <c r="G103" i="23"/>
  <c r="G102" i="23" s="1"/>
  <c r="G101" i="23" s="1"/>
  <c r="G98" i="23"/>
  <c r="I95" i="23"/>
  <c r="I88" i="23" s="1"/>
  <c r="H95" i="23"/>
  <c r="H88" i="23" s="1"/>
  <c r="G95" i="23"/>
  <c r="G93" i="23"/>
  <c r="G83" i="23"/>
  <c r="G82" i="23" s="1"/>
  <c r="Q63" i="23"/>
  <c r="Q41" i="23" s="1"/>
  <c r="P63" i="23"/>
  <c r="P41" i="23" s="1"/>
  <c r="O63" i="23"/>
  <c r="O41" i="23" s="1"/>
  <c r="N63" i="23"/>
  <c r="N41" i="23" s="1"/>
  <c r="M63" i="23"/>
  <c r="M41" i="23" s="1"/>
  <c r="L63" i="23"/>
  <c r="L41" i="23" s="1"/>
  <c r="K63" i="23"/>
  <c r="K41" i="23" s="1"/>
  <c r="J63" i="23"/>
  <c r="J41" i="23" s="1"/>
  <c r="I63" i="23"/>
  <c r="H63" i="23"/>
  <c r="G63" i="23"/>
  <c r="G61" i="23"/>
  <c r="I60" i="23"/>
  <c r="H60" i="23"/>
  <c r="G60" i="23"/>
  <c r="I59" i="23"/>
  <c r="H59" i="23"/>
  <c r="I56" i="23"/>
  <c r="H56" i="23"/>
  <c r="G56" i="23"/>
  <c r="I54" i="23"/>
  <c r="H54" i="23"/>
  <c r="G54" i="23"/>
  <c r="I52" i="23"/>
  <c r="H52" i="23"/>
  <c r="G52" i="23"/>
  <c r="I50" i="23"/>
  <c r="H50" i="23"/>
  <c r="G50" i="23"/>
  <c r="I49" i="23"/>
  <c r="H49" i="23"/>
  <c r="G49" i="23"/>
  <c r="G84" i="25" s="1"/>
  <c r="I47" i="23"/>
  <c r="H47" i="23"/>
  <c r="I44" i="23"/>
  <c r="H44" i="23"/>
  <c r="G44" i="23"/>
  <c r="I42" i="23"/>
  <c r="H42" i="23"/>
  <c r="G42" i="23"/>
  <c r="I39" i="23"/>
  <c r="I38" i="23" s="1"/>
  <c r="H39" i="23"/>
  <c r="H38" i="23" s="1"/>
  <c r="G39" i="23"/>
  <c r="G38" i="23" s="1"/>
  <c r="I36" i="23"/>
  <c r="I35" i="23" s="1"/>
  <c r="H36" i="23"/>
  <c r="H35" i="23" s="1"/>
  <c r="G36" i="23"/>
  <c r="G35" i="23" s="1"/>
  <c r="I34" i="23"/>
  <c r="H34" i="23"/>
  <c r="I33" i="23"/>
  <c r="H33" i="23"/>
  <c r="I30" i="23"/>
  <c r="H30" i="23"/>
  <c r="G30" i="23"/>
  <c r="I29" i="23"/>
  <c r="H29" i="23"/>
  <c r="I28" i="23"/>
  <c r="H28" i="23"/>
  <c r="I27" i="23"/>
  <c r="H27" i="23"/>
  <c r="I24" i="23"/>
  <c r="H24" i="23"/>
  <c r="G24" i="23"/>
  <c r="I21" i="23"/>
  <c r="H21" i="23"/>
  <c r="G21" i="23"/>
  <c r="I18" i="23"/>
  <c r="H18" i="23"/>
  <c r="I587" i="23" l="1"/>
  <c r="I84" i="25"/>
  <c r="G88" i="23"/>
  <c r="H84" i="25"/>
  <c r="H87" i="23"/>
  <c r="I87" i="23"/>
  <c r="I499" i="23"/>
  <c r="H499" i="23"/>
  <c r="H226" i="26"/>
  <c r="F226" i="26"/>
  <c r="G20" i="23"/>
  <c r="F29" i="26"/>
  <c r="F28" i="26" s="1"/>
  <c r="G40" i="25"/>
  <c r="G39" i="25" s="1"/>
  <c r="H35" i="26"/>
  <c r="I18" i="25"/>
  <c r="I48" i="23"/>
  <c r="H60" i="26"/>
  <c r="H59" i="26" s="1"/>
  <c r="G96" i="26"/>
  <c r="H93" i="25"/>
  <c r="H111" i="23"/>
  <c r="G376" i="26"/>
  <c r="G375" i="26" s="1"/>
  <c r="H105" i="25"/>
  <c r="H104" i="25" s="1"/>
  <c r="H141" i="23"/>
  <c r="G526" i="26"/>
  <c r="G525" i="26" s="1"/>
  <c r="H546" i="26"/>
  <c r="I420" i="25"/>
  <c r="F215" i="26"/>
  <c r="G185" i="25"/>
  <c r="H221" i="26"/>
  <c r="I146" i="25"/>
  <c r="H239" i="26"/>
  <c r="I190" i="25"/>
  <c r="G244" i="26"/>
  <c r="H195" i="25"/>
  <c r="G254" i="26"/>
  <c r="G253" i="26" s="1"/>
  <c r="H156" i="25"/>
  <c r="H155" i="25" s="1"/>
  <c r="F386" i="26"/>
  <c r="G222" i="25"/>
  <c r="I384" i="23"/>
  <c r="H322" i="26"/>
  <c r="H321" i="26" s="1"/>
  <c r="H399" i="23"/>
  <c r="H383" i="23" s="1"/>
  <c r="G338" i="26"/>
  <c r="G336" i="26" s="1"/>
  <c r="H276" i="25"/>
  <c r="H274" i="25" s="1"/>
  <c r="H261" i="25" s="1"/>
  <c r="G356" i="26"/>
  <c r="H321" i="25"/>
  <c r="H357" i="26"/>
  <c r="I322" i="25"/>
  <c r="H451" i="23"/>
  <c r="G404" i="26"/>
  <c r="G403" i="26" s="1"/>
  <c r="H347" i="25"/>
  <c r="H346" i="25" s="1"/>
  <c r="F411" i="26"/>
  <c r="G359" i="25"/>
  <c r="G413" i="26"/>
  <c r="H361" i="25"/>
  <c r="H414" i="26"/>
  <c r="I362" i="25"/>
  <c r="F417" i="26"/>
  <c r="G365" i="25"/>
  <c r="G365" i="26"/>
  <c r="H334" i="25"/>
  <c r="H366" i="26"/>
  <c r="I335" i="25"/>
  <c r="F420" i="26"/>
  <c r="G368" i="25"/>
  <c r="H425" i="26"/>
  <c r="I373" i="25"/>
  <c r="G475" i="23"/>
  <c r="F428" i="26"/>
  <c r="F427" i="26" s="1"/>
  <c r="G376" i="25"/>
  <c r="G375" i="25" s="1"/>
  <c r="I442" i="23"/>
  <c r="H370" i="26"/>
  <c r="H368" i="26" s="1"/>
  <c r="I339" i="25"/>
  <c r="I337" i="25" s="1"/>
  <c r="F446" i="26"/>
  <c r="G399" i="25"/>
  <c r="F495" i="26"/>
  <c r="G290" i="25"/>
  <c r="G533" i="23"/>
  <c r="F517" i="26"/>
  <c r="F516" i="26" s="1"/>
  <c r="G408" i="25"/>
  <c r="G407" i="25" s="1"/>
  <c r="G406" i="25" s="1"/>
  <c r="G183" i="26"/>
  <c r="H509" i="25"/>
  <c r="H593" i="23"/>
  <c r="G187" i="26"/>
  <c r="G186" i="26" s="1"/>
  <c r="H511" i="25"/>
  <c r="H510" i="25" s="1"/>
  <c r="F196" i="26"/>
  <c r="F194" i="26" s="1"/>
  <c r="G487" i="25"/>
  <c r="F17" i="26"/>
  <c r="F16" i="26" s="1"/>
  <c r="F15" i="26" s="1"/>
  <c r="G16" i="25"/>
  <c r="G15" i="25" s="1"/>
  <c r="G17" i="23"/>
  <c r="G16" i="23" s="1"/>
  <c r="H20" i="23"/>
  <c r="G29" i="26"/>
  <c r="G28" i="26" s="1"/>
  <c r="H40" i="25"/>
  <c r="H39" i="25" s="1"/>
  <c r="I23" i="23"/>
  <c r="H32" i="26"/>
  <c r="H31" i="26" s="1"/>
  <c r="I43" i="25"/>
  <c r="I42" i="25" s="1"/>
  <c r="F36" i="26"/>
  <c r="G19" i="25"/>
  <c r="G37" i="26"/>
  <c r="H20" i="25"/>
  <c r="G42" i="26"/>
  <c r="H23" i="25"/>
  <c r="I46" i="23"/>
  <c r="H58" i="26"/>
  <c r="H57" i="26" s="1"/>
  <c r="I499" i="25"/>
  <c r="I498" i="25" s="1"/>
  <c r="I497" i="25" s="1"/>
  <c r="G95" i="26"/>
  <c r="H92" i="25"/>
  <c r="H96" i="26"/>
  <c r="I93" i="25"/>
  <c r="I107" i="23"/>
  <c r="H372" i="26"/>
  <c r="H371" i="26" s="1"/>
  <c r="I101" i="25"/>
  <c r="I100" i="25" s="1"/>
  <c r="I111" i="23"/>
  <c r="H376" i="26"/>
  <c r="H375" i="26" s="1"/>
  <c r="I105" i="25"/>
  <c r="I104" i="25" s="1"/>
  <c r="I141" i="23"/>
  <c r="H526" i="26"/>
  <c r="H525" i="26" s="1"/>
  <c r="I145" i="23"/>
  <c r="H530" i="26"/>
  <c r="H529" i="26" s="1"/>
  <c r="I417" i="25"/>
  <c r="I416" i="25" s="1"/>
  <c r="G149" i="23"/>
  <c r="F534" i="26"/>
  <c r="F533" i="26" s="1"/>
  <c r="G429" i="25"/>
  <c r="G428" i="25" s="1"/>
  <c r="H545" i="26"/>
  <c r="I419" i="25"/>
  <c r="G163" i="23"/>
  <c r="F548" i="26"/>
  <c r="F547" i="26" s="1"/>
  <c r="G422" i="25"/>
  <c r="G421" i="25" s="1"/>
  <c r="F92" i="26"/>
  <c r="G69" i="25"/>
  <c r="H520" i="25"/>
  <c r="G48" i="26"/>
  <c r="I521" i="25"/>
  <c r="H49" i="26"/>
  <c r="F210" i="26"/>
  <c r="F209" i="26" s="1"/>
  <c r="G83" i="25"/>
  <c r="G82" i="25" s="1"/>
  <c r="G81" i="25" s="1"/>
  <c r="G215" i="26"/>
  <c r="H185" i="25"/>
  <c r="H216" i="26"/>
  <c r="I186" i="25"/>
  <c r="G220" i="26"/>
  <c r="H145" i="25"/>
  <c r="G226" i="26"/>
  <c r="H238" i="26"/>
  <c r="I189" i="25"/>
  <c r="F242" i="26"/>
  <c r="G193" i="25"/>
  <c r="G243" i="26"/>
  <c r="H194" i="25"/>
  <c r="H244" i="26"/>
  <c r="I195" i="25"/>
  <c r="H271" i="23"/>
  <c r="G251" i="26"/>
  <c r="G249" i="26" s="1"/>
  <c r="H160" i="25"/>
  <c r="H158" i="25" s="1"/>
  <c r="G278" i="23"/>
  <c r="F258" i="26"/>
  <c r="F256" i="26" s="1"/>
  <c r="G198" i="25"/>
  <c r="H317" i="23"/>
  <c r="G295" i="26"/>
  <c r="G294" i="26" s="1"/>
  <c r="H259" i="25"/>
  <c r="H258" i="25" s="1"/>
  <c r="G386" i="26"/>
  <c r="H222" i="25"/>
  <c r="H387" i="26"/>
  <c r="I223" i="25"/>
  <c r="G339" i="23"/>
  <c r="F394" i="26"/>
  <c r="F392" i="26" s="1"/>
  <c r="G232" i="25"/>
  <c r="G230" i="25" s="1"/>
  <c r="I355" i="23"/>
  <c r="H470" i="26"/>
  <c r="H469" i="26" s="1"/>
  <c r="I236" i="25"/>
  <c r="I235" i="25" s="1"/>
  <c r="I399" i="23"/>
  <c r="I383" i="23" s="1"/>
  <c r="H338" i="26"/>
  <c r="H336" i="26" s="1"/>
  <c r="I276" i="25"/>
  <c r="I274" i="25" s="1"/>
  <c r="I261" i="25" s="1"/>
  <c r="I417" i="23"/>
  <c r="I416" i="23" s="1"/>
  <c r="I415" i="23" s="1"/>
  <c r="H428" i="23"/>
  <c r="G354" i="26"/>
  <c r="G353" i="26" s="1"/>
  <c r="H319" i="25"/>
  <c r="H318" i="25" s="1"/>
  <c r="H356" i="26"/>
  <c r="I321" i="25"/>
  <c r="F401" i="26"/>
  <c r="G344" i="25"/>
  <c r="I451" i="23"/>
  <c r="H404" i="26"/>
  <c r="H403" i="26" s="1"/>
  <c r="I347" i="25"/>
  <c r="I346" i="25" s="1"/>
  <c r="F410" i="26"/>
  <c r="G358" i="25"/>
  <c r="G411" i="26"/>
  <c r="H359" i="25"/>
  <c r="H413" i="26"/>
  <c r="I361" i="25"/>
  <c r="F416" i="26"/>
  <c r="F415" i="26" s="1"/>
  <c r="G364" i="25"/>
  <c r="G417" i="26"/>
  <c r="H365" i="25"/>
  <c r="H365" i="26"/>
  <c r="I334" i="25"/>
  <c r="F419" i="26"/>
  <c r="G367" i="25"/>
  <c r="G420" i="26"/>
  <c r="H368" i="25"/>
  <c r="F426" i="26"/>
  <c r="G374" i="25"/>
  <c r="H475" i="23"/>
  <c r="G428" i="26"/>
  <c r="G427" i="26" s="1"/>
  <c r="H376" i="25"/>
  <c r="H375" i="25" s="1"/>
  <c r="G480" i="23"/>
  <c r="F433" i="26"/>
  <c r="F432" i="26" s="1"/>
  <c r="G383" i="25"/>
  <c r="G382" i="25" s="1"/>
  <c r="F445" i="26"/>
  <c r="G398" i="25"/>
  <c r="G446" i="26"/>
  <c r="H399" i="25"/>
  <c r="F496" i="26"/>
  <c r="G291" i="25"/>
  <c r="G527" i="23"/>
  <c r="F511" i="26"/>
  <c r="F510" i="26" s="1"/>
  <c r="G311" i="25"/>
  <c r="G310" i="25" s="1"/>
  <c r="G309" i="25" s="1"/>
  <c r="G581" i="23"/>
  <c r="F175" i="26"/>
  <c r="F174" i="26" s="1"/>
  <c r="G451" i="25"/>
  <c r="G450" i="25" s="1"/>
  <c r="G449" i="25" s="1"/>
  <c r="F182" i="26"/>
  <c r="G607" i="23"/>
  <c r="G606" i="23" s="1"/>
  <c r="F201" i="26"/>
  <c r="F200" i="26" s="1"/>
  <c r="F199" i="26" s="1"/>
  <c r="G448" i="25"/>
  <c r="G447" i="25" s="1"/>
  <c r="G446" i="25" s="1"/>
  <c r="F42" i="26"/>
  <c r="F40" i="26" s="1"/>
  <c r="G23" i="25"/>
  <c r="G21" i="25" s="1"/>
  <c r="G49" i="26"/>
  <c r="H521" i="25"/>
  <c r="I288" i="23"/>
  <c r="I287" i="23" s="1"/>
  <c r="H267" i="26"/>
  <c r="H266" i="26" s="1"/>
  <c r="G317" i="23"/>
  <c r="F295" i="26"/>
  <c r="F294" i="26" s="1"/>
  <c r="G259" i="25"/>
  <c r="G258" i="25" s="1"/>
  <c r="G247" i="25" s="1"/>
  <c r="H417" i="23"/>
  <c r="H416" i="23" s="1"/>
  <c r="H415" i="23" s="1"/>
  <c r="G17" i="26"/>
  <c r="G16" i="26" s="1"/>
  <c r="G15" i="26" s="1"/>
  <c r="H16" i="25"/>
  <c r="H15" i="25" s="1"/>
  <c r="H17" i="23"/>
  <c r="H16" i="23" s="1"/>
  <c r="F35" i="26"/>
  <c r="G18" i="25"/>
  <c r="G41" i="26"/>
  <c r="H22" i="25"/>
  <c r="I520" i="25"/>
  <c r="H48" i="26"/>
  <c r="G210" i="26"/>
  <c r="G209" i="26" s="1"/>
  <c r="H83" i="25"/>
  <c r="F217" i="26"/>
  <c r="G187" i="25"/>
  <c r="H220" i="26"/>
  <c r="I145" i="25"/>
  <c r="F239" i="26"/>
  <c r="G190" i="25"/>
  <c r="G242" i="26"/>
  <c r="H193" i="25"/>
  <c r="H243" i="26"/>
  <c r="I194" i="25"/>
  <c r="H269" i="23"/>
  <c r="G248" i="26"/>
  <c r="G247" i="26" s="1"/>
  <c r="H149" i="25"/>
  <c r="H148" i="25" s="1"/>
  <c r="I271" i="23"/>
  <c r="H251" i="26"/>
  <c r="H249" i="26" s="1"/>
  <c r="I160" i="25"/>
  <c r="I158" i="25" s="1"/>
  <c r="H278" i="23"/>
  <c r="G258" i="26"/>
  <c r="G256" i="26" s="1"/>
  <c r="H198" i="25"/>
  <c r="G288" i="23"/>
  <c r="G287" i="23" s="1"/>
  <c r="F267" i="26"/>
  <c r="F266" i="26" s="1"/>
  <c r="F265" i="26" s="1"/>
  <c r="G302" i="23"/>
  <c r="G296" i="23" s="1"/>
  <c r="F293" i="26"/>
  <c r="F291" i="26" s="1"/>
  <c r="F285" i="26" s="1"/>
  <c r="G203" i="25"/>
  <c r="G201" i="25" s="1"/>
  <c r="H295" i="26"/>
  <c r="H294" i="26" s="1"/>
  <c r="I259" i="25"/>
  <c r="I258" i="25" s="1"/>
  <c r="H386" i="26"/>
  <c r="I222" i="25"/>
  <c r="H339" i="23"/>
  <c r="G394" i="26"/>
  <c r="G392" i="26" s="1"/>
  <c r="H232" i="25"/>
  <c r="H230" i="25" s="1"/>
  <c r="H374" i="23"/>
  <c r="H369" i="23" s="1"/>
  <c r="G274" i="26"/>
  <c r="G272" i="26" s="1"/>
  <c r="H152" i="25"/>
  <c r="H150" i="25" s="1"/>
  <c r="G384" i="23"/>
  <c r="G383" i="23" s="1"/>
  <c r="F322" i="26"/>
  <c r="F321" i="26" s="1"/>
  <c r="F320" i="26" s="1"/>
  <c r="I428" i="23"/>
  <c r="H354" i="26"/>
  <c r="H353" i="26" s="1"/>
  <c r="I319" i="25"/>
  <c r="I318" i="25" s="1"/>
  <c r="F357" i="26"/>
  <c r="G322" i="25"/>
  <c r="F402" i="26"/>
  <c r="G345" i="25"/>
  <c r="G410" i="26"/>
  <c r="H358" i="25"/>
  <c r="H411" i="26"/>
  <c r="I359" i="25"/>
  <c r="F414" i="26"/>
  <c r="G362" i="25"/>
  <c r="G416" i="26"/>
  <c r="H364" i="25"/>
  <c r="H363" i="25" s="1"/>
  <c r="H417" i="26"/>
  <c r="I365" i="25"/>
  <c r="G419" i="26"/>
  <c r="H367" i="25"/>
  <c r="H420" i="26"/>
  <c r="I368" i="25"/>
  <c r="F425" i="26"/>
  <c r="G373" i="25"/>
  <c r="G426" i="26"/>
  <c r="H374" i="25"/>
  <c r="I475" i="23"/>
  <c r="H428" i="26"/>
  <c r="H427" i="26" s="1"/>
  <c r="I376" i="25"/>
  <c r="I375" i="25" s="1"/>
  <c r="G442" i="23"/>
  <c r="F370" i="26"/>
  <c r="F368" i="26" s="1"/>
  <c r="G339" i="25"/>
  <c r="G337" i="25" s="1"/>
  <c r="H480" i="23"/>
  <c r="G433" i="26"/>
  <c r="G432" i="26" s="1"/>
  <c r="H383" i="25"/>
  <c r="H382" i="25" s="1"/>
  <c r="G445" i="26"/>
  <c r="H398" i="25"/>
  <c r="H446" i="26"/>
  <c r="I399" i="25"/>
  <c r="H527" i="23"/>
  <c r="H515" i="23" s="1"/>
  <c r="G511" i="26"/>
  <c r="G510" i="26" s="1"/>
  <c r="G488" i="26" s="1"/>
  <c r="H311" i="25"/>
  <c r="H310" i="25" s="1"/>
  <c r="H309" i="25" s="1"/>
  <c r="G556" i="23"/>
  <c r="G551" i="23" s="1"/>
  <c r="G472" i="25"/>
  <c r="G471" i="25" s="1"/>
  <c r="G466" i="25" s="1"/>
  <c r="F127" i="26"/>
  <c r="F126" i="26" s="1"/>
  <c r="F121" i="26" s="1"/>
  <c r="H508" i="25"/>
  <c r="G182" i="26"/>
  <c r="H23" i="23"/>
  <c r="G32" i="26"/>
  <c r="G31" i="26" s="1"/>
  <c r="H43" i="25"/>
  <c r="H42" i="25" s="1"/>
  <c r="F37" i="26"/>
  <c r="G20" i="25"/>
  <c r="H46" i="23"/>
  <c r="H499" i="25"/>
  <c r="H498" i="25" s="1"/>
  <c r="H497" i="25" s="1"/>
  <c r="G58" i="26"/>
  <c r="G57" i="26" s="1"/>
  <c r="I67" i="23"/>
  <c r="H103" i="26"/>
  <c r="H101" i="26" s="1"/>
  <c r="I75" i="25"/>
  <c r="I73" i="25" s="1"/>
  <c r="I72" i="25" s="1"/>
  <c r="H107" i="23"/>
  <c r="H106" i="23" s="1"/>
  <c r="G372" i="26"/>
  <c r="G371" i="26" s="1"/>
  <c r="H101" i="25"/>
  <c r="H100" i="25" s="1"/>
  <c r="G113" i="23"/>
  <c r="F378" i="26"/>
  <c r="F377" i="26" s="1"/>
  <c r="G107" i="25"/>
  <c r="G106" i="25" s="1"/>
  <c r="H134" i="23"/>
  <c r="H133" i="23" s="1"/>
  <c r="H132" i="23" s="1"/>
  <c r="G556" i="26"/>
  <c r="G555" i="26" s="1"/>
  <c r="G554" i="26" s="1"/>
  <c r="G553" i="26" s="1"/>
  <c r="H528" i="25"/>
  <c r="H527" i="25" s="1"/>
  <c r="H526" i="25" s="1"/>
  <c r="H525" i="25" s="1"/>
  <c r="H145" i="23"/>
  <c r="G530" i="26"/>
  <c r="G529" i="26" s="1"/>
  <c r="H417" i="25"/>
  <c r="H416" i="25" s="1"/>
  <c r="G545" i="26"/>
  <c r="H419" i="25"/>
  <c r="H91" i="26"/>
  <c r="I68" i="25"/>
  <c r="G203" i="23"/>
  <c r="G200" i="23" s="1"/>
  <c r="G196" i="23" s="1"/>
  <c r="F460" i="26"/>
  <c r="F459" i="26" s="1"/>
  <c r="G111" i="25"/>
  <c r="G110" i="25" s="1"/>
  <c r="I212" i="23"/>
  <c r="H52" i="26"/>
  <c r="H51" i="26" s="1"/>
  <c r="I518" i="25"/>
  <c r="I517" i="25" s="1"/>
  <c r="G216" i="26"/>
  <c r="H186" i="25"/>
  <c r="H217" i="26"/>
  <c r="I187" i="25"/>
  <c r="G238" i="26"/>
  <c r="H189" i="25"/>
  <c r="F243" i="26"/>
  <c r="G194" i="25"/>
  <c r="I302" i="23"/>
  <c r="H293" i="26"/>
  <c r="H291" i="26" s="1"/>
  <c r="I203" i="25"/>
  <c r="I201" i="25" s="1"/>
  <c r="I323" i="23"/>
  <c r="H313" i="26"/>
  <c r="H312" i="26" s="1"/>
  <c r="I252" i="25"/>
  <c r="I251" i="25" s="1"/>
  <c r="G387" i="26"/>
  <c r="H223" i="25"/>
  <c r="H355" i="23"/>
  <c r="H346" i="23" s="1"/>
  <c r="G470" i="26"/>
  <c r="G469" i="26" s="1"/>
  <c r="G451" i="26" s="1"/>
  <c r="H236" i="25"/>
  <c r="H235" i="25" s="1"/>
  <c r="G428" i="23"/>
  <c r="F354" i="26"/>
  <c r="F353" i="26" s="1"/>
  <c r="G319" i="25"/>
  <c r="G318" i="25" s="1"/>
  <c r="I20" i="23"/>
  <c r="H29" i="26"/>
  <c r="H28" i="26" s="1"/>
  <c r="I40" i="25"/>
  <c r="I39" i="25" s="1"/>
  <c r="G36" i="26"/>
  <c r="H19" i="25"/>
  <c r="H37" i="26"/>
  <c r="I20" i="25"/>
  <c r="H42" i="26"/>
  <c r="I23" i="25"/>
  <c r="G48" i="23"/>
  <c r="F60" i="26"/>
  <c r="F59" i="26" s="1"/>
  <c r="H95" i="26"/>
  <c r="I92" i="25"/>
  <c r="G67" i="23"/>
  <c r="F103" i="26"/>
  <c r="F101" i="26" s="1"/>
  <c r="G75" i="25"/>
  <c r="G73" i="25" s="1"/>
  <c r="G72" i="25" s="1"/>
  <c r="G109" i="23"/>
  <c r="F374" i="26"/>
  <c r="F373" i="26" s="1"/>
  <c r="G103" i="25"/>
  <c r="G102" i="25" s="1"/>
  <c r="H149" i="23"/>
  <c r="G534" i="26"/>
  <c r="G533" i="26" s="1"/>
  <c r="H429" i="25"/>
  <c r="H428" i="25" s="1"/>
  <c r="F546" i="26"/>
  <c r="G420" i="25"/>
  <c r="H163" i="23"/>
  <c r="G548" i="26"/>
  <c r="G547" i="26" s="1"/>
  <c r="H422" i="25"/>
  <c r="H421" i="25" s="1"/>
  <c r="F91" i="26"/>
  <c r="G68" i="25"/>
  <c r="G92" i="26"/>
  <c r="H69" i="25"/>
  <c r="H215" i="26"/>
  <c r="I185" i="25"/>
  <c r="H17" i="26"/>
  <c r="H16" i="26" s="1"/>
  <c r="H15" i="26" s="1"/>
  <c r="I16" i="25"/>
  <c r="I15" i="25" s="1"/>
  <c r="I17" i="23"/>
  <c r="I16" i="23" s="1"/>
  <c r="G23" i="23"/>
  <c r="F32" i="26"/>
  <c r="F31" i="26" s="1"/>
  <c r="G43" i="25"/>
  <c r="G42" i="25" s="1"/>
  <c r="G35" i="26"/>
  <c r="H18" i="25"/>
  <c r="H36" i="26"/>
  <c r="I19" i="25"/>
  <c r="H41" i="26"/>
  <c r="I22" i="25"/>
  <c r="G46" i="23"/>
  <c r="G499" i="25"/>
  <c r="G498" i="25" s="1"/>
  <c r="G497" i="25" s="1"/>
  <c r="F58" i="26"/>
  <c r="F57" i="26" s="1"/>
  <c r="H48" i="23"/>
  <c r="G60" i="26"/>
  <c r="G59" i="26" s="1"/>
  <c r="F96" i="26"/>
  <c r="F94" i="26" s="1"/>
  <c r="G93" i="25"/>
  <c r="G91" i="25" s="1"/>
  <c r="G90" i="25" s="1"/>
  <c r="H67" i="23"/>
  <c r="G103" i="26"/>
  <c r="G101" i="26" s="1"/>
  <c r="H75" i="25"/>
  <c r="H73" i="25" s="1"/>
  <c r="H72" i="25" s="1"/>
  <c r="G107" i="23"/>
  <c r="F372" i="26"/>
  <c r="F371" i="26" s="1"/>
  <c r="G101" i="25"/>
  <c r="G100" i="25" s="1"/>
  <c r="G111" i="23"/>
  <c r="F376" i="26"/>
  <c r="F375" i="26" s="1"/>
  <c r="G105" i="25"/>
  <c r="G104" i="25" s="1"/>
  <c r="G141" i="23"/>
  <c r="F526" i="26"/>
  <c r="F525" i="26" s="1"/>
  <c r="G145" i="23"/>
  <c r="G138" i="23" s="1"/>
  <c r="F530" i="26"/>
  <c r="F529" i="26" s="1"/>
  <c r="G417" i="25"/>
  <c r="G416" i="25" s="1"/>
  <c r="I149" i="23"/>
  <c r="H534" i="26"/>
  <c r="H533" i="26" s="1"/>
  <c r="I429" i="25"/>
  <c r="I428" i="25" s="1"/>
  <c r="F545" i="26"/>
  <c r="G419" i="25"/>
  <c r="G546" i="26"/>
  <c r="H420" i="25"/>
  <c r="I163" i="23"/>
  <c r="H548" i="26"/>
  <c r="H547" i="26" s="1"/>
  <c r="I422" i="25"/>
  <c r="I421" i="25" s="1"/>
  <c r="G91" i="26"/>
  <c r="H68" i="25"/>
  <c r="H92" i="26"/>
  <c r="I69" i="25"/>
  <c r="F49" i="26"/>
  <c r="F47" i="26" s="1"/>
  <c r="F46" i="26" s="1"/>
  <c r="G521" i="25"/>
  <c r="G519" i="25" s="1"/>
  <c r="G512" i="25" s="1"/>
  <c r="H212" i="23"/>
  <c r="H518" i="25"/>
  <c r="H517" i="25" s="1"/>
  <c r="G52" i="26"/>
  <c r="G51" i="26" s="1"/>
  <c r="H210" i="26"/>
  <c r="H209" i="26" s="1"/>
  <c r="I83" i="25"/>
  <c r="F216" i="26"/>
  <c r="G186" i="25"/>
  <c r="G217" i="26"/>
  <c r="H187" i="25"/>
  <c r="G221" i="26"/>
  <c r="H146" i="25"/>
  <c r="F238" i="26"/>
  <c r="G189" i="25"/>
  <c r="G239" i="26"/>
  <c r="H190" i="25"/>
  <c r="H242" i="26"/>
  <c r="I193" i="25"/>
  <c r="F244" i="26"/>
  <c r="G195" i="25"/>
  <c r="F254" i="26"/>
  <c r="F253" i="26" s="1"/>
  <c r="G156" i="25"/>
  <c r="G155" i="25" s="1"/>
  <c r="I278" i="23"/>
  <c r="H258" i="26"/>
  <c r="H256" i="26" s="1"/>
  <c r="I198" i="25"/>
  <c r="H288" i="23"/>
  <c r="H287" i="23" s="1"/>
  <c r="G267" i="26"/>
  <c r="G266" i="26" s="1"/>
  <c r="H302" i="23"/>
  <c r="G293" i="26"/>
  <c r="G291" i="26" s="1"/>
  <c r="H203" i="25"/>
  <c r="H201" i="25" s="1"/>
  <c r="I317" i="23"/>
  <c r="H323" i="23"/>
  <c r="G313" i="26"/>
  <c r="G312" i="26" s="1"/>
  <c r="H252" i="25"/>
  <c r="H251" i="25" s="1"/>
  <c r="H325" i="23"/>
  <c r="G317" i="26"/>
  <c r="G314" i="26" s="1"/>
  <c r="H256" i="25"/>
  <c r="H253" i="25" s="1"/>
  <c r="F387" i="26"/>
  <c r="G223" i="25"/>
  <c r="H394" i="26"/>
  <c r="H392" i="26" s="1"/>
  <c r="I232" i="25"/>
  <c r="I230" i="25" s="1"/>
  <c r="G355" i="23"/>
  <c r="G346" i="23" s="1"/>
  <c r="F470" i="26"/>
  <c r="F469" i="26" s="1"/>
  <c r="G236" i="25"/>
  <c r="G235" i="25" s="1"/>
  <c r="I359" i="23"/>
  <c r="I346" i="23" s="1"/>
  <c r="H474" i="26"/>
  <c r="H473" i="26" s="1"/>
  <c r="I240" i="25"/>
  <c r="I239" i="25" s="1"/>
  <c r="I374" i="23"/>
  <c r="I369" i="23" s="1"/>
  <c r="H274" i="26"/>
  <c r="H272" i="26" s="1"/>
  <c r="H265" i="26" s="1"/>
  <c r="I152" i="25"/>
  <c r="I150" i="25" s="1"/>
  <c r="H384" i="23"/>
  <c r="G322" i="26"/>
  <c r="G321" i="26" s="1"/>
  <c r="G417" i="23"/>
  <c r="G416" i="23" s="1"/>
  <c r="G415" i="23" s="1"/>
  <c r="F356" i="26"/>
  <c r="G321" i="25"/>
  <c r="G357" i="26"/>
  <c r="H322" i="25"/>
  <c r="G451" i="23"/>
  <c r="F404" i="26"/>
  <c r="F403" i="26" s="1"/>
  <c r="G347" i="25"/>
  <c r="G346" i="25" s="1"/>
  <c r="H410" i="26"/>
  <c r="I358" i="25"/>
  <c r="F413" i="26"/>
  <c r="G361" i="25"/>
  <c r="G414" i="26"/>
  <c r="H362" i="25"/>
  <c r="H416" i="26"/>
  <c r="I364" i="25"/>
  <c r="F365" i="26"/>
  <c r="F364" i="26" s="1"/>
  <c r="G334" i="25"/>
  <c r="G333" i="25" s="1"/>
  <c r="G366" i="26"/>
  <c r="H335" i="25"/>
  <c r="H419" i="26"/>
  <c r="I367" i="25"/>
  <c r="G425" i="26"/>
  <c r="H373" i="25"/>
  <c r="H426" i="26"/>
  <c r="I374" i="25"/>
  <c r="H442" i="23"/>
  <c r="G370" i="26"/>
  <c r="G368" i="26" s="1"/>
  <c r="H339" i="25"/>
  <c r="H337" i="25" s="1"/>
  <c r="I480" i="23"/>
  <c r="H433" i="26"/>
  <c r="H432" i="26" s="1"/>
  <c r="I383" i="25"/>
  <c r="I382" i="25" s="1"/>
  <c r="H445" i="26"/>
  <c r="I398" i="25"/>
  <c r="G503" i="23"/>
  <c r="G499" i="23" s="1"/>
  <c r="F453" i="26"/>
  <c r="F452" i="26" s="1"/>
  <c r="G332" i="25"/>
  <c r="G331" i="25" s="1"/>
  <c r="I527" i="23"/>
  <c r="I515" i="23" s="1"/>
  <c r="H511" i="26"/>
  <c r="H510" i="26" s="1"/>
  <c r="H488" i="26" s="1"/>
  <c r="I311" i="25"/>
  <c r="I310" i="25" s="1"/>
  <c r="I309" i="25" s="1"/>
  <c r="G577" i="23"/>
  <c r="G443" i="25"/>
  <c r="G442" i="25" s="1"/>
  <c r="G435" i="25" s="1"/>
  <c r="F171" i="26"/>
  <c r="F170" i="26" s="1"/>
  <c r="G509" i="25"/>
  <c r="F183" i="26"/>
  <c r="G593" i="23"/>
  <c r="G510" i="25"/>
  <c r="F187" i="26"/>
  <c r="F186" i="26" s="1"/>
  <c r="G87" i="23"/>
  <c r="G430" i="23"/>
  <c r="I439" i="23"/>
  <c r="G588" i="23"/>
  <c r="H606" i="23"/>
  <c r="H402" i="23"/>
  <c r="I208" i="23"/>
  <c r="I26" i="23"/>
  <c r="I231" i="23"/>
  <c r="G236" i="23"/>
  <c r="I236" i="23"/>
  <c r="I252" i="23"/>
  <c r="H263" i="23"/>
  <c r="H332" i="23"/>
  <c r="H466" i="23"/>
  <c r="H182" i="23"/>
  <c r="H167" i="23" s="1"/>
  <c r="H166" i="23" s="1"/>
  <c r="G208" i="23"/>
  <c r="G207" i="23" s="1"/>
  <c r="G206" i="23" s="1"/>
  <c r="G205" i="23" s="1"/>
  <c r="H439" i="23"/>
  <c r="H472" i="23"/>
  <c r="I492" i="23"/>
  <c r="H32" i="23"/>
  <c r="G58" i="23"/>
  <c r="H187" i="23"/>
  <c r="H186" i="23" s="1"/>
  <c r="I259" i="23"/>
  <c r="I332" i="23"/>
  <c r="I331" i="23" s="1"/>
  <c r="I377" i="23"/>
  <c r="H430" i="23"/>
  <c r="I430" i="23"/>
  <c r="G448" i="23"/>
  <c r="G457" i="23"/>
  <c r="G466" i="23"/>
  <c r="G160" i="23"/>
  <c r="I182" i="23"/>
  <c r="I167" i="23" s="1"/>
  <c r="I166" i="23" s="1"/>
  <c r="G187" i="23"/>
  <c r="G186" i="23" s="1"/>
  <c r="H259" i="23"/>
  <c r="I263" i="23"/>
  <c r="I402" i="23"/>
  <c r="G460" i="23"/>
  <c r="I463" i="23"/>
  <c r="G472" i="23"/>
  <c r="H492" i="23"/>
  <c r="H457" i="23"/>
  <c r="H463" i="23"/>
  <c r="H58" i="23"/>
  <c r="G32" i="23"/>
  <c r="I160" i="23"/>
  <c r="I187" i="23"/>
  <c r="I186" i="23" s="1"/>
  <c r="H200" i="23"/>
  <c r="H196" i="23" s="1"/>
  <c r="I466" i="23"/>
  <c r="G518" i="23"/>
  <c r="G515" i="23" s="1"/>
  <c r="I606" i="23"/>
  <c r="G615" i="23"/>
  <c r="G614" i="23" s="1"/>
  <c r="I81" i="23"/>
  <c r="I216" i="23"/>
  <c r="I215" i="23" s="1"/>
  <c r="I214" i="23" s="1"/>
  <c r="I240" i="23"/>
  <c r="G369" i="23"/>
  <c r="G182" i="23"/>
  <c r="G167" i="23" s="1"/>
  <c r="G166" i="23" s="1"/>
  <c r="G332" i="23"/>
  <c r="I460" i="23"/>
  <c r="G463" i="23"/>
  <c r="I58" i="23"/>
  <c r="G81" i="23"/>
  <c r="H208" i="23"/>
  <c r="G240" i="23"/>
  <c r="G252" i="23"/>
  <c r="G377" i="23"/>
  <c r="H377" i="23"/>
  <c r="G492" i="23"/>
  <c r="G26" i="23"/>
  <c r="H26" i="23"/>
  <c r="G231" i="23"/>
  <c r="H240" i="23"/>
  <c r="H252" i="23"/>
  <c r="G402" i="23"/>
  <c r="I457" i="23"/>
  <c r="H588" i="23"/>
  <c r="H587" i="23" s="1"/>
  <c r="I32" i="23"/>
  <c r="H216" i="23"/>
  <c r="H215" i="23" s="1"/>
  <c r="H214" i="23" s="1"/>
  <c r="H231" i="23"/>
  <c r="G263" i="23"/>
  <c r="H460" i="23"/>
  <c r="I472" i="23"/>
  <c r="H160" i="23"/>
  <c r="G216" i="23"/>
  <c r="G215" i="23" s="1"/>
  <c r="G214" i="23" s="1"/>
  <c r="H236" i="23"/>
  <c r="I200" i="23"/>
  <c r="I196" i="23" s="1"/>
  <c r="G259" i="23"/>
  <c r="I138" i="23" l="1"/>
  <c r="H138" i="23"/>
  <c r="H320" i="26"/>
  <c r="G522" i="26"/>
  <c r="F522" i="26"/>
  <c r="H522" i="26"/>
  <c r="G320" i="26"/>
  <c r="G319" i="26" s="1"/>
  <c r="I296" i="23"/>
  <c r="H296" i="23"/>
  <c r="H285" i="26"/>
  <c r="G285" i="26"/>
  <c r="G587" i="23"/>
  <c r="G485" i="25"/>
  <c r="G484" i="25" s="1"/>
  <c r="G465" i="25" s="1"/>
  <c r="G265" i="26"/>
  <c r="G247" i="23"/>
  <c r="I247" i="23"/>
  <c r="H247" i="23"/>
  <c r="G427" i="23"/>
  <c r="I427" i="23"/>
  <c r="H427" i="23"/>
  <c r="F163" i="26"/>
  <c r="F100" i="26"/>
  <c r="F99" i="26" s="1"/>
  <c r="H100" i="26"/>
  <c r="H99" i="26" s="1"/>
  <c r="H66" i="23"/>
  <c r="H65" i="23" s="1"/>
  <c r="I230" i="23"/>
  <c r="G100" i="26"/>
  <c r="G99" i="26" s="1"/>
  <c r="G66" i="23"/>
  <c r="G65" i="23" s="1"/>
  <c r="I66" i="23"/>
  <c r="I65" i="23" s="1"/>
  <c r="G188" i="25"/>
  <c r="H67" i="25"/>
  <c r="H47" i="25" s="1"/>
  <c r="F544" i="26"/>
  <c r="F543" i="26" s="1"/>
  <c r="G331" i="23"/>
  <c r="G330" i="23" s="1"/>
  <c r="G230" i="23"/>
  <c r="H230" i="23"/>
  <c r="G159" i="23"/>
  <c r="I330" i="23"/>
  <c r="G570" i="23"/>
  <c r="G218" i="26"/>
  <c r="H451" i="26"/>
  <c r="F451" i="26"/>
  <c r="H438" i="23"/>
  <c r="I438" i="23"/>
  <c r="G438" i="23"/>
  <c r="I372" i="25"/>
  <c r="H360" i="25"/>
  <c r="I418" i="25"/>
  <c r="I412" i="25" s="1"/>
  <c r="H159" i="23"/>
  <c r="H94" i="26"/>
  <c r="I106" i="23"/>
  <c r="I105" i="23" s="1"/>
  <c r="H564" i="23"/>
  <c r="H331" i="23"/>
  <c r="H330" i="23" s="1"/>
  <c r="H382" i="23"/>
  <c r="I159" i="23"/>
  <c r="I564" i="23"/>
  <c r="H41" i="23"/>
  <c r="G29" i="25"/>
  <c r="I320" i="25"/>
  <c r="I314" i="25" s="1"/>
  <c r="I188" i="25"/>
  <c r="F319" i="26"/>
  <c r="G343" i="25"/>
  <c r="H21" i="25"/>
  <c r="G67" i="25"/>
  <c r="G47" i="25" s="1"/>
  <c r="G320" i="25"/>
  <c r="G314" i="25" s="1"/>
  <c r="I91" i="25"/>
  <c r="I90" i="25" s="1"/>
  <c r="I29" i="25"/>
  <c r="H97" i="25"/>
  <c r="H96" i="25" s="1"/>
  <c r="F117" i="26"/>
  <c r="G241" i="26"/>
  <c r="H424" i="26"/>
  <c r="G412" i="26"/>
  <c r="G94" i="26"/>
  <c r="H385" i="26"/>
  <c r="G364" i="26"/>
  <c r="F90" i="26"/>
  <c r="F56" i="26" s="1"/>
  <c r="G415" i="26"/>
  <c r="G71" i="25"/>
  <c r="F181" i="26"/>
  <c r="F180" i="26" s="1"/>
  <c r="F355" i="26"/>
  <c r="F352" i="26" s="1"/>
  <c r="H184" i="25"/>
  <c r="G192" i="25"/>
  <c r="H507" i="25"/>
  <c r="H506" i="25" s="1"/>
  <c r="H505" i="25" s="1"/>
  <c r="G41" i="23"/>
  <c r="H415" i="26"/>
  <c r="G106" i="23"/>
  <c r="G105" i="23" s="1"/>
  <c r="H40" i="26"/>
  <c r="G34" i="26"/>
  <c r="H214" i="26"/>
  <c r="H47" i="26"/>
  <c r="H46" i="26" s="1"/>
  <c r="G418" i="25"/>
  <c r="G412" i="25" s="1"/>
  <c r="I357" i="25"/>
  <c r="G40" i="26"/>
  <c r="G434" i="25"/>
  <c r="H397" i="25"/>
  <c r="H366" i="25"/>
  <c r="G363" i="25"/>
  <c r="H357" i="25"/>
  <c r="H221" i="25"/>
  <c r="F241" i="26"/>
  <c r="I397" i="25"/>
  <c r="I247" i="25"/>
  <c r="I67" i="25"/>
  <c r="I47" i="25" s="1"/>
  <c r="G360" i="25"/>
  <c r="F214" i="26"/>
  <c r="F208" i="26" s="1"/>
  <c r="I519" i="25"/>
  <c r="I512" i="25" s="1"/>
  <c r="F34" i="26"/>
  <c r="F27" i="26" s="1"/>
  <c r="G372" i="25"/>
  <c r="H355" i="26"/>
  <c r="H352" i="26" s="1"/>
  <c r="H237" i="26"/>
  <c r="G237" i="26"/>
  <c r="H519" i="25"/>
  <c r="H512" i="25" s="1"/>
  <c r="H91" i="25"/>
  <c r="H90" i="25" s="1"/>
  <c r="G289" i="25"/>
  <c r="G285" i="25" s="1"/>
  <c r="G366" i="25"/>
  <c r="I360" i="25"/>
  <c r="G357" i="25"/>
  <c r="G355" i="26"/>
  <c r="G352" i="26" s="1"/>
  <c r="G181" i="26"/>
  <c r="G180" i="26" s="1"/>
  <c r="H218" i="26"/>
  <c r="H34" i="26"/>
  <c r="H207" i="23"/>
  <c r="H206" i="23" s="1"/>
  <c r="H205" i="23" s="1"/>
  <c r="I41" i="23"/>
  <c r="I207" i="23"/>
  <c r="I206" i="23" s="1"/>
  <c r="I205" i="23" s="1"/>
  <c r="G327" i="25"/>
  <c r="H241" i="26"/>
  <c r="F237" i="26"/>
  <c r="G214" i="26"/>
  <c r="G97" i="25"/>
  <c r="G96" i="25" s="1"/>
  <c r="I184" i="25"/>
  <c r="H90" i="26"/>
  <c r="H444" i="26"/>
  <c r="H372" i="25"/>
  <c r="I366" i="25"/>
  <c r="H409" i="26"/>
  <c r="F400" i="26"/>
  <c r="G184" i="25"/>
  <c r="G17" i="25"/>
  <c r="G14" i="25" s="1"/>
  <c r="G444" i="26"/>
  <c r="G418" i="26"/>
  <c r="G409" i="26"/>
  <c r="G385" i="26"/>
  <c r="F494" i="26"/>
  <c r="F488" i="26" s="1"/>
  <c r="F418" i="26"/>
  <c r="H412" i="26"/>
  <c r="F409" i="26"/>
  <c r="G424" i="26"/>
  <c r="H418" i="26"/>
  <c r="H319" i="26"/>
  <c r="H29" i="25"/>
  <c r="G397" i="25"/>
  <c r="I333" i="25"/>
  <c r="I327" i="25" s="1"/>
  <c r="G221" i="25"/>
  <c r="G206" i="25" s="1"/>
  <c r="H143" i="25"/>
  <c r="G90" i="26"/>
  <c r="H418" i="25"/>
  <c r="H412" i="25" s="1"/>
  <c r="H333" i="25"/>
  <c r="H327" i="25" s="1"/>
  <c r="I363" i="25"/>
  <c r="H247" i="25"/>
  <c r="I21" i="25"/>
  <c r="H17" i="25"/>
  <c r="H188" i="25"/>
  <c r="G544" i="26"/>
  <c r="G543" i="26" s="1"/>
  <c r="F412" i="26"/>
  <c r="I221" i="25"/>
  <c r="G507" i="25"/>
  <c r="G506" i="25" s="1"/>
  <c r="G505" i="25" s="1"/>
  <c r="F424" i="26"/>
  <c r="I192" i="25"/>
  <c r="G47" i="26"/>
  <c r="G46" i="26" s="1"/>
  <c r="H544" i="26"/>
  <c r="H543" i="26" s="1"/>
  <c r="I97" i="25"/>
  <c r="I96" i="25" s="1"/>
  <c r="F444" i="26"/>
  <c r="H364" i="26"/>
  <c r="H320" i="25"/>
  <c r="H314" i="25" s="1"/>
  <c r="F385" i="26"/>
  <c r="H192" i="25"/>
  <c r="I143" i="25"/>
  <c r="I17" i="25"/>
  <c r="H19" i="23"/>
  <c r="H82" i="25"/>
  <c r="H81" i="25" s="1"/>
  <c r="I82" i="25"/>
  <c r="I81" i="25" s="1"/>
  <c r="G165" i="23"/>
  <c r="H81" i="23"/>
  <c r="I382" i="23"/>
  <c r="I19" i="23"/>
  <c r="I368" i="23"/>
  <c r="H368" i="23"/>
  <c r="I165" i="23"/>
  <c r="G368" i="23"/>
  <c r="H165" i="23"/>
  <c r="H105" i="23"/>
  <c r="G19" i="23"/>
  <c r="G382" i="23"/>
  <c r="G142" i="25" l="1"/>
  <c r="G141" i="25" s="1"/>
  <c r="G225" i="26"/>
  <c r="F225" i="26"/>
  <c r="F207" i="26" s="1"/>
  <c r="H142" i="25"/>
  <c r="H141" i="25" s="1"/>
  <c r="I142" i="25"/>
  <c r="I141" i="25" s="1"/>
  <c r="H225" i="26"/>
  <c r="H15" i="23"/>
  <c r="H14" i="23" s="1"/>
  <c r="G137" i="23"/>
  <c r="G136" i="23" s="1"/>
  <c r="H137" i="23"/>
  <c r="H136" i="23" s="1"/>
  <c r="G208" i="26"/>
  <c r="H208" i="26"/>
  <c r="F363" i="26"/>
  <c r="F347" i="26" s="1"/>
  <c r="G363" i="26"/>
  <c r="G347" i="26" s="1"/>
  <c r="H363" i="26"/>
  <c r="H347" i="26" s="1"/>
  <c r="H56" i="26"/>
  <c r="I137" i="23"/>
  <c r="I136" i="23" s="1"/>
  <c r="G15" i="23"/>
  <c r="G14" i="23" s="1"/>
  <c r="I71" i="25"/>
  <c r="H14" i="25"/>
  <c r="H13" i="25" s="1"/>
  <c r="G13" i="25"/>
  <c r="G422" i="23"/>
  <c r="G414" i="23" s="1"/>
  <c r="G27" i="26"/>
  <c r="G564" i="23"/>
  <c r="H367" i="23"/>
  <c r="H521" i="26"/>
  <c r="G56" i="26"/>
  <c r="H27" i="26"/>
  <c r="F143" i="26"/>
  <c r="H326" i="25"/>
  <c r="H284" i="25" s="1"/>
  <c r="F14" i="26"/>
  <c r="F521" i="26"/>
  <c r="H71" i="25"/>
  <c r="G521" i="26"/>
  <c r="I15" i="23"/>
  <c r="I14" i="23" s="1"/>
  <c r="I14" i="25"/>
  <c r="I13" i="25" s="1"/>
  <c r="I326" i="25"/>
  <c r="I284" i="25" s="1"/>
  <c r="G326" i="25"/>
  <c r="G284" i="25" s="1"/>
  <c r="G143" i="26"/>
  <c r="I229" i="23"/>
  <c r="I228" i="23" s="1"/>
  <c r="I367" i="23"/>
  <c r="H547" i="23"/>
  <c r="H538" i="23" s="1"/>
  <c r="G229" i="23"/>
  <c r="G228" i="23" s="1"/>
  <c r="H229" i="23"/>
  <c r="H228" i="23" s="1"/>
  <c r="G367" i="23"/>
  <c r="H14" i="26" l="1"/>
  <c r="G207" i="26"/>
  <c r="G14" i="26"/>
  <c r="H207" i="26"/>
  <c r="G547" i="23"/>
  <c r="H529" i="25"/>
  <c r="G529" i="25"/>
  <c r="F557" i="26"/>
  <c r="F559" i="26" s="1"/>
  <c r="I529" i="25"/>
  <c r="I547" i="23"/>
  <c r="I538" i="23" s="1"/>
  <c r="G557" i="26" l="1"/>
  <c r="G559" i="26" s="1"/>
  <c r="H557" i="26"/>
  <c r="H559" i="26" s="1"/>
  <c r="G538" i="23"/>
  <c r="G622" i="23" s="1"/>
  <c r="G626" i="23" l="1"/>
  <c r="G630" i="23"/>
  <c r="G535" i="25"/>
  <c r="F564" i="26"/>
  <c r="G631" i="19"/>
  <c r="G606" i="19" l="1"/>
  <c r="G635" i="19"/>
  <c r="I635" i="19" l="1"/>
  <c r="H635" i="19"/>
  <c r="I519" i="19"/>
  <c r="H519" i="19"/>
  <c r="G519" i="19"/>
  <c r="I422" i="19"/>
  <c r="H422" i="19"/>
  <c r="G422" i="19"/>
  <c r="I420" i="19"/>
  <c r="H420" i="19"/>
  <c r="G420" i="19"/>
  <c r="I353" i="19"/>
  <c r="H353" i="19"/>
  <c r="G353" i="19"/>
  <c r="I352" i="19"/>
  <c r="H352" i="19"/>
  <c r="G352" i="19"/>
  <c r="I294" i="19"/>
  <c r="H294" i="19"/>
  <c r="G294" i="19"/>
  <c r="I349" i="19"/>
  <c r="H349" i="19"/>
  <c r="G349" i="19"/>
  <c r="I312" i="19"/>
  <c r="H312" i="19"/>
  <c r="G312" i="19"/>
  <c r="I270" i="19"/>
  <c r="H270" i="19"/>
  <c r="G270" i="19"/>
  <c r="I256" i="19"/>
  <c r="I255" i="19"/>
  <c r="I254" i="19"/>
  <c r="H256" i="19"/>
  <c r="H255" i="19"/>
  <c r="H254" i="19"/>
  <c r="G256" i="19"/>
  <c r="G255" i="19"/>
  <c r="G254" i="19"/>
  <c r="I251" i="19"/>
  <c r="I250" i="19"/>
  <c r="H251" i="19"/>
  <c r="H250" i="19"/>
  <c r="G251" i="19"/>
  <c r="G250" i="19"/>
  <c r="I239" i="19"/>
  <c r="I238" i="19"/>
  <c r="I237" i="19"/>
  <c r="H239" i="19"/>
  <c r="H238" i="19"/>
  <c r="H237" i="19"/>
  <c r="G239" i="19"/>
  <c r="G238" i="19"/>
  <c r="G237" i="19"/>
  <c r="I144" i="19"/>
  <c r="I143" i="19" s="1"/>
  <c r="H144" i="19"/>
  <c r="H143" i="19" s="1"/>
  <c r="G144" i="19"/>
  <c r="G143" i="19" s="1"/>
  <c r="G600" i="19" l="1"/>
  <c r="I600" i="19"/>
  <c r="H600" i="19"/>
  <c r="G599" i="19"/>
  <c r="G201" i="19"/>
  <c r="G546" i="19"/>
  <c r="G587" i="19"/>
  <c r="H587" i="19"/>
  <c r="H586" i="19"/>
  <c r="G586" i="19"/>
  <c r="I18" i="19"/>
  <c r="H18" i="19"/>
  <c r="G18" i="19"/>
  <c r="G497" i="19"/>
  <c r="I471" i="19"/>
  <c r="H471" i="19"/>
  <c r="G471" i="19"/>
  <c r="G436" i="19"/>
  <c r="G435" i="19"/>
  <c r="I111" i="19"/>
  <c r="H111" i="19"/>
  <c r="I115" i="19"/>
  <c r="H115" i="19"/>
  <c r="G113" i="19"/>
  <c r="I356" i="19"/>
  <c r="I260" i="19"/>
  <c r="I139" i="19" l="1"/>
  <c r="H139" i="19"/>
  <c r="J492" i="19" l="1"/>
  <c r="K492" i="19"/>
  <c r="L492" i="19"/>
  <c r="M492" i="19"/>
  <c r="N492" i="19"/>
  <c r="O492" i="19"/>
  <c r="P492" i="19"/>
  <c r="Q492" i="19"/>
  <c r="G563" i="19" l="1"/>
  <c r="I318" i="19" l="1"/>
  <c r="H318" i="19"/>
  <c r="G318" i="19"/>
  <c r="I285" i="19"/>
  <c r="H285" i="19"/>
  <c r="G285" i="19"/>
  <c r="I279" i="19"/>
  <c r="H279" i="19"/>
  <c r="G279" i="19"/>
  <c r="I247" i="19"/>
  <c r="H247" i="19"/>
  <c r="G247" i="19"/>
  <c r="I248" i="19"/>
  <c r="H248" i="19"/>
  <c r="G248" i="19"/>
  <c r="I263" i="19"/>
  <c r="H263" i="19"/>
  <c r="G263" i="19"/>
  <c r="H260" i="19"/>
  <c r="G260" i="19"/>
  <c r="I233" i="19"/>
  <c r="H233" i="19"/>
  <c r="G233" i="19"/>
  <c r="I232" i="19"/>
  <c r="H232" i="19"/>
  <c r="G232" i="19"/>
  <c r="I243" i="19"/>
  <c r="H243" i="19"/>
  <c r="G243" i="19"/>
  <c r="I242" i="19"/>
  <c r="H242" i="19"/>
  <c r="G242" i="19"/>
  <c r="I162" i="19" l="1"/>
  <c r="H162" i="19"/>
  <c r="G162" i="19"/>
  <c r="I161" i="19"/>
  <c r="H161" i="19"/>
  <c r="G161" i="19"/>
  <c r="I51" i="19" l="1"/>
  <c r="H51" i="19"/>
  <c r="G51" i="19"/>
  <c r="I45" i="19"/>
  <c r="H45" i="19"/>
  <c r="G45" i="19"/>
  <c r="I364" i="19" l="1"/>
  <c r="H364" i="19"/>
  <c r="G364" i="19"/>
  <c r="I369" i="19"/>
  <c r="H369" i="19"/>
  <c r="G369" i="19"/>
  <c r="I378" i="19"/>
  <c r="H378" i="19"/>
  <c r="G378" i="19"/>
  <c r="I392" i="19"/>
  <c r="H392" i="19"/>
  <c r="G392" i="19"/>
  <c r="I387" i="19"/>
  <c r="H387" i="19"/>
  <c r="G387" i="19"/>
  <c r="G523" i="19"/>
  <c r="G522" i="19" s="1"/>
  <c r="H525" i="19"/>
  <c r="I525" i="19"/>
  <c r="G525" i="19"/>
  <c r="I522" i="19"/>
  <c r="H522" i="19"/>
  <c r="H322" i="19" l="1"/>
  <c r="H65" i="19" l="1"/>
  <c r="I65" i="19"/>
  <c r="J65" i="19"/>
  <c r="K65" i="19"/>
  <c r="L65" i="19"/>
  <c r="M65" i="19"/>
  <c r="N65" i="19"/>
  <c r="O65" i="19"/>
  <c r="P65" i="19"/>
  <c r="Q65" i="19"/>
  <c r="I631" i="19"/>
  <c r="H631" i="19"/>
  <c r="I25" i="19"/>
  <c r="H25" i="19"/>
  <c r="G25" i="19"/>
  <c r="G24" i="19"/>
  <c r="G14" i="19"/>
  <c r="I32" i="19"/>
  <c r="H32" i="19"/>
  <c r="G32" i="19"/>
  <c r="I31" i="19" l="1"/>
  <c r="H31" i="19"/>
  <c r="G31" i="19"/>
  <c r="I28" i="19" l="1"/>
  <c r="H28" i="19"/>
  <c r="G28" i="19"/>
  <c r="I27" i="19"/>
  <c r="H27" i="19"/>
  <c r="G27" i="19"/>
  <c r="I24" i="19"/>
  <c r="H24" i="19"/>
  <c r="I14" i="19" l="1"/>
  <c r="H14" i="19"/>
  <c r="H357" i="19" l="1"/>
  <c r="I357" i="19"/>
  <c r="G357" i="19"/>
  <c r="I355" i="19"/>
  <c r="H355" i="19"/>
  <c r="G355" i="19"/>
  <c r="H261" i="19"/>
  <c r="I287" i="19" l="1"/>
  <c r="H287" i="19"/>
  <c r="G287" i="19"/>
  <c r="H278" i="19"/>
  <c r="I278" i="19"/>
  <c r="G278" i="19"/>
  <c r="I246" i="19"/>
  <c r="H246" i="19"/>
  <c r="G246" i="19"/>
  <c r="H231" i="19"/>
  <c r="I231" i="19"/>
  <c r="G231" i="19"/>
  <c r="H266" i="19"/>
  <c r="G266" i="19"/>
  <c r="I226" i="19" l="1"/>
  <c r="I225" i="19" s="1"/>
  <c r="I223" i="19"/>
  <c r="I221" i="19"/>
  <c r="I217" i="19"/>
  <c r="H226" i="19"/>
  <c r="H225" i="19" s="1"/>
  <c r="H223" i="19"/>
  <c r="H221" i="19"/>
  <c r="H217" i="19"/>
  <c r="H216" i="19" s="1"/>
  <c r="H215" i="19" l="1"/>
  <c r="I216" i="19"/>
  <c r="I215" i="19" s="1"/>
  <c r="I514" i="19"/>
  <c r="H514" i="19"/>
  <c r="G514" i="19"/>
  <c r="G510" i="19"/>
  <c r="G511" i="19"/>
  <c r="H398" i="19"/>
  <c r="I398" i="19"/>
  <c r="G398" i="19"/>
  <c r="H379" i="19"/>
  <c r="I379" i="19"/>
  <c r="G379" i="19"/>
  <c r="H367" i="19"/>
  <c r="I367" i="19"/>
  <c r="G367" i="19"/>
  <c r="J376" i="19" l="1"/>
  <c r="K376" i="19"/>
  <c r="L376" i="19"/>
  <c r="M376" i="19"/>
  <c r="N376" i="19"/>
  <c r="O376" i="19"/>
  <c r="P376" i="19"/>
  <c r="Q376" i="19"/>
  <c r="I377" i="19"/>
  <c r="H377" i="19"/>
  <c r="G377" i="19"/>
  <c r="I363" i="19"/>
  <c r="H363" i="19"/>
  <c r="G363" i="19"/>
  <c r="I155" i="19" l="1"/>
  <c r="I154" i="19" s="1"/>
  <c r="I151" i="19"/>
  <c r="I150" i="19" s="1"/>
  <c r="I164" i="19"/>
  <c r="I163" i="19" s="1"/>
  <c r="I157" i="19"/>
  <c r="I156" i="19" s="1"/>
  <c r="I152" i="19"/>
  <c r="I148" i="19"/>
  <c r="I147" i="19"/>
  <c r="I146" i="19" s="1"/>
  <c r="H164" i="19"/>
  <c r="H163" i="19" s="1"/>
  <c r="H157" i="19"/>
  <c r="H156" i="19" s="1"/>
  <c r="H155" i="19"/>
  <c r="H154" i="19" s="1"/>
  <c r="H152" i="19"/>
  <c r="H151" i="19"/>
  <c r="H150" i="19" s="1"/>
  <c r="H148" i="19"/>
  <c r="H147" i="19"/>
  <c r="H146" i="19" s="1"/>
  <c r="G164" i="19"/>
  <c r="G163" i="19" s="1"/>
  <c r="G155" i="19"/>
  <c r="G147" i="19"/>
  <c r="G151" i="19"/>
  <c r="I184" i="19"/>
  <c r="I183" i="19"/>
  <c r="H184" i="19"/>
  <c r="H183" i="19"/>
  <c r="G184" i="19"/>
  <c r="G183" i="19"/>
  <c r="H142" i="19" l="1"/>
  <c r="I142" i="19"/>
  <c r="I160" i="19"/>
  <c r="I159" i="19" s="1"/>
  <c r="H160" i="19"/>
  <c r="H159" i="19" s="1"/>
  <c r="I141" i="19" l="1"/>
  <c r="H141" i="19"/>
  <c r="I213" i="19" l="1"/>
  <c r="I212" i="19" s="1"/>
  <c r="I210" i="19"/>
  <c r="I209" i="19"/>
  <c r="H213" i="19"/>
  <c r="H212" i="19" s="1"/>
  <c r="H210" i="19"/>
  <c r="H209" i="19"/>
  <c r="G210" i="19"/>
  <c r="G209" i="19"/>
  <c r="G213" i="19"/>
  <c r="G579" i="19"/>
  <c r="G578" i="19"/>
  <c r="H607" i="19"/>
  <c r="I607" i="19"/>
  <c r="G607" i="19"/>
  <c r="I71" i="19"/>
  <c r="I208" i="19" l="1"/>
  <c r="H208" i="19"/>
  <c r="H77" i="19"/>
  <c r="H75" i="19"/>
  <c r="H73" i="19"/>
  <c r="H71" i="19"/>
  <c r="H69" i="19" s="1"/>
  <c r="I409" i="19"/>
  <c r="I408" i="19" s="1"/>
  <c r="H409" i="19"/>
  <c r="H408" i="19" s="1"/>
  <c r="G409" i="19"/>
  <c r="G408" i="19" s="1"/>
  <c r="H106" i="19"/>
  <c r="I106" i="19"/>
  <c r="G106" i="19"/>
  <c r="I21" i="19"/>
  <c r="I20" i="19" s="1"/>
  <c r="H21" i="19"/>
  <c r="H20" i="19" s="1"/>
  <c r="G21" i="19"/>
  <c r="G71" i="19" l="1"/>
  <c r="I62" i="19"/>
  <c r="I61" i="19"/>
  <c r="H62" i="19"/>
  <c r="H61" i="19"/>
  <c r="G62" i="19"/>
  <c r="G61" i="19"/>
  <c r="I337" i="19" l="1"/>
  <c r="H337" i="19"/>
  <c r="G337" i="19"/>
  <c r="I328" i="19"/>
  <c r="I327" i="19"/>
  <c r="H328" i="19"/>
  <c r="H327" i="19"/>
  <c r="G328" i="19"/>
  <c r="G327" i="19"/>
  <c r="H487" i="19" l="1"/>
  <c r="I487" i="19"/>
  <c r="G487" i="19"/>
  <c r="I486" i="19"/>
  <c r="I485" i="19"/>
  <c r="H486" i="19"/>
  <c r="H485" i="19"/>
  <c r="G486" i="19"/>
  <c r="G485" i="19"/>
  <c r="I463" i="19"/>
  <c r="I462" i="19"/>
  <c r="H463" i="19"/>
  <c r="H462" i="19"/>
  <c r="G463" i="19"/>
  <c r="G462" i="19"/>
  <c r="I473" i="19"/>
  <c r="H473" i="19"/>
  <c r="G473" i="19"/>
  <c r="I457" i="19"/>
  <c r="H457" i="19"/>
  <c r="G457" i="19"/>
  <c r="I456" i="19"/>
  <c r="H456" i="19"/>
  <c r="G456" i="19"/>
  <c r="I454" i="19" l="1"/>
  <c r="I453" i="19"/>
  <c r="H454" i="19"/>
  <c r="H453" i="19"/>
  <c r="G454" i="19"/>
  <c r="G453" i="19"/>
  <c r="I451" i="19"/>
  <c r="I450" i="19"/>
  <c r="H451" i="19"/>
  <c r="H450" i="19"/>
  <c r="G451" i="19"/>
  <c r="G450" i="19"/>
  <c r="I448" i="19"/>
  <c r="I447" i="19"/>
  <c r="H448" i="19"/>
  <c r="H447" i="19"/>
  <c r="G448" i="19"/>
  <c r="G447" i="19"/>
  <c r="I445" i="19"/>
  <c r="H445" i="19"/>
  <c r="G445" i="19"/>
  <c r="I444" i="19"/>
  <c r="H444" i="19"/>
  <c r="G444" i="19"/>
  <c r="I465" i="19" l="1"/>
  <c r="H465" i="19"/>
  <c r="G465" i="19"/>
  <c r="I438" i="19"/>
  <c r="H438" i="19"/>
  <c r="G438" i="19"/>
  <c r="I423" i="19"/>
  <c r="I421" i="19" s="1"/>
  <c r="H423" i="19"/>
  <c r="H421" i="19" s="1"/>
  <c r="G423" i="19"/>
  <c r="G421" i="19" s="1"/>
  <c r="J421" i="19"/>
  <c r="K421" i="19"/>
  <c r="L421" i="19"/>
  <c r="M421" i="19"/>
  <c r="N421" i="19"/>
  <c r="O421" i="19"/>
  <c r="P421" i="19"/>
  <c r="Q421" i="19"/>
  <c r="H114" i="19" l="1"/>
  <c r="I114" i="19"/>
  <c r="G114" i="19"/>
  <c r="H112" i="19"/>
  <c r="I112" i="19"/>
  <c r="G112" i="19"/>
  <c r="H591" i="19"/>
  <c r="G591" i="19"/>
  <c r="I23" i="19" l="1"/>
  <c r="G23" i="19"/>
  <c r="H23" i="19"/>
  <c r="G37" i="19"/>
  <c r="H37" i="19"/>
  <c r="I37" i="19"/>
  <c r="G259" i="19"/>
  <c r="H259" i="19"/>
  <c r="I259" i="19"/>
  <c r="G284" i="19"/>
  <c r="H284" i="19"/>
  <c r="I284" i="19"/>
  <c r="H295" i="19"/>
  <c r="I295" i="19"/>
  <c r="G295" i="19"/>
  <c r="G388" i="19"/>
  <c r="H388" i="19"/>
  <c r="I388" i="19"/>
  <c r="G390" i="19"/>
  <c r="H390" i="19"/>
  <c r="I390" i="19"/>
  <c r="G509" i="19"/>
  <c r="H509" i="19"/>
  <c r="I509" i="19"/>
  <c r="H512" i="19"/>
  <c r="I512" i="19"/>
  <c r="G512" i="19"/>
  <c r="G573" i="19"/>
  <c r="H573" i="19"/>
  <c r="I573" i="19"/>
  <c r="G575" i="19"/>
  <c r="H575" i="19"/>
  <c r="I575" i="19"/>
  <c r="G590" i="19"/>
  <c r="H590" i="19"/>
  <c r="I590" i="19"/>
  <c r="G620" i="19"/>
  <c r="H620" i="19"/>
  <c r="I620" i="19"/>
  <c r="I530" i="19" l="1"/>
  <c r="I529" i="19" s="1"/>
  <c r="I528" i="19" s="1"/>
  <c r="H530" i="19"/>
  <c r="H529" i="19" s="1"/>
  <c r="H528" i="19" s="1"/>
  <c r="G530" i="19"/>
  <c r="G529" i="19" s="1"/>
  <c r="G528" i="19" s="1"/>
  <c r="G87" i="19" l="1"/>
  <c r="Q632" i="19"/>
  <c r="P632" i="19"/>
  <c r="O632" i="19"/>
  <c r="N632" i="19"/>
  <c r="M632" i="19"/>
  <c r="L632" i="19"/>
  <c r="K632" i="19"/>
  <c r="J632" i="19"/>
  <c r="I627" i="19"/>
  <c r="H627" i="19"/>
  <c r="G627" i="19"/>
  <c r="I622" i="19"/>
  <c r="H622" i="19"/>
  <c r="G622" i="19"/>
  <c r="I618" i="19"/>
  <c r="H618" i="19"/>
  <c r="G618" i="19"/>
  <c r="G614" i="19"/>
  <c r="G613" i="19" s="1"/>
  <c r="I614" i="19"/>
  <c r="I613" i="19" s="1"/>
  <c r="H614" i="19"/>
  <c r="H613" i="19" s="1"/>
  <c r="I610" i="19"/>
  <c r="H610" i="19"/>
  <c r="G610" i="19"/>
  <c r="I605" i="19"/>
  <c r="H605" i="19"/>
  <c r="G605" i="19"/>
  <c r="I602" i="19"/>
  <c r="H602" i="19"/>
  <c r="G602" i="19"/>
  <c r="G598" i="19"/>
  <c r="I598" i="19"/>
  <c r="H598" i="19"/>
  <c r="I596" i="19"/>
  <c r="H596" i="19"/>
  <c r="G596" i="19"/>
  <c r="I594" i="19"/>
  <c r="H594" i="19"/>
  <c r="G594" i="19"/>
  <c r="G592" i="19"/>
  <c r="I592" i="19"/>
  <c r="H592" i="19"/>
  <c r="I585" i="19"/>
  <c r="I584" i="19" s="1"/>
  <c r="H585" i="19"/>
  <c r="H584" i="19" s="1"/>
  <c r="G585" i="19"/>
  <c r="G584" i="19" s="1"/>
  <c r="I588" i="19"/>
  <c r="H588" i="19"/>
  <c r="G588" i="19"/>
  <c r="G581" i="19"/>
  <c r="I581" i="19"/>
  <c r="H581" i="19"/>
  <c r="I579" i="19"/>
  <c r="H579" i="19"/>
  <c r="G577" i="19"/>
  <c r="I577" i="19"/>
  <c r="H577" i="19"/>
  <c r="G571" i="19"/>
  <c r="I571" i="19"/>
  <c r="H571" i="19"/>
  <c r="G569" i="19"/>
  <c r="I569" i="19"/>
  <c r="H569" i="19"/>
  <c r="G566" i="19"/>
  <c r="I566" i="19"/>
  <c r="H566" i="19"/>
  <c r="G564" i="19"/>
  <c r="I564" i="19"/>
  <c r="H564" i="19"/>
  <c r="I562" i="19"/>
  <c r="H562" i="19"/>
  <c r="G562" i="19"/>
  <c r="I560" i="19"/>
  <c r="H560" i="19"/>
  <c r="G560" i="19"/>
  <c r="I558" i="19"/>
  <c r="H558" i="19"/>
  <c r="G558" i="19"/>
  <c r="I556" i="19"/>
  <c r="H556" i="19"/>
  <c r="G556" i="19"/>
  <c r="I553" i="19"/>
  <c r="I552" i="19" s="1"/>
  <c r="H553" i="19"/>
  <c r="H552" i="19" s="1"/>
  <c r="G553" i="19"/>
  <c r="G552" i="19" s="1"/>
  <c r="H549" i="19"/>
  <c r="G549" i="19"/>
  <c r="I549" i="19"/>
  <c r="G547" i="19"/>
  <c r="I547" i="19"/>
  <c r="H547" i="19"/>
  <c r="I545" i="19"/>
  <c r="H545" i="19"/>
  <c r="G545" i="19"/>
  <c r="G543" i="19"/>
  <c r="I543" i="19"/>
  <c r="H543" i="19"/>
  <c r="G541" i="19"/>
  <c r="I541" i="19"/>
  <c r="H541" i="19"/>
  <c r="G538" i="19"/>
  <c r="G537" i="19" s="1"/>
  <c r="I538" i="19"/>
  <c r="I537" i="19" s="1"/>
  <c r="H538" i="19"/>
  <c r="H537" i="19" s="1"/>
  <c r="I534" i="19"/>
  <c r="I533" i="19" s="1"/>
  <c r="I532" i="19" s="1"/>
  <c r="H534" i="19"/>
  <c r="H533" i="19" s="1"/>
  <c r="H532" i="19" s="1"/>
  <c r="G534" i="19"/>
  <c r="G533" i="19" s="1"/>
  <c r="G532" i="19" s="1"/>
  <c r="G518" i="19"/>
  <c r="H518" i="19"/>
  <c r="I518" i="19"/>
  <c r="I516" i="19"/>
  <c r="H516" i="19"/>
  <c r="G516" i="19"/>
  <c r="I505" i="19"/>
  <c r="H505" i="19"/>
  <c r="G505" i="19"/>
  <c r="I503" i="19"/>
  <c r="H503" i="19"/>
  <c r="G503" i="19"/>
  <c r="I496" i="19"/>
  <c r="H496" i="19"/>
  <c r="G496" i="19"/>
  <c r="I500" i="19"/>
  <c r="H500" i="19"/>
  <c r="G500" i="19"/>
  <c r="I493" i="19"/>
  <c r="H493" i="19"/>
  <c r="H492" i="19" s="1"/>
  <c r="G498" i="19"/>
  <c r="I498" i="19"/>
  <c r="H498" i="19"/>
  <c r="I484" i="19"/>
  <c r="I481" i="19"/>
  <c r="H481" i="19"/>
  <c r="H478" i="19"/>
  <c r="I475" i="19"/>
  <c r="H475" i="19"/>
  <c r="G475" i="19"/>
  <c r="I472" i="19"/>
  <c r="H472" i="19"/>
  <c r="I469" i="19"/>
  <c r="H469" i="19"/>
  <c r="I467" i="19"/>
  <c r="H467" i="19"/>
  <c r="G467" i="19"/>
  <c r="I464" i="19"/>
  <c r="H464" i="19"/>
  <c r="I458" i="19"/>
  <c r="H458" i="19"/>
  <c r="G458" i="19"/>
  <c r="H452" i="19"/>
  <c r="I452" i="19"/>
  <c r="G446" i="19"/>
  <c r="G440" i="19"/>
  <c r="I440" i="19"/>
  <c r="H440" i="19"/>
  <c r="G437" i="19"/>
  <c r="I437" i="19"/>
  <c r="H437" i="19"/>
  <c r="I434" i="19"/>
  <c r="H434" i="19"/>
  <c r="G431" i="19"/>
  <c r="I431" i="19"/>
  <c r="H431" i="19"/>
  <c r="G428" i="19"/>
  <c r="I428" i="19"/>
  <c r="H428" i="19"/>
  <c r="I425" i="19"/>
  <c r="H425" i="19"/>
  <c r="I419" i="19"/>
  <c r="H419" i="19"/>
  <c r="G419" i="19"/>
  <c r="I415" i="19"/>
  <c r="I414" i="19" s="1"/>
  <c r="H415" i="19"/>
  <c r="H414" i="19" s="1"/>
  <c r="G411" i="19"/>
  <c r="I411" i="19"/>
  <c r="H411" i="19"/>
  <c r="I403" i="19"/>
  <c r="I402" i="19" s="1"/>
  <c r="I401" i="19" s="1"/>
  <c r="H403" i="19"/>
  <c r="H402" i="19" s="1"/>
  <c r="H401" i="19" s="1"/>
  <c r="G403" i="19"/>
  <c r="G402" i="19" s="1"/>
  <c r="G401" i="19" s="1"/>
  <c r="I394" i="19"/>
  <c r="H394" i="19"/>
  <c r="G394" i="19"/>
  <c r="H385" i="19"/>
  <c r="G385" i="19"/>
  <c r="I385" i="19"/>
  <c r="I383" i="19"/>
  <c r="H383" i="19"/>
  <c r="G383" i="19"/>
  <c r="I381" i="19"/>
  <c r="H381" i="19"/>
  <c r="G381" i="19"/>
  <c r="G373" i="19"/>
  <c r="I373" i="19"/>
  <c r="H373" i="19"/>
  <c r="G371" i="19"/>
  <c r="I371" i="19"/>
  <c r="H371" i="19"/>
  <c r="I365" i="19"/>
  <c r="I362" i="19" s="1"/>
  <c r="H365" i="19"/>
  <c r="H362" i="19" s="1"/>
  <c r="G365" i="19"/>
  <c r="G362" i="19" s="1"/>
  <c r="I351" i="19"/>
  <c r="H351" i="19"/>
  <c r="G351" i="19"/>
  <c r="H345" i="19"/>
  <c r="G345" i="19"/>
  <c r="I345" i="19"/>
  <c r="I343" i="19"/>
  <c r="H343" i="19"/>
  <c r="G343" i="19"/>
  <c r="I340" i="19"/>
  <c r="H340" i="19"/>
  <c r="G340" i="19"/>
  <c r="G338" i="19"/>
  <c r="I338" i="19"/>
  <c r="H338" i="19"/>
  <c r="I335" i="19"/>
  <c r="H335" i="19"/>
  <c r="I333" i="19"/>
  <c r="H333" i="19"/>
  <c r="G333" i="19"/>
  <c r="I331" i="19"/>
  <c r="H331" i="19"/>
  <c r="G331" i="19"/>
  <c r="I329" i="19"/>
  <c r="H329" i="19"/>
  <c r="G329" i="19"/>
  <c r="I326" i="19"/>
  <c r="G326" i="19"/>
  <c r="I319" i="19"/>
  <c r="I317" i="19"/>
  <c r="H317" i="19"/>
  <c r="G317" i="19"/>
  <c r="I314" i="19"/>
  <c r="H314" i="19"/>
  <c r="G314" i="19"/>
  <c r="I311" i="19"/>
  <c r="G311" i="19"/>
  <c r="I307" i="19"/>
  <c r="H307" i="19"/>
  <c r="I304" i="19"/>
  <c r="H304" i="19"/>
  <c r="I300" i="19"/>
  <c r="H300" i="19"/>
  <c r="I297" i="19"/>
  <c r="H297" i="19"/>
  <c r="H292" i="19"/>
  <c r="I292" i="19"/>
  <c r="G290" i="19"/>
  <c r="I290" i="19"/>
  <c r="H290" i="19"/>
  <c r="G282" i="19"/>
  <c r="I282" i="19"/>
  <c r="H282" i="19"/>
  <c r="I280" i="19"/>
  <c r="H280" i="19"/>
  <c r="G280" i="19"/>
  <c r="I274" i="19"/>
  <c r="H274" i="19"/>
  <c r="G271" i="19"/>
  <c r="I271" i="19"/>
  <c r="H271" i="19"/>
  <c r="H268" i="19"/>
  <c r="G268" i="19"/>
  <c r="G265" i="19"/>
  <c r="I261" i="19"/>
  <c r="G261" i="19"/>
  <c r="I257" i="19"/>
  <c r="H257" i="19"/>
  <c r="G257" i="19"/>
  <c r="G234" i="19"/>
  <c r="I234" i="19"/>
  <c r="H234" i="19"/>
  <c r="G226" i="19"/>
  <c r="G225" i="19" s="1"/>
  <c r="G223" i="19"/>
  <c r="G221" i="19"/>
  <c r="G217" i="19"/>
  <c r="G212" i="19"/>
  <c r="I203" i="19"/>
  <c r="I202" i="19" s="1"/>
  <c r="H203" i="19"/>
  <c r="H202" i="19" s="1"/>
  <c r="G203" i="19"/>
  <c r="G202" i="19" s="1"/>
  <c r="I200" i="19"/>
  <c r="H200" i="19"/>
  <c r="G200" i="19"/>
  <c r="I198" i="19"/>
  <c r="H198" i="19"/>
  <c r="G198" i="19"/>
  <c r="I194" i="19"/>
  <c r="I193" i="19" s="1"/>
  <c r="I192" i="19" s="1"/>
  <c r="H194" i="19"/>
  <c r="H193" i="19" s="1"/>
  <c r="H192" i="19" s="1"/>
  <c r="G194" i="19"/>
  <c r="G193" i="19" s="1"/>
  <c r="G192" i="19" s="1"/>
  <c r="I190" i="19"/>
  <c r="H190" i="19"/>
  <c r="G190" i="19"/>
  <c r="I188" i="19"/>
  <c r="H188" i="19"/>
  <c r="G188" i="19"/>
  <c r="I182" i="19"/>
  <c r="H182" i="19"/>
  <c r="G179" i="19"/>
  <c r="I179" i="19"/>
  <c r="H179" i="19"/>
  <c r="G177" i="19"/>
  <c r="I177" i="19"/>
  <c r="H177" i="19"/>
  <c r="G174" i="19"/>
  <c r="I174" i="19"/>
  <c r="H174" i="19"/>
  <c r="I172" i="19"/>
  <c r="H172" i="19"/>
  <c r="G172" i="19"/>
  <c r="I170" i="19"/>
  <c r="H170" i="19"/>
  <c r="G170" i="19"/>
  <c r="G168" i="19"/>
  <c r="I168" i="19"/>
  <c r="H168" i="19"/>
  <c r="G157" i="19"/>
  <c r="G156" i="19" s="1"/>
  <c r="G154" i="19"/>
  <c r="G152" i="19"/>
  <c r="G150" i="19"/>
  <c r="G148" i="19"/>
  <c r="G146" i="19"/>
  <c r="I138" i="19"/>
  <c r="I137" i="19" s="1"/>
  <c r="I136" i="19" s="1"/>
  <c r="H138" i="19"/>
  <c r="H137" i="19" s="1"/>
  <c r="H136" i="19" s="1"/>
  <c r="G134" i="19"/>
  <c r="G133" i="19" s="1"/>
  <c r="G132" i="19" s="1"/>
  <c r="I134" i="19"/>
  <c r="I133" i="19" s="1"/>
  <c r="I132" i="19" s="1"/>
  <c r="H134" i="19"/>
  <c r="H133" i="19" s="1"/>
  <c r="H132" i="19" s="1"/>
  <c r="I130" i="19"/>
  <c r="H130" i="19"/>
  <c r="G130" i="19"/>
  <c r="I127" i="19"/>
  <c r="H127" i="19"/>
  <c r="G127" i="19"/>
  <c r="G124" i="19"/>
  <c r="I124" i="19"/>
  <c r="H124" i="19"/>
  <c r="H122" i="19"/>
  <c r="G122" i="19"/>
  <c r="I122" i="19"/>
  <c r="I120" i="19"/>
  <c r="H120" i="19"/>
  <c r="G120" i="19"/>
  <c r="I118" i="19"/>
  <c r="H118" i="19"/>
  <c r="G118" i="19"/>
  <c r="I116" i="19"/>
  <c r="H116" i="19"/>
  <c r="G116" i="19"/>
  <c r="G110" i="19"/>
  <c r="I110" i="19"/>
  <c r="H110" i="19"/>
  <c r="H105" i="19"/>
  <c r="H104" i="19" s="1"/>
  <c r="I105" i="19"/>
  <c r="I104" i="19" s="1"/>
  <c r="I102" i="19"/>
  <c r="H102" i="19"/>
  <c r="G102" i="19"/>
  <c r="I100" i="19"/>
  <c r="H100" i="19"/>
  <c r="G100" i="19"/>
  <c r="H96" i="19"/>
  <c r="G96" i="19"/>
  <c r="I96" i="19"/>
  <c r="I93" i="19"/>
  <c r="G91" i="19"/>
  <c r="I89" i="19"/>
  <c r="H89" i="19"/>
  <c r="G89" i="19"/>
  <c r="I87" i="19"/>
  <c r="H87" i="19"/>
  <c r="G83" i="19"/>
  <c r="I83" i="19"/>
  <c r="H83" i="19"/>
  <c r="I81" i="19"/>
  <c r="H81" i="19"/>
  <c r="G81" i="19"/>
  <c r="I77" i="19"/>
  <c r="G77" i="19"/>
  <c r="I75" i="19"/>
  <c r="G75" i="19"/>
  <c r="I73" i="19"/>
  <c r="G73" i="19"/>
  <c r="I69" i="19"/>
  <c r="G65" i="19"/>
  <c r="G63" i="19"/>
  <c r="I63" i="19"/>
  <c r="H63" i="19"/>
  <c r="I60" i="19"/>
  <c r="I58" i="19"/>
  <c r="H58" i="19"/>
  <c r="G58" i="19"/>
  <c r="G56" i="19"/>
  <c r="I56" i="19"/>
  <c r="H56" i="19"/>
  <c r="I54" i="19"/>
  <c r="H54" i="19"/>
  <c r="G54" i="19"/>
  <c r="G52" i="19"/>
  <c r="I52" i="19"/>
  <c r="H52" i="19"/>
  <c r="I50" i="19"/>
  <c r="H50" i="19"/>
  <c r="G50" i="19"/>
  <c r="I48" i="19"/>
  <c r="H48" i="19"/>
  <c r="G48" i="19"/>
  <c r="G46" i="19"/>
  <c r="I44" i="19"/>
  <c r="H44" i="19"/>
  <c r="G44" i="19"/>
  <c r="I42" i="19"/>
  <c r="H42" i="19"/>
  <c r="G42" i="19"/>
  <c r="I40" i="19"/>
  <c r="H40" i="19"/>
  <c r="G40" i="19"/>
  <c r="H36" i="19"/>
  <c r="G36" i="19"/>
  <c r="I36" i="19"/>
  <c r="I34" i="19"/>
  <c r="I33" i="19" s="1"/>
  <c r="H34" i="19"/>
  <c r="H33" i="19" s="1"/>
  <c r="G34" i="19"/>
  <c r="G33" i="19" s="1"/>
  <c r="G17" i="19"/>
  <c r="I13" i="19"/>
  <c r="I12" i="19" s="1"/>
  <c r="H13" i="19"/>
  <c r="H12" i="19" s="1"/>
  <c r="G13" i="19"/>
  <c r="G12" i="19" s="1"/>
  <c r="G277" i="19" l="1"/>
  <c r="G370" i="19"/>
  <c r="G361" i="19" s="1"/>
  <c r="G142" i="19"/>
  <c r="I342" i="19"/>
  <c r="H342" i="19"/>
  <c r="I492" i="19"/>
  <c r="G342" i="19"/>
  <c r="H491" i="19"/>
  <c r="G583" i="19"/>
  <c r="H370" i="19"/>
  <c r="H361" i="19" s="1"/>
  <c r="H583" i="19"/>
  <c r="I370" i="19"/>
  <c r="I361" i="19" s="1"/>
  <c r="I583" i="19"/>
  <c r="I491" i="19"/>
  <c r="I508" i="19"/>
  <c r="H508" i="19"/>
  <c r="G508" i="19"/>
  <c r="I277" i="19"/>
  <c r="I286" i="19"/>
  <c r="H277" i="19"/>
  <c r="I376" i="19"/>
  <c r="G376" i="19"/>
  <c r="H376" i="19"/>
  <c r="I407" i="19"/>
  <c r="I406" i="19" s="1"/>
  <c r="G407" i="19"/>
  <c r="G406" i="19" s="1"/>
  <c r="G187" i="19"/>
  <c r="G186" i="19" s="1"/>
  <c r="H407" i="19"/>
  <c r="H406" i="19" s="1"/>
  <c r="I80" i="19"/>
  <c r="I79" i="19" s="1"/>
  <c r="I109" i="19"/>
  <c r="H109" i="19"/>
  <c r="G109" i="19"/>
  <c r="H80" i="19"/>
  <c r="H79" i="19" s="1"/>
  <c r="I68" i="19"/>
  <c r="I67" i="19" s="1"/>
  <c r="I99" i="19"/>
  <c r="H126" i="19"/>
  <c r="G216" i="19"/>
  <c r="G215" i="19" s="1"/>
  <c r="G214" i="19" s="1"/>
  <c r="H617" i="19"/>
  <c r="H612" i="19" s="1"/>
  <c r="G197" i="19"/>
  <c r="G196" i="19" s="1"/>
  <c r="I17" i="19"/>
  <c r="G30" i="19"/>
  <c r="H93" i="19"/>
  <c r="H86" i="19" s="1"/>
  <c r="G105" i="19"/>
  <c r="G104" i="19" s="1"/>
  <c r="H187" i="19"/>
  <c r="H186" i="19" s="1"/>
  <c r="I268" i="19"/>
  <c r="H311" i="19"/>
  <c r="I617" i="19"/>
  <c r="I612" i="19" s="1"/>
  <c r="H319" i="19"/>
  <c r="H68" i="19"/>
  <c r="H67" i="19" s="1"/>
  <c r="H265" i="19"/>
  <c r="G300" i="19"/>
  <c r="I449" i="19"/>
  <c r="H455" i="19"/>
  <c r="G461" i="19"/>
  <c r="G236" i="19"/>
  <c r="H326" i="19"/>
  <c r="H325" i="19" s="1"/>
  <c r="I418" i="19"/>
  <c r="G443" i="19"/>
  <c r="G449" i="19"/>
  <c r="H461" i="19"/>
  <c r="G478" i="19"/>
  <c r="H555" i="19"/>
  <c r="H60" i="19"/>
  <c r="H39" i="19" s="1"/>
  <c r="H197" i="19"/>
  <c r="H196" i="19" s="1"/>
  <c r="I249" i="19"/>
  <c r="G292" i="19"/>
  <c r="G335" i="19"/>
  <c r="G325" i="19" s="1"/>
  <c r="G455" i="19"/>
  <c r="I478" i="19"/>
  <c r="I555" i="19"/>
  <c r="H17" i="19"/>
  <c r="G20" i="19"/>
  <c r="G160" i="19"/>
  <c r="G159" i="19" s="1"/>
  <c r="G297" i="19"/>
  <c r="H393" i="19"/>
  <c r="I455" i="19"/>
  <c r="G469" i="19"/>
  <c r="G555" i="19"/>
  <c r="H418" i="19"/>
  <c r="I86" i="19"/>
  <c r="G208" i="19"/>
  <c r="G207" i="19" s="1"/>
  <c r="G206" i="19" s="1"/>
  <c r="G205" i="19" s="1"/>
  <c r="H207" i="19"/>
  <c r="H206" i="19" s="1"/>
  <c r="H205" i="19" s="1"/>
  <c r="G249" i="19"/>
  <c r="H249" i="19"/>
  <c r="G319" i="19"/>
  <c r="I393" i="19"/>
  <c r="H443" i="19"/>
  <c r="I443" i="19"/>
  <c r="H449" i="19"/>
  <c r="G464" i="19"/>
  <c r="G484" i="19"/>
  <c r="G493" i="19"/>
  <c r="G492" i="19" s="1"/>
  <c r="G491" i="19" s="1"/>
  <c r="H30" i="19"/>
  <c r="G69" i="19"/>
  <c r="G68" i="19" s="1"/>
  <c r="G67" i="19" s="1"/>
  <c r="G80" i="19"/>
  <c r="G79" i="19" s="1"/>
  <c r="G93" i="19"/>
  <c r="G86" i="19" s="1"/>
  <c r="G126" i="19"/>
  <c r="H167" i="19"/>
  <c r="H166" i="19" s="1"/>
  <c r="G182" i="19"/>
  <c r="G167" i="19" s="1"/>
  <c r="G166" i="19" s="1"/>
  <c r="H214" i="19"/>
  <c r="I214" i="19"/>
  <c r="H236" i="19"/>
  <c r="I236" i="19"/>
  <c r="H253" i="19"/>
  <c r="I253" i="19"/>
  <c r="G304" i="19"/>
  <c r="G307" i="19"/>
  <c r="G434" i="19"/>
  <c r="H446" i="19"/>
  <c r="I461" i="19"/>
  <c r="G472" i="19"/>
  <c r="H484" i="19"/>
  <c r="H540" i="19"/>
  <c r="H536" i="19" s="1"/>
  <c r="G604" i="19"/>
  <c r="H99" i="19"/>
  <c r="I126" i="19"/>
  <c r="I167" i="19"/>
  <c r="I166" i="19" s="1"/>
  <c r="H240" i="19"/>
  <c r="I240" i="19"/>
  <c r="I265" i="19"/>
  <c r="G274" i="19"/>
  <c r="G393" i="19"/>
  <c r="G415" i="19"/>
  <c r="G414" i="19" s="1"/>
  <c r="G425" i="19"/>
  <c r="I446" i="19"/>
  <c r="G452" i="19"/>
  <c r="G481" i="19"/>
  <c r="I540" i="19"/>
  <c r="I536" i="19" s="1"/>
  <c r="I197" i="19"/>
  <c r="I196" i="19" s="1"/>
  <c r="I604" i="19"/>
  <c r="G99" i="19"/>
  <c r="I39" i="19"/>
  <c r="G60" i="19"/>
  <c r="G39" i="19" s="1"/>
  <c r="H140" i="19"/>
  <c r="I30" i="19"/>
  <c r="I187" i="19"/>
  <c r="I186" i="19" s="1"/>
  <c r="I140" i="19"/>
  <c r="I207" i="19"/>
  <c r="I206" i="19" s="1"/>
  <c r="I205" i="19" s="1"/>
  <c r="G240" i="19"/>
  <c r="G253" i="19"/>
  <c r="H604" i="19"/>
  <c r="I325" i="19"/>
  <c r="G617" i="19"/>
  <c r="G612" i="19" s="1"/>
  <c r="G540" i="19"/>
  <c r="G536" i="19" s="1"/>
  <c r="I16" i="19" l="1"/>
  <c r="I11" i="19" s="1"/>
  <c r="I375" i="19"/>
  <c r="I360" i="19" s="1"/>
  <c r="H16" i="19"/>
  <c r="H11" i="19" s="1"/>
  <c r="G16" i="19"/>
  <c r="G11" i="19" s="1"/>
  <c r="H245" i="19"/>
  <c r="H286" i="19"/>
  <c r="G286" i="19"/>
  <c r="I230" i="19"/>
  <c r="H230" i="19"/>
  <c r="G230" i="19"/>
  <c r="G245" i="19"/>
  <c r="I245" i="19"/>
  <c r="I85" i="19"/>
  <c r="H108" i="19"/>
  <c r="I324" i="19"/>
  <c r="G108" i="19"/>
  <c r="I108" i="19"/>
  <c r="H324" i="19"/>
  <c r="H375" i="19"/>
  <c r="H360" i="19" s="1"/>
  <c r="H85" i="19"/>
  <c r="H165" i="19"/>
  <c r="G418" i="19"/>
  <c r="G141" i="19"/>
  <c r="G140" i="19" s="1"/>
  <c r="H551" i="19"/>
  <c r="H527" i="19" s="1"/>
  <c r="H430" i="19"/>
  <c r="H413" i="19" s="1"/>
  <c r="H405" i="19" s="1"/>
  <c r="G551" i="19"/>
  <c r="G527" i="19" s="1"/>
  <c r="I551" i="19"/>
  <c r="I527" i="19" s="1"/>
  <c r="G85" i="19"/>
  <c r="G375" i="19"/>
  <c r="G360" i="19" s="1"/>
  <c r="G430" i="19"/>
  <c r="I165" i="19"/>
  <c r="G165" i="19"/>
  <c r="I430" i="19"/>
  <c r="I413" i="19" s="1"/>
  <c r="I405" i="19" s="1"/>
  <c r="G324" i="19"/>
  <c r="I229" i="19" l="1"/>
  <c r="I228" i="19" s="1"/>
  <c r="G229" i="19"/>
  <c r="G228" i="19" s="1"/>
  <c r="I10" i="19"/>
  <c r="G413" i="19"/>
  <c r="G405" i="19" s="1"/>
  <c r="H10" i="19"/>
  <c r="G10" i="19"/>
  <c r="H229" i="19"/>
  <c r="H228" i="19" s="1"/>
  <c r="I624" i="19" l="1"/>
  <c r="H624" i="19"/>
  <c r="G624" i="19"/>
  <c r="G637" i="19" l="1"/>
  <c r="H637" i="19"/>
  <c r="I637" i="19"/>
  <c r="I628" i="19"/>
  <c r="I632" i="19"/>
  <c r="H628" i="19"/>
  <c r="G628" i="19"/>
  <c r="H632" i="19"/>
  <c r="G632" i="19"/>
  <c r="I422" i="23" l="1"/>
  <c r="I414" i="23" s="1"/>
  <c r="H422" i="23"/>
  <c r="H414" i="23" s="1"/>
  <c r="H622" i="23" s="1"/>
  <c r="H535" i="25" l="1"/>
  <c r="G564" i="26"/>
  <c r="I622" i="23"/>
  <c r="H630" i="23"/>
  <c r="H626" i="23"/>
  <c r="I626" i="23" l="1"/>
  <c r="H564" i="26"/>
  <c r="I535" i="25"/>
  <c r="I630" i="23"/>
</calcChain>
</file>

<file path=xl/sharedStrings.xml><?xml version="1.0" encoding="utf-8"?>
<sst xmlns="http://schemas.openxmlformats.org/spreadsheetml/2006/main" count="17175" uniqueCount="738">
  <si>
    <t>Физическая культура  и спорт</t>
  </si>
  <si>
    <t>Физическая культура</t>
  </si>
  <si>
    <t>Массовый спорт</t>
  </si>
  <si>
    <t>Обслуживание государственного внутреннего и муниципального долга</t>
  </si>
  <si>
    <t>Другие вопросы в области физической культуры и спорта</t>
  </si>
  <si>
    <t>Национальная безопасность и правоохранительная деятельность</t>
  </si>
  <si>
    <t xml:space="preserve"> </t>
  </si>
  <si>
    <t>Управление культуры администрации Анжеро-Судженского городского округа</t>
  </si>
  <si>
    <t>Раздел</t>
  </si>
  <si>
    <t>Подраздел</t>
  </si>
  <si>
    <t>Целевая статья</t>
  </si>
  <si>
    <t>Вид расхода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</si>
  <si>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</si>
  <si>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</si>
  <si>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</si>
  <si>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</si>
  <si>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</si>
  <si>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</si>
  <si>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</si>
  <si>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</si>
  <si>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</si>
  <si>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</si>
  <si>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</si>
  <si>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</si>
  <si>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</si>
  <si>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Другие вопросы в области культуры, кинематографии</t>
  </si>
  <si>
    <t>09</t>
  </si>
  <si>
    <t>Национальная экономика</t>
  </si>
  <si>
    <t>Топливно-энергетический комплекс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</si>
  <si>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</si>
  <si>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</si>
  <si>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</si>
  <si>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</si>
  <si>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</si>
  <si>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Комитет по физической культуре и спорту администрации Анжеро-Судженского городского округа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</si>
  <si>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</si>
  <si>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</si>
  <si>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</si>
  <si>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</si>
  <si>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</si>
  <si>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</si>
  <si>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</si>
  <si>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кинематография, средства массовой информации</t>
  </si>
  <si>
    <t>08</t>
  </si>
  <si>
    <t>Культура</t>
  </si>
  <si>
    <t>Администрация Анжеро-Судженского городского округа</t>
  </si>
  <si>
    <t>Управление образования администрации Анжеро-Судженского городского округа</t>
  </si>
  <si>
    <t>Комитет по управлению муниципальным имуществом администрации Анжеро-Судженского городского округа</t>
  </si>
  <si>
    <t>Управление жилищно-коммунального хозяйства администрации Анжеро-Судженского городского округа</t>
  </si>
  <si>
    <t>Управление социальной защиты населения администрации Анжеро-Судженского городского округа</t>
  </si>
  <si>
    <t>06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</si>
  <si>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</si>
  <si>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</si>
  <si>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</si>
  <si>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</si>
  <si>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</si>
  <si>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</si>
  <si>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</si>
  <si>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ИТОГО:</t>
  </si>
  <si>
    <t>Ведомство</t>
  </si>
  <si>
    <t>Общегосударственные вопросы</t>
  </si>
  <si>
    <t>13</t>
  </si>
  <si>
    <t>(тыс. руб.)</t>
  </si>
  <si>
    <t>Контрольно - счетная палата Анжеро- Судженского городского округа</t>
  </si>
  <si>
    <t>Начальник финансового управления города Анжеро-Судженска-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</si>
  <si>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</si>
  <si>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</si>
  <si>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</si>
  <si>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</si>
  <si>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</si>
  <si>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</si>
  <si>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</si>
  <si>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</si>
  <si>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</si>
  <si>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Обслуживание государственного (муниципального) долга</t>
  </si>
  <si>
    <t>700</t>
  </si>
  <si>
    <t>Закупка товаров работ и услуг для государственных (муниципальных) нужд</t>
  </si>
  <si>
    <t>Совет народных депутатов Анжеро-Судженского городского округа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</si>
  <si>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</si>
  <si>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</si>
  <si>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Е.Н. Зачиняева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</si>
  <si>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</si>
  <si>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</si>
  <si>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</si>
  <si>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Приложение 6</t>
  </si>
  <si>
    <t>05 2 00 72010</t>
  </si>
  <si>
    <t>01 4 00 79050</t>
  </si>
  <si>
    <t>01 5 00 79060</t>
  </si>
  <si>
    <t>01 5 00 71960</t>
  </si>
  <si>
    <t>04 1 00 51350</t>
  </si>
  <si>
    <t>04 3 00 51560</t>
  </si>
  <si>
    <t>08 6 00 80110</t>
  </si>
  <si>
    <t>08 6 00 70010</t>
  </si>
  <si>
    <t>08 6 00 70020</t>
  </si>
  <si>
    <t>08 6 00 70030</t>
  </si>
  <si>
    <t>08 6 00 70060</t>
  </si>
  <si>
    <t>08 6 00 70080</t>
  </si>
  <si>
    <t>08 5 00 70160</t>
  </si>
  <si>
    <t xml:space="preserve">08 5 00 70160 </t>
  </si>
  <si>
    <t>08 4 00 70280</t>
  </si>
  <si>
    <t>08 5 00 70170</t>
  </si>
  <si>
    <t>08 6 00 52700</t>
  </si>
  <si>
    <t>08 6 00 52200</t>
  </si>
  <si>
    <t>08 6 00 52800</t>
  </si>
  <si>
    <t>08 6 00 52500</t>
  </si>
  <si>
    <t>08 6 00 53800</t>
  </si>
  <si>
    <t>08 6 00 70090</t>
  </si>
  <si>
    <t>08 6 00 80050</t>
  </si>
  <si>
    <t>08 6 00 70050</t>
  </si>
  <si>
    <t>08 6 00 80010</t>
  </si>
  <si>
    <t>08 6 00 80070</t>
  </si>
  <si>
    <t>08 6 00 70070</t>
  </si>
  <si>
    <t>08 6 00 70100</t>
  </si>
  <si>
    <t>08 6 00 80080</t>
  </si>
  <si>
    <t>08 6 00 80090</t>
  </si>
  <si>
    <t>08 6 00 80040</t>
  </si>
  <si>
    <t>08 6 00 80100</t>
  </si>
  <si>
    <t>08 6 00 51370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</si>
  <si>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</si>
  <si>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</si>
  <si>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</si>
  <si>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</si>
  <si>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</si>
  <si>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</si>
  <si>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</si>
  <si>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05 2 00 72040</t>
  </si>
  <si>
    <t>05 2 00 72030</t>
  </si>
  <si>
    <t>05 2 00 80120</t>
  </si>
  <si>
    <t>05 2 00 71810</t>
  </si>
  <si>
    <t>05 2 00 80130</t>
  </si>
  <si>
    <t>05 2 00 52600</t>
  </si>
  <si>
    <t>911</t>
  </si>
  <si>
    <t>05 2 00 73050</t>
  </si>
  <si>
    <t>04 1 00 R0820</t>
  </si>
  <si>
    <t>04 2 00 L0200</t>
  </si>
  <si>
    <t>Закупка товаров, работ и услуг для обеспечения государственных (муниципальных) нужд</t>
  </si>
  <si>
    <t>05 1 00 71940</t>
  </si>
  <si>
    <t>05 1 00 71930</t>
  </si>
  <si>
    <t>05 2 00 72000</t>
  </si>
  <si>
    <t>05 2 00 70490</t>
  </si>
  <si>
    <t>2019 год</t>
  </si>
  <si>
    <t>Предоставление субсидий бюджетным, автономным учреждениям и иным некоммерческим организациям</t>
  </si>
  <si>
    <t>01 1 00 11011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</si>
  <si>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</si>
  <si>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</si>
  <si>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</si>
  <si>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</si>
  <si>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</si>
  <si>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</si>
  <si>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</si>
  <si>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Денежные выплаты гражданам, имеющим звание "Почетный гражданин Анжеро-Судженского городского округа"</t>
  </si>
  <si>
    <t>01 5 00 94041</t>
  </si>
  <si>
    <t>Развитие архивного дела на территории Анжеро-Судженского городского округа</t>
  </si>
  <si>
    <t>01 4 00 11401</t>
  </si>
  <si>
    <t>03 3 00 11151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</si>
  <si>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</si>
  <si>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</si>
  <si>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03 3 00 12161</t>
  </si>
  <si>
    <t>03 1 00 11002</t>
  </si>
  <si>
    <t>Создание территориального компонента Общероссийской комплексной системы информирования и оповещения населения в чрезвычайных ситуациях</t>
  </si>
  <si>
    <t>Развитие ЕДДС Анжеро-Судженского городского округа</t>
  </si>
  <si>
    <t>03 1 00 14002</t>
  </si>
  <si>
    <t>03 2 00 11701</t>
  </si>
  <si>
    <t>Обеспечение первичных мер пожарной безопасности с массовым пребыванием людей</t>
  </si>
  <si>
    <t>Противопожарное обустройство населенных пунктов</t>
  </si>
  <si>
    <t>03 2 00 12701</t>
  </si>
  <si>
    <t>14 0 00 12801</t>
  </si>
  <si>
    <t>Содействие формированию положительного имиджа предпринимательской деятельности</t>
  </si>
  <si>
    <t>Кредитно-финансовая и имущественная поддержка субъектов малого и среднего предпринимательства</t>
  </si>
  <si>
    <t>Реализация программ местного развития и обеспечение занятости для шахтерских городов и поселков</t>
  </si>
  <si>
    <t>04 1 00 11501</t>
  </si>
  <si>
    <t>04 4 00 11201</t>
  </si>
  <si>
    <t>Строительство</t>
  </si>
  <si>
    <t>04 4 00 12201</t>
  </si>
  <si>
    <t>Проектные работы</t>
  </si>
  <si>
    <t>05 1 00 16071</t>
  </si>
  <si>
    <t>Развитие молодежной политики в Анжеро-Судженском городском округе</t>
  </si>
  <si>
    <t>Кадровое обеспечение - молодой специалист</t>
  </si>
  <si>
    <t>08 7 00 11005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</si>
  <si>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</si>
  <si>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</si>
  <si>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Обеспечение мер социальной поддержки реабилитированных лиц и лиц, признанных пострадавшими от политических репрессий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</si>
  <si>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</si>
  <si>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</si>
  <si>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01 5 00 15011</t>
  </si>
  <si>
    <t>Поддержка молодых семей и семей бюджетников</t>
  </si>
  <si>
    <t>12 0 00 11004</t>
  </si>
  <si>
    <t>Процентные платежи по муниципальному долгу Анжеро-Судженского городского округа</t>
  </si>
  <si>
    <t>Организация круглогодичного отдыха, оздоровления и занятости обучающихся</t>
  </si>
  <si>
    <t>05 1 00 13011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</si>
  <si>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</si>
  <si>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</si>
  <si>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</si>
  <si>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</si>
  <si>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09 0 00 13012</t>
  </si>
  <si>
    <t>Создание условий для развития физической культуры и массового спорта в городском округе</t>
  </si>
  <si>
    <t>09 0 00 11042</t>
  </si>
  <si>
    <t>02 0 00 13001</t>
  </si>
  <si>
    <t>Техническая инвентаризация и паспортизация объектов муниципальной собственности</t>
  </si>
  <si>
    <t>Независимая оценка объектов муниципальной собственности</t>
  </si>
  <si>
    <t>02 0 00 14001</t>
  </si>
  <si>
    <t>Проведение капитальных ремонтов объектов инженерной инфраструктуры, находящихся в муниципальной собственности</t>
  </si>
  <si>
    <t>02 0 00 15001</t>
  </si>
  <si>
    <t>Содержание муниципального имущества</t>
  </si>
  <si>
    <t>02 0 00 16001</t>
  </si>
  <si>
    <t>02 0 00 17002</t>
  </si>
  <si>
    <t>Размещение информации в СМИ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</si>
  <si>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</si>
  <si>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</si>
  <si>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</si>
  <si>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</si>
  <si>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02 0 00 11001</t>
  </si>
  <si>
    <t>Формирование и оформление границ земельных участков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</si>
  <si>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</si>
  <si>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02 0 00 12001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</si>
  <si>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</si>
  <si>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</si>
  <si>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</si>
  <si>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99 0 00 24001</t>
  </si>
  <si>
    <t>Центральный аппарат</t>
  </si>
  <si>
    <t>Председатель Контрольно-счетной палаты</t>
  </si>
  <si>
    <t>99 0 00 20131</t>
  </si>
  <si>
    <t>Председатель представительного органа муниципального образования</t>
  </si>
  <si>
    <t>Депутаты представительного органа муниципального образования</t>
  </si>
  <si>
    <t>99 0 00 20111</t>
  </si>
  <si>
    <t>99 0 00 20121</t>
  </si>
  <si>
    <t>01 5 00 16131</t>
  </si>
  <si>
    <t>Поздравления и памятные подарки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</si>
  <si>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</si>
  <si>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</si>
  <si>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</si>
  <si>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</si>
  <si>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05 1 00 11211</t>
  </si>
  <si>
    <t>05 1 00 11231</t>
  </si>
  <si>
    <t>05 1 00 12221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</si>
  <si>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</si>
  <si>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Адресная социальная поддержка участников образовательного процесса</t>
  </si>
  <si>
    <t>05 1 00 11202</t>
  </si>
  <si>
    <t>05 1 00 12051</t>
  </si>
  <si>
    <t>05 1 00 12021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</si>
  <si>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</si>
  <si>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</si>
  <si>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</si>
  <si>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</si>
  <si>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</si>
  <si>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</si>
  <si>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</si>
  <si>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</si>
  <si>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</si>
  <si>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</si>
  <si>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</si>
  <si>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Ежемесячные денежные выплаты отдельным категориям граждан, воспитывающих детей в возрасте от 1,5 до 7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</si>
  <si>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</si>
  <si>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</si>
  <si>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</si>
  <si>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</si>
  <si>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</si>
  <si>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</si>
  <si>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</si>
  <si>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06 0 00 13421</t>
  </si>
  <si>
    <t>Развитие библиотечного дела</t>
  </si>
  <si>
    <t>06 0 00 14041</t>
  </si>
  <si>
    <t>Реализация мер в области государственной молодежной политики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</si>
  <si>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</si>
  <si>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08 2 00 91001</t>
  </si>
  <si>
    <t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</si>
  <si>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</si>
  <si>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Затраты на содержание муниципальных учреждений социального обслуживания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</si>
  <si>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</si>
  <si>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Осуществление полномочия по осуществлению ежегодной денежной выплаты лицам, награжденным нагрудным знаком "Почетный донор России"</t>
  </si>
  <si>
    <t>Оплата жилищно-коммунальных услуг отдельным категориям граждан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</si>
  <si>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</si>
  <si>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Предоставление гражданам субсидий на оплату жилого помещения и коммунальных услуг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</si>
  <si>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</si>
  <si>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Дополнительная мера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</t>
  </si>
  <si>
    <t>Социальная поддержка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</t>
  </si>
  <si>
    <t>Денежная выплата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</si>
  <si>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18 ноября 2004 года № 82-ОЗ "О погребении и похоронном деле в Кемеровской области"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</si>
  <si>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</si>
  <si>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</si>
  <si>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Адресная помощь</t>
  </si>
  <si>
    <t>08 1 00 11403</t>
  </si>
  <si>
    <t>Поддержка общественных организаций</t>
  </si>
  <si>
    <t>08 1 00 12401</t>
  </si>
  <si>
    <t>Социальная поддержка и социальное обслуживание населения в части содержания органов местного самоуправления</t>
  </si>
  <si>
    <t>Резервный фонд</t>
  </si>
  <si>
    <t>Исполнение судебных актов</t>
  </si>
  <si>
    <t>01 5 00 13071</t>
  </si>
  <si>
    <t>01 5 00 17001</t>
  </si>
  <si>
    <t>10 3 00 14101</t>
  </si>
  <si>
    <t>11 1 00 11121</t>
  </si>
  <si>
    <t>Расходы по содержанию автомобильных дорог и инженерных сооружений на них</t>
  </si>
  <si>
    <t>11 2 00 11111</t>
  </si>
  <si>
    <t>Освещение автодорог местного значения и текущее содержание линий дорожного освещения</t>
  </si>
  <si>
    <t>11 7 00 11112</t>
  </si>
  <si>
    <t>Повышение безопасности дорожного движения, КРИСы, Безопасный город</t>
  </si>
  <si>
    <t>10 1 00 11301</t>
  </si>
  <si>
    <t>Капитальный ремонт муниципальных сетей и котельного оборудования</t>
  </si>
  <si>
    <t>10 1 00 13301</t>
  </si>
  <si>
    <t>Актуализация схемы теплоснабжения</t>
  </si>
  <si>
    <t>10 1 00 15301</t>
  </si>
  <si>
    <t>Проверка сметной документации, технадзор</t>
  </si>
  <si>
    <t>10 3 00 11203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</si>
  <si>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</t>
  </si>
  <si>
    <t>10 3 00 11302</t>
  </si>
  <si>
    <t>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водоснабжения, водоотведения в соответствии с установленным предельным индексом</t>
  </si>
  <si>
    <t>10 3 00 12402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</si>
  <si>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</si>
  <si>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11 2 00 12111</t>
  </si>
  <si>
    <t>Стоимость электроэнергии</t>
  </si>
  <si>
    <t>Организация работ по озеленению парков, скверов, аллей, улично-дорожной сети</t>
  </si>
  <si>
    <t>11 3 00 11131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</si>
  <si>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</si>
  <si>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</si>
  <si>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</si>
  <si>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</si>
  <si>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10 2 00 11901</t>
  </si>
  <si>
    <t>Организация и осуществление деятельности по снижению рисков и смягчению последствий аварийных ситуаций на объектах ЖКХ и социальной сферы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</si>
  <si>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</si>
  <si>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</si>
  <si>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</si>
  <si>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</si>
  <si>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Поддержка пенсионеров и инвалидов</t>
  </si>
  <si>
    <t>08 1 00 13401</t>
  </si>
  <si>
    <t>08 1 00 14401</t>
  </si>
  <si>
    <t>Возмещение затрат по содержанию специализированного муниципального жилого фонда</t>
  </si>
  <si>
    <t>08 1 00 15401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</si>
  <si>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</si>
  <si>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10 1 00 12301</t>
  </si>
  <si>
    <t>Теплоснабжение восточного жилого района г.Анжеро-Судженска (строительство теплотрассы)</t>
  </si>
  <si>
    <t>05 2 00 11012</t>
  </si>
  <si>
    <t>Дополнительное образование детей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</si>
  <si>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</si>
  <si>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</si>
  <si>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</t>
  </si>
  <si>
    <t>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</si>
  <si>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Пособие на ребенка в соответствии с Законом Кемеровской области от 18 ноября 2004 года № 75-ОЗ "О размере, порядке назначения и выплаты пособия на ребенка"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</si>
  <si>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жилья и (или) коммунальных услуг"</t>
  </si>
  <si>
    <t>Ежемесячная денежная выплата, назначаемая в случае рождения третьего ребенка или последующих детей, до достижения ребенком возраста трех лет</t>
  </si>
  <si>
    <t>Мероприятия подпрограммы "Обеспечение жильем молодых семей" федеральной целевой программы "Жилище" на 2015 - 2020 годы</t>
  </si>
  <si>
    <t>08 5 00 11051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</si>
  <si>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</si>
  <si>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</si>
  <si>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</si>
  <si>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</si>
  <si>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</si>
  <si>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</si>
  <si>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</si>
  <si>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</si>
  <si>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</si>
  <si>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</si>
  <si>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</si>
  <si>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>10 1 00 72540</t>
  </si>
  <si>
    <t>04 1 00 71850</t>
  </si>
  <si>
    <t>14 0 00 L5270</t>
  </si>
  <si>
    <t>10 1 00 18301</t>
  </si>
  <si>
    <t>ПИР котельной по ул. Прокопьевская, сети теплоснабжения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</si>
  <si>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</si>
  <si>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</si>
  <si>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</si>
  <si>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</si>
  <si>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>Социальная поддержка работников образовательных организаций и участников образовательного процесса</t>
  </si>
  <si>
    <t>2020 год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</si>
  <si>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</si>
  <si>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</si>
  <si>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</si>
  <si>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</si>
  <si>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</si>
  <si>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10 5 00 71140</t>
  </si>
  <si>
    <t>Содержание и обустройство сибиреязвенных захоронений и скотомогильников (биотермических ям)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</si>
  <si>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</si>
  <si>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06 0 00 70420</t>
  </si>
  <si>
    <t>04 1 00 51760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</si>
  <si>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</si>
  <si>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08 6 00 70840</t>
  </si>
  <si>
    <t>Проведение обследования ветхого и аварийного муниципального жилого фонда, снос ветхого жилья</t>
  </si>
  <si>
    <t>04 3 00 14151</t>
  </si>
  <si>
    <t>Строительство и реконструкция котельных и сетей теплоснабжения с пименением  энергоэффективных технологий, материалов и оборудования</t>
  </si>
  <si>
    <t>04 3 00 11181</t>
  </si>
  <si>
    <t>06 0 00 70480</t>
  </si>
  <si>
    <t>Этнокультурное развитие наций и народностей Кемеровской области</t>
  </si>
  <si>
    <t>Разработка схемы водоснабжения и водоотведения</t>
  </si>
  <si>
    <t>10 1 00 17301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</si>
  <si>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</si>
  <si>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11 1 00 72690</t>
  </si>
  <si>
    <t>04 2 00 L4970</t>
  </si>
  <si>
    <t>Реализация мероприятий по обеспечению жильем молодых семей</t>
  </si>
  <si>
    <t>11 1 00 S2690</t>
  </si>
  <si>
    <t>от ________________2018г. № ________</t>
  </si>
  <si>
    <t>Капитальный ремонт ул. Ленина</t>
  </si>
  <si>
    <t>11 8 00 11182</t>
  </si>
  <si>
    <t xml:space="preserve">Капитальный ремонт объектов систем водоснабжения и водоотведения </t>
  </si>
  <si>
    <t>10 1 00 72470</t>
  </si>
  <si>
    <t>10 1 00 S2470</t>
  </si>
  <si>
    <t>Создание и поддержание функционирования многофункциональных центров предоставления государственных и муниципальных услуг</t>
  </si>
  <si>
    <t>13 0 00 72110</t>
  </si>
  <si>
    <t>99 0 00 51200</t>
  </si>
  <si>
    <t>13 0 00 S2110</t>
  </si>
  <si>
    <t>08 3 00 13271</t>
  </si>
  <si>
    <t>Создание в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</t>
  </si>
  <si>
    <t>Переселение граждан из аварийного жилищного фонда</t>
  </si>
  <si>
    <t>04 3 00 12151</t>
  </si>
  <si>
    <t>Переселение граждан из аварийных многоквартирных жилых домов в рамках реализации региональной адресной программы в соответствии с 185-ФЗ</t>
  </si>
  <si>
    <t>Обеспечение деятельности строительного контроля в сфере проектирования, строительства, реконструкции и всех видов ремонта. Выполнение функции Заказчика</t>
  </si>
  <si>
    <t>04 4 00 13201</t>
  </si>
  <si>
    <t>10 1 00 19301</t>
  </si>
  <si>
    <t>Техническое обследование сетей и объектов водоотведения, разработка ДПР</t>
  </si>
  <si>
    <t>15 0 00 11007</t>
  </si>
  <si>
    <t>15 0 0011007</t>
  </si>
  <si>
    <t>Благоустройство дворовых территорий Анжеро-Судженского городского округа</t>
  </si>
  <si>
    <t>10 1 00 11060</t>
  </si>
  <si>
    <t>Погашение кредиторской задолженности за техническое обслуживание объектов инженерной инфраструктуры</t>
  </si>
  <si>
    <t>2021 год</t>
  </si>
  <si>
    <t>04 1 00 51340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</si>
  <si>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«О ветеранах», в соответствии с Указом Президента Российской Федерации от 7 мая 2008 года № 714 «Об обеспечении жильем ветеранов Великой Отечественной войны 1941 - 1945 годов»</t>
  </si>
  <si>
    <t>09 0 00 11044</t>
  </si>
  <si>
    <t>08 1 00 16401</t>
  </si>
  <si>
    <t>Организация и проведение мероприятий, посвященных празднованию  Победы в Великой Отечественной войне</t>
  </si>
  <si>
    <t>Материальное стимулирование деятельности добровольных пожарных (волонтеров)</t>
  </si>
  <si>
    <t>03 2 00 14701</t>
  </si>
  <si>
    <t>Ремонт муниципального жилищного фонда</t>
  </si>
  <si>
    <t>04 5 00 14003</t>
  </si>
  <si>
    <t>05 2 00 11213</t>
  </si>
  <si>
    <t>Обеспечение мер социальной поддержки в виде льгот по родительской плате за присмотр и уход за детьми в муниципальных организациях</t>
  </si>
  <si>
    <t>Обеспечение мер социальной поддержки (в виде предоставления горячего питания) обучающимся муниципальных общеобразовательных организаций</t>
  </si>
  <si>
    <t>05 2 00 11212</t>
  </si>
  <si>
    <t>06 0 00 14522</t>
  </si>
  <si>
    <t>Возмещение затрат, возникших в результате применения государственных регулируемых цен при обеспечении коммунальными ресурсами населения при снабжении топливом</t>
  </si>
  <si>
    <t>08 7 00 13005</t>
  </si>
  <si>
    <t>Работа по обработке социально-значимых инфекций</t>
  </si>
  <si>
    <t>08 6 P1 50840</t>
  </si>
  <si>
    <t>08 6 P1 55730</t>
  </si>
  <si>
    <t>Федеральный проект «Финансовая поддержка семей при рождении детей»</t>
  </si>
  <si>
    <t>08 6 P1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</si>
  <si>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</si>
  <si>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</si>
  <si>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>Осуществление назначения и выплаты денежных средств семьям, взявших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являвшимся приемными родителями в соответствии с Законом Кемеровской области от 14 декабря 2010 года № 124-ОЗ «О некоторых вопросах в сфере опеки и попечительства несовершеннолетних»</t>
  </si>
  <si>
    <t>Осуществление ежемесячной выплаты в связи с рождением (усыновлением) первого ребенка</t>
  </si>
  <si>
    <t xml:space="preserve">15 0 F2 55550 </t>
  </si>
  <si>
    <t>Федеральный проект «Формирование комфортной городской среды»</t>
  </si>
  <si>
    <t>15 0 F2</t>
  </si>
  <si>
    <t>Реализация программ формирования современной городской среды</t>
  </si>
  <si>
    <t>11 5 00 S3420</t>
  </si>
  <si>
    <t>Реализация проектов инициативного бюджетирования "Твой Кузбасс - твоя инициатива"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</si>
  <si>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</si>
  <si>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Федеральный проект «Спорт - норма жизни»</t>
  </si>
  <si>
    <t>090 P5</t>
  </si>
  <si>
    <t>05 2 00 72060</t>
  </si>
  <si>
    <t>Профилактика безнадзорности и правонарушений несовершеннолетних</t>
  </si>
  <si>
    <t>05 2 00 80140</t>
  </si>
  <si>
    <t>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</t>
  </si>
  <si>
    <t xml:space="preserve">09 0 P5 50810 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</si>
  <si>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 некоторых вопросах в сфере погребения и похоронного дела в Кемеровской области"</t>
  </si>
  <si>
    <t>Осуществление назначения и выплаты денежных средств семьям, взявшим на воспитание детей-сирот и детей, оставшихся без попечения родителей, предоставление им мер социальной поддержки, осуществление назначения и выплаты денежных средств лицам, находившимся под попечительством, лицам, являвшимся приемными родителями, в соответствии с Законом Кемеровской области от 14 декабря 2010 года № 124-ОЗ "О некоторых вопросах в сфере опеки и попечительства несовершеннолетних"</t>
  </si>
  <si>
    <t>08 6 P1 70050</t>
  </si>
  <si>
    <t>08 6 P1 80010</t>
  </si>
  <si>
    <t>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</si>
  <si>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</t>
  </si>
  <si>
    <t>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</si>
  <si>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Приложение 5</t>
  </si>
  <si>
    <t>Начальник финансового управления города Анжеро-Судженска -</t>
  </si>
  <si>
    <t>Итого</t>
  </si>
  <si>
    <t>99999</t>
  </si>
  <si>
    <t>00</t>
  </si>
  <si>
    <t>0</t>
  </si>
  <si>
    <t>51200</t>
  </si>
  <si>
    <t>Закупка товаров, работ и услуг для государственных (муниципальных) нужд</t>
  </si>
  <si>
    <t>24001</t>
  </si>
  <si>
    <t>20131</t>
  </si>
  <si>
    <t>20121</t>
  </si>
  <si>
    <t>20111</t>
  </si>
  <si>
    <t>Непрограммное направление деятельности</t>
  </si>
  <si>
    <t>11007</t>
  </si>
  <si>
    <t>55550</t>
  </si>
  <si>
    <t>F2</t>
  </si>
  <si>
    <t>15</t>
  </si>
  <si>
    <t>Муниципальная программа "Формирование современной городской среды на территории Анжеро-Судженского городского округа"</t>
  </si>
  <si>
    <t>12801</t>
  </si>
  <si>
    <t>14</t>
  </si>
  <si>
    <t>Муниципальная программа "Развитие и поддержка субъектов малого и среднего предпринимательства Анжеро-Судженского городского округа"</t>
  </si>
  <si>
    <t>11171</t>
  </si>
  <si>
    <t xml:space="preserve">Муниципальная программа «Повышение качества предоставления государственных и муниципальных услуг» </t>
  </si>
  <si>
    <t>11004</t>
  </si>
  <si>
    <t>Муниципальная программа "Управление муниципальными финансами Анжеро-Судженского городского округа"</t>
  </si>
  <si>
    <t>11182</t>
  </si>
  <si>
    <t>8</t>
  </si>
  <si>
    <t>Подпрограмма "Повышение качества  среды города Анжеро-Судженска"</t>
  </si>
  <si>
    <t>11902</t>
  </si>
  <si>
    <t>6</t>
  </si>
  <si>
    <t>Подпрограмма "Организация мероприятий по обеспечению надлежащего состояния уровня благоустройства территории Анжеро-Судженского городского округа"</t>
  </si>
  <si>
    <t>S3420</t>
  </si>
  <si>
    <t>11152</t>
  </si>
  <si>
    <t>5</t>
  </si>
  <si>
    <t>Подпрограмма "Прочие мероприятия по объектам внешнего благоустройства"</t>
  </si>
  <si>
    <t>11141</t>
  </si>
  <si>
    <t>4</t>
  </si>
  <si>
    <t xml:space="preserve">Подпрограмма "Организация и содержание мест захоронения" </t>
  </si>
  <si>
    <t>11131</t>
  </si>
  <si>
    <t>3</t>
  </si>
  <si>
    <t xml:space="preserve">Подпрограмма "Озеленение объектов внешнего благоустройства" </t>
  </si>
  <si>
    <t>12111</t>
  </si>
  <si>
    <t>11111</t>
  </si>
  <si>
    <t>2</t>
  </si>
  <si>
    <t>Подпрограмма "Уличное освещение объектов внешнего благоустройства"</t>
  </si>
  <si>
    <t>11121</t>
  </si>
  <si>
    <t>S2690</t>
  </si>
  <si>
    <t>72690</t>
  </si>
  <si>
    <t>1</t>
  </si>
  <si>
    <t xml:space="preserve">Подпрограмма "Строительство и содержание автомобильных дорог и инженерных сооружений на них" </t>
  </si>
  <si>
    <t>Муниципальная программа "Комплексное обеспечение качественного уровня благоустройства территории Анжеро-Судженского городского округа"</t>
  </si>
  <si>
    <t>71140</t>
  </si>
  <si>
    <t>Содержание и обустройство сибиреязвенных захоронений (биотермических ям)</t>
  </si>
  <si>
    <t>Подпрограмма "Содержание и обустройство сибиреязвенных захоронений и скотомогильников (биотермических ям)"</t>
  </si>
  <si>
    <t>11043</t>
  </si>
  <si>
    <t>Подпрограмма "Осуществление функций по реализации вопросов местного значения в сфере жилищно-коммунального хозяйства"</t>
  </si>
  <si>
    <t>14101</t>
  </si>
  <si>
    <t>12402</t>
  </si>
  <si>
    <t>11302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</si>
  <si>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</si>
  <si>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11203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</si>
  <si>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</si>
  <si>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Подпрограмма "Компенсация выпадающих доходов (затрат, убытков) организациям, предоставляющим населению услуги по тарифам, не обеспечивающим возмещение издержек"</t>
  </si>
  <si>
    <t>11901</t>
  </si>
  <si>
    <t>Подпрограмма "Организация и осуществление деятельности по снижению рисков и смягчению последствий аварийных ситуаций на объектах жилищно-коммунального комплекса и социальной сферы"</t>
  </si>
  <si>
    <t>18301</t>
  </si>
  <si>
    <t>11301</t>
  </si>
  <si>
    <t>Подпрограмма "Энергосбережение и повышение энергоэффективности экономики"</t>
  </si>
  <si>
    <t>Муниципальная программа "Комплексные мероприятия по повышению энергоэффективности жилищно-коммунального хозяйства на территории Анжеро-Судженского городского округа"</t>
  </si>
  <si>
    <t>15232</t>
  </si>
  <si>
    <t>14011</t>
  </si>
  <si>
    <t>13012</t>
  </si>
  <si>
    <t>11044</t>
  </si>
  <si>
    <t>11042</t>
  </si>
  <si>
    <t>11013</t>
  </si>
  <si>
    <t>50810</t>
  </si>
  <si>
    <t>P5</t>
  </si>
  <si>
    <t>Муниципальная программа "Развитие физической культуры и спорта в муниципальном образовании Анжеро-Судженский городской округ"</t>
  </si>
  <si>
    <t>13005</t>
  </si>
  <si>
    <t>7</t>
  </si>
  <si>
    <t>11005</t>
  </si>
  <si>
    <t>Подпрограмма "Здоровье горожан"</t>
  </si>
  <si>
    <t>70840</t>
  </si>
  <si>
    <t>P1</t>
  </si>
  <si>
    <t>50840</t>
  </si>
  <si>
    <t>55730</t>
  </si>
  <si>
    <t>Подпрограмма "Развитие мер социальной поддержки отдельных категорий граждан"</t>
  </si>
  <si>
    <t>Подпрограмма "Повышение качества и доступности социальных услуг"</t>
  </si>
  <si>
    <t xml:space="preserve">Подпрограмма "Совершенствование системы управления и информационного обеспечения в сфере социальной поддержки и социального обслуживания населения" </t>
  </si>
  <si>
    <t>91001</t>
  </si>
  <si>
    <t xml:space="preserve">Подпрограмма "Поддержка лиц, замешавших муниципальные должности, и должности муниципальной службы муниципального образования "Анжеро-Судженский городской округ" в виде пенсии за выслугу лет" </t>
  </si>
  <si>
    <t>16401</t>
  </si>
  <si>
    <t>15401</t>
  </si>
  <si>
    <t>14401</t>
  </si>
  <si>
    <t>13401</t>
  </si>
  <si>
    <t>12401</t>
  </si>
  <si>
    <t>11403</t>
  </si>
  <si>
    <t>Подпрограмма "Милосердие"</t>
  </si>
  <si>
    <t>Муниципальная программа "Социальная поддержка населения Анжеро-Судженского городского округа"</t>
  </si>
  <si>
    <t>14522</t>
  </si>
  <si>
    <t>14041</t>
  </si>
  <si>
    <t>13421</t>
  </si>
  <si>
    <t>12411</t>
  </si>
  <si>
    <t>11402</t>
  </si>
  <si>
    <t>70420</t>
  </si>
  <si>
    <t xml:space="preserve">Муниципальная программа "Развитие культуры Анжеро-Судженского городского округа" </t>
  </si>
  <si>
    <t>11521</t>
  </si>
  <si>
    <t>11351</t>
  </si>
  <si>
    <t>11041</t>
  </si>
  <si>
    <t>Подпрограмма "Прочие мероприятия в области образования"</t>
  </si>
  <si>
    <t>11213</t>
  </si>
  <si>
    <t>11212</t>
  </si>
  <si>
    <t>80140</t>
  </si>
  <si>
    <t>72060</t>
  </si>
  <si>
    <t>72000</t>
  </si>
  <si>
    <t>70490</t>
  </si>
  <si>
    <t>11012</t>
  </si>
  <si>
    <t>Подпрограмма «Социальные гарантии в системе образования»</t>
  </si>
  <si>
    <t>71940</t>
  </si>
  <si>
    <t>71930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</si>
  <si>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</si>
  <si>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18221</t>
  </si>
  <si>
    <t>17011</t>
  </si>
  <si>
    <t>16071</t>
  </si>
  <si>
    <t>13211</t>
  </si>
  <si>
    <t>13011</t>
  </si>
  <si>
    <t>12221</t>
  </si>
  <si>
    <t>12051</t>
  </si>
  <si>
    <t>11231</t>
  </si>
  <si>
    <t>11211</t>
  </si>
  <si>
    <t>11202</t>
  </si>
  <si>
    <t xml:space="preserve">Подпрограмма "Развитие дошкольного, общего образования и дополнительного образования детей в Анжеро-Судженском городском округе" </t>
  </si>
  <si>
    <t>Муниципальная программа "Развитие системы образования Анжеро-Судженского городского округа"</t>
  </si>
  <si>
    <t>13003</t>
  </si>
  <si>
    <t>14003</t>
  </si>
  <si>
    <t>Подпрограмма "Капитальный ремонт жилья"</t>
  </si>
  <si>
    <t>13201</t>
  </si>
  <si>
    <t>12201</t>
  </si>
  <si>
    <t>11201</t>
  </si>
  <si>
    <t>Подпрограмма "Капитальное строительство"</t>
  </si>
  <si>
    <t>12151</t>
  </si>
  <si>
    <t>Подпрограмма "Переселение граждан из ветхого и аварийного жилья"</t>
  </si>
  <si>
    <t>L4970</t>
  </si>
  <si>
    <t>Подпрограмма "Обеспечение жильем молодых семей"</t>
  </si>
  <si>
    <t>71850</t>
  </si>
  <si>
    <t>R0820</t>
  </si>
  <si>
    <t>71660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</si>
  <si>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</si>
  <si>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51340</t>
  </si>
  <si>
    <t>51760</t>
  </si>
  <si>
    <t>11501</t>
  </si>
  <si>
    <t>Подпрограмма "Обеспечение жильем отдельных социально незащищенных категорий граждан, нуждающихся в улучшении жилищных условий"</t>
  </si>
  <si>
    <t>Муниципальная программа "Обеспечение доступным и комфортным жильем и коммунальными услугами. Строительство."</t>
  </si>
  <si>
    <t>12161</t>
  </si>
  <si>
    <t>11151</t>
  </si>
  <si>
    <t xml:space="preserve">Подпрограмма "Обеспечение охраны общественного порядка на территории муниципального образования Анжеро-Судженский городской округ" </t>
  </si>
  <si>
    <t>14701</t>
  </si>
  <si>
    <t>12701</t>
  </si>
  <si>
    <t>11701</t>
  </si>
  <si>
    <t>Подпрограмма "Обеспечение пожарной безопасности на территории муниципального образования Анжеро-Судженский городской округ"</t>
  </si>
  <si>
    <t>14002</t>
  </si>
  <si>
    <t>11002</t>
  </si>
  <si>
    <t>Подпрограмма "Снижение рисков и смягчение последствий чрезвычайных ситуаций, повышение безопасности населения и защищенности объектов городского округа от угроз природного и техногенного характера"</t>
  </si>
  <si>
    <t>Муниципальная программа "Обеспечение общественного порядка, пожарной безопасности и защита от чрезвычайных ситуаций"</t>
  </si>
  <si>
    <t>19001</t>
  </si>
  <si>
    <t>18001</t>
  </si>
  <si>
    <t>17002</t>
  </si>
  <si>
    <t>16001</t>
  </si>
  <si>
    <t>15001</t>
  </si>
  <si>
    <t>14001</t>
  </si>
  <si>
    <t>13001</t>
  </si>
  <si>
    <t>12001</t>
  </si>
  <si>
    <t>11001</t>
  </si>
  <si>
    <t>Муниципальная программа "Повышение эффективности управления муниципальной собственностью Анжеро-Судженского городского округа"</t>
  </si>
  <si>
    <t>94041</t>
  </si>
  <si>
    <t>71960</t>
  </si>
  <si>
    <t>17001</t>
  </si>
  <si>
    <t>16131</t>
  </si>
  <si>
    <t>15011</t>
  </si>
  <si>
    <t>13071</t>
  </si>
  <si>
    <t>Подпрограмма "Прочие направления повышения эффективности муниципального управления"</t>
  </si>
  <si>
    <t>79050</t>
  </si>
  <si>
    <t>11401</t>
  </si>
  <si>
    <t>Подпрограмма "Развитие архивного дела на территории Анжеро-Судженского городского округа"</t>
  </si>
  <si>
    <t>11031</t>
  </si>
  <si>
    <t>11021</t>
  </si>
  <si>
    <t>11011</t>
  </si>
  <si>
    <t>Подпрограмма "Повышение эффективности деятельности органа местного самоуправления"</t>
  </si>
  <si>
    <t>Муниципальная программа "Создание условий для повышения эффективности муниципального управления"</t>
  </si>
  <si>
    <t>2021     год</t>
  </si>
  <si>
    <t>2020     год</t>
  </si>
  <si>
    <t>2019     год</t>
  </si>
  <si>
    <t>Направление расходов</t>
  </si>
  <si>
    <t>Основное мероприятие</t>
  </si>
  <si>
    <t>Подпрограмма</t>
  </si>
  <si>
    <t>Государственная программа</t>
  </si>
  <si>
    <t>Распределение бюджетных ассигнований бюджета муниципального образования "Анжеро-Судженский городской округ" по целевым статьям (муниципальным программам и непрограммным направлениям деятельности), группам видов расходов классификации расходов бюджетов на 2019 год и на плановый период 2020 и 2021 годов</t>
  </si>
  <si>
    <t>Приложение 4</t>
  </si>
  <si>
    <t xml:space="preserve">Приложение </t>
  </si>
  <si>
    <t>от ________________2017г. № ________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</si>
  <si>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2019 год и на плановый период 2020 и 2021 годов</t>
  </si>
  <si>
    <t>Подраз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</si>
  <si>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</si>
  <si>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 xml:space="preserve"> 04 3 00 12151</t>
  </si>
  <si>
    <t>11 3 0011131</t>
  </si>
  <si>
    <t>Культура, кинематография</t>
  </si>
  <si>
    <t>Ежемесячные денежные выплаты отдельным категориям граждан, воспитывающих детей в возрасте от 1,5 до 7,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</si>
  <si>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Физическая культура и спорт</t>
  </si>
  <si>
    <t>Дефицит бюджета</t>
  </si>
  <si>
    <t>72470</t>
  </si>
  <si>
    <t>14151</t>
  </si>
  <si>
    <t>70480</t>
  </si>
  <si>
    <t>к решению  Совета народных депутатов Анжеро-Судженского городского округа</t>
  </si>
  <si>
    <t xml:space="preserve"> от 20.12.2018г. № 167</t>
  </si>
  <si>
    <t xml:space="preserve"> от ______________________2019г. № _______</t>
  </si>
  <si>
    <t xml:space="preserve"> от _____________________.2019г. № _______</t>
  </si>
  <si>
    <t>Приложение 3</t>
  </si>
  <si>
    <t>Ведомственная структура расходов бюджета муниципального образования "Анжеро-Судженский городской округ" на 2019 год и на плановый период 2020 и 2021 годов</t>
  </si>
  <si>
    <t>Региональный проект «Старшее поколение»</t>
  </si>
  <si>
    <t>Создание системы долговременного ухода за гражданами пожилого возраста и инвалидами</t>
  </si>
  <si>
    <t>085 P3 51630</t>
  </si>
  <si>
    <t>P3</t>
  </si>
  <si>
    <t>51630</t>
  </si>
  <si>
    <t>Реиональный проект «Финансовая поддержка семей при рождении детей»</t>
  </si>
  <si>
    <t>Региональный проект «Спорт - норма жизни»</t>
  </si>
  <si>
    <t>Региональный проект «Формирование комфортной городской среды»</t>
  </si>
  <si>
    <t>Строительство, реконструкция и капитальный ремонт образовательных организаций (субсидии муниципальным образованиям)</t>
  </si>
  <si>
    <t xml:space="preserve">051 00 71771 </t>
  </si>
  <si>
    <t>71771</t>
  </si>
  <si>
    <t>10 1 00 11102</t>
  </si>
  <si>
    <t>Разработка схемы газоснабжения Анжеро-Судженского городского округа</t>
  </si>
  <si>
    <t>11102</t>
  </si>
  <si>
    <t>051 00 S3420</t>
  </si>
  <si>
    <t xml:space="preserve">051 00 S1771 </t>
  </si>
  <si>
    <t xml:space="preserve"> S1771 </t>
  </si>
  <si>
    <t>Региональный проект «Обеспечение устойчивого сокращения непригодного для проживания жилищного фонда»</t>
  </si>
  <si>
    <t>04 3 F3 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</si>
  <si>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</si>
  <si>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F3</t>
  </si>
  <si>
    <t>09602</t>
  </si>
  <si>
    <t>Реализация мероприятий государственной программы Российской Федерации "Доступная среда"</t>
  </si>
  <si>
    <t>L0270</t>
  </si>
  <si>
    <t>Обеспечение персонифицированного финансирования дополнительного образования детей</t>
  </si>
  <si>
    <t>05 1 00 12003</t>
  </si>
  <si>
    <t>12003</t>
  </si>
  <si>
    <t>S2470</t>
  </si>
  <si>
    <t xml:space="preserve">03 2 00 11701 </t>
  </si>
  <si>
    <t xml:space="preserve">03 1 00 15003 </t>
  </si>
  <si>
    <t>03 1 00 15003</t>
  </si>
  <si>
    <t>15003</t>
  </si>
  <si>
    <t>Организация мероприятий по защите населения и территории от чрезвычайных ситуаций природного и техногенного характера, гражданской обороны, обеспечение пожарной безопасности и безопасности людей на водных объектах в границах Анжеро-Судженского городского округа</t>
  </si>
  <si>
    <t>Финансовая поддержка субъектов малого и среднего предпринимательства</t>
  </si>
  <si>
    <t>14 0 00 15801</t>
  </si>
  <si>
    <t>15801</t>
  </si>
  <si>
    <t>11051</t>
  </si>
  <si>
    <t>Развитие физической культуры и спорта</t>
  </si>
  <si>
    <t>S0510</t>
  </si>
  <si>
    <t>09 0 00 S0510</t>
  </si>
  <si>
    <t>05 1 00 L0270</t>
  </si>
  <si>
    <t>Убрать пустые строки!</t>
  </si>
  <si>
    <t>04 3 F3 09502</t>
  </si>
  <si>
    <t>09502</t>
  </si>
  <si>
    <t>051 00 73420</t>
  </si>
  <si>
    <t>73420</t>
  </si>
  <si>
    <t>Создание виртуальных концертных залов</t>
  </si>
  <si>
    <t>06 0 А3 54530</t>
  </si>
  <si>
    <t>А3</t>
  </si>
  <si>
    <t>54530</t>
  </si>
  <si>
    <t>Региональный проект «Цифровая культура»</t>
  </si>
  <si>
    <t>09 0 00 70510</t>
  </si>
  <si>
    <t>70510</t>
  </si>
  <si>
    <t>Организация профессионального обучения и дополнительного профессионального образования лиц предпенсионного возраста</t>
  </si>
  <si>
    <t>08 1 P3 52940</t>
  </si>
  <si>
    <t>52940</t>
  </si>
  <si>
    <t>05 2 00 11214</t>
  </si>
  <si>
    <t>Социальная поддержка детей-сирот, детей, оставшихся без попечения родителей</t>
  </si>
  <si>
    <t>11214</t>
  </si>
  <si>
    <t>Заместитель начальника финансового управления города Анжеро-Судженска-</t>
  </si>
  <si>
    <t>Т.С. Орлова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</si>
</sst>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00"/>
    <numFmt numFmtId="166" formatCode="#,##0.0"/>
    <numFmt numFmtId="167" formatCode="0.000"/>
    <numFmt numFmtId="168" formatCode="0.000000"/>
    <numFmt numFmtId="169" formatCode="0.0000"/>
  </numFmts>
  <fonts count="4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6"/>
      <name val="Arial CYR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11"/>
      <name val="Arial Cyr"/>
      <charset val="204"/>
    </font>
    <font>
      <b/>
      <u/>
      <sz val="10"/>
      <name val="Arial"/>
      <family val="2"/>
      <charset val="204"/>
    </font>
    <font>
      <sz val="9"/>
      <name val="Arial Cyr"/>
      <family val="2"/>
      <charset val="204"/>
    </font>
    <font>
      <sz val="10"/>
      <color rgb="FFFF0000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i/>
      <u/>
      <sz val="10"/>
      <name val="Arial Cyr"/>
      <charset val="204"/>
    </font>
    <font>
      <i/>
      <u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FF0000"/>
      <name val="Arial Cyr"/>
      <charset val="204"/>
    </font>
    <font>
      <sz val="12"/>
      <name val="Arial Cyr"/>
      <charset val="204"/>
    </font>
    <font>
      <i/>
      <u/>
      <sz val="10"/>
      <name val="Arial Cyr"/>
      <family val="2"/>
      <charset val="204"/>
    </font>
    <font>
      <i/>
      <u/>
      <sz val="10"/>
      <color theme="1"/>
      <name val="Arial"/>
      <family val="2"/>
      <charset val="204"/>
    </font>
    <font>
      <b/>
      <sz val="10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4"/>
      <name val="Arial Cyr"/>
      <family val="2"/>
      <charset val="204"/>
    </font>
    <font>
      <sz val="9"/>
      <name val="Arial Cyr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wrapText="1"/>
    </xf>
    <xf numFmtId="0" fontId="9" fillId="0" borderId="0" xfId="0" applyFont="1" applyFill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5" fillId="0" borderId="0" xfId="0" applyFont="1" applyFill="1" applyAlignment="1">
      <alignment horizontal="center" wrapText="1"/>
    </xf>
    <xf numFmtId="0" fontId="14" fillId="0" borderId="1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right" wrapText="1"/>
    </xf>
    <xf numFmtId="0" fontId="14" fillId="0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wrapText="1"/>
    </xf>
    <xf numFmtId="49" fontId="17" fillId="2" borderId="1" xfId="0" applyNumberFormat="1" applyFont="1" applyFill="1" applyBorder="1" applyAlignment="1">
      <alignment horizontal="center" wrapText="1"/>
    </xf>
    <xf numFmtId="164" fontId="17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textRotation="90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0" fillId="0" borderId="1" xfId="0" applyFill="1" applyBorder="1" applyAlignment="1">
      <alignment horizontal="right" wrapText="1"/>
    </xf>
    <xf numFmtId="0" fontId="7" fillId="0" borderId="1" xfId="0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textRotation="90" wrapText="1"/>
    </xf>
    <xf numFmtId="0" fontId="11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>
      <alignment horizontal="right" wrapText="1"/>
    </xf>
    <xf numFmtId="0" fontId="11" fillId="0" borderId="1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6" fillId="0" borderId="1" xfId="0" applyFont="1" applyFill="1" applyBorder="1" applyAlignment="1">
      <alignment horizontal="right" wrapText="1"/>
    </xf>
    <xf numFmtId="0" fontId="11" fillId="0" borderId="1" xfId="0" applyNumberFormat="1" applyFont="1" applyFill="1" applyBorder="1" applyAlignment="1">
      <alignment vertical="top" wrapText="1"/>
    </xf>
    <xf numFmtId="0" fontId="19" fillId="0" borderId="7" xfId="0" applyFont="1" applyFill="1" applyBorder="1" applyAlignment="1">
      <alignment horizontal="center" wrapText="1"/>
    </xf>
    <xf numFmtId="1" fontId="19" fillId="0" borderId="3" xfId="0" applyNumberFormat="1" applyFont="1" applyFill="1" applyBorder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5" fillId="0" borderId="8" xfId="0" applyFont="1" applyFill="1" applyBorder="1" applyAlignment="1">
      <alignment wrapText="1"/>
    </xf>
    <xf numFmtId="0" fontId="0" fillId="0" borderId="8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164" fontId="1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textRotation="90" wrapText="1"/>
    </xf>
    <xf numFmtId="0" fontId="5" fillId="3" borderId="1" xfId="0" applyFont="1" applyFill="1" applyBorder="1" applyAlignment="1">
      <alignment horizontal="center" textRotation="90" wrapText="1"/>
    </xf>
    <xf numFmtId="164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right"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vertical="top" wrapText="1"/>
    </xf>
    <xf numFmtId="0" fontId="14" fillId="3" borderId="1" xfId="0" applyNumberFormat="1" applyFont="1" applyFill="1" applyBorder="1" applyAlignment="1">
      <alignment horizontal="right" wrapText="1"/>
    </xf>
    <xf numFmtId="49" fontId="15" fillId="3" borderId="1" xfId="0" applyNumberFormat="1" applyFont="1" applyFill="1" applyBorder="1" applyAlignment="1">
      <alignment horizontal="center" wrapText="1"/>
    </xf>
    <xf numFmtId="49" fontId="14" fillId="3" borderId="1" xfId="0" applyNumberFormat="1" applyFont="1" applyFill="1" applyBorder="1" applyAlignment="1">
      <alignment horizontal="center"/>
    </xf>
    <xf numFmtId="0" fontId="15" fillId="3" borderId="0" xfId="0" applyFont="1" applyFill="1" applyAlignment="1">
      <alignment wrapText="1"/>
    </xf>
    <xf numFmtId="0" fontId="14" fillId="3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right" wrapText="1"/>
    </xf>
    <xf numFmtId="0" fontId="15" fillId="3" borderId="1" xfId="0" applyFont="1" applyFill="1" applyBorder="1" applyAlignment="1">
      <alignment wrapText="1"/>
    </xf>
    <xf numFmtId="0" fontId="6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2" fillId="3" borderId="0" xfId="0" applyFont="1" applyFill="1" applyAlignment="1">
      <alignment wrapText="1"/>
    </xf>
    <xf numFmtId="0" fontId="16" fillId="3" borderId="0" xfId="0" applyFont="1" applyFill="1" applyAlignment="1">
      <alignment wrapText="1"/>
    </xf>
    <xf numFmtId="0" fontId="7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18" fillId="3" borderId="1" xfId="0" applyNumberFormat="1" applyFont="1" applyFill="1" applyBorder="1" applyAlignment="1">
      <alignment horizontal="right" wrapText="1"/>
    </xf>
    <xf numFmtId="49" fontId="18" fillId="3" borderId="1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  <xf numFmtId="0" fontId="15" fillId="3" borderId="8" xfId="0" applyFont="1" applyFill="1" applyBorder="1" applyAlignment="1">
      <alignment wrapText="1"/>
    </xf>
    <xf numFmtId="0" fontId="15" fillId="3" borderId="0" xfId="0" applyFont="1" applyFill="1" applyAlignment="1">
      <alignment horizontal="center" wrapText="1"/>
    </xf>
    <xf numFmtId="49" fontId="0" fillId="3" borderId="1" xfId="0" applyNumberFormat="1" applyFont="1" applyFill="1" applyBorder="1" applyAlignment="1">
      <alignment wrapText="1"/>
    </xf>
    <xf numFmtId="49" fontId="0" fillId="3" borderId="1" xfId="0" applyNumberFormat="1" applyFont="1" applyFill="1" applyBorder="1" applyAlignment="1">
      <alignment horizontal="right" wrapText="1"/>
    </xf>
    <xf numFmtId="0" fontId="0" fillId="3" borderId="0" xfId="0" applyFont="1" applyFill="1" applyAlignment="1">
      <alignment horizontal="center" wrapText="1"/>
    </xf>
    <xf numFmtId="0" fontId="12" fillId="3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49" fontId="0" fillId="3" borderId="1" xfId="0" applyNumberFormat="1" applyFill="1" applyBorder="1" applyAlignment="1">
      <alignment horizontal="center" wrapText="1"/>
    </xf>
    <xf numFmtId="164" fontId="0" fillId="3" borderId="0" xfId="0" applyNumberFormat="1" applyFont="1" applyFill="1" applyAlignment="1">
      <alignment horizontal="center" wrapText="1"/>
    </xf>
    <xf numFmtId="165" fontId="0" fillId="3" borderId="0" xfId="0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horizontal="center" wrapText="1"/>
    </xf>
    <xf numFmtId="164" fontId="0" fillId="3" borderId="0" xfId="0" applyNumberFormat="1" applyFill="1" applyAlignment="1">
      <alignment horizontal="right"/>
    </xf>
    <xf numFmtId="0" fontId="0" fillId="4" borderId="0" xfId="0" applyFont="1" applyFill="1" applyAlignment="1">
      <alignment wrapText="1"/>
    </xf>
    <xf numFmtId="0" fontId="15" fillId="4" borderId="0" xfId="0" applyFont="1" applyFill="1" applyAlignment="1">
      <alignment wrapText="1"/>
    </xf>
    <xf numFmtId="0" fontId="6" fillId="4" borderId="0" xfId="0" applyFont="1" applyFill="1" applyAlignment="1">
      <alignment wrapText="1"/>
    </xf>
    <xf numFmtId="0" fontId="10" fillId="3" borderId="0" xfId="0" applyFont="1" applyFill="1" applyAlignment="1">
      <alignment horizontal="right" wrapText="1"/>
    </xf>
    <xf numFmtId="0" fontId="6" fillId="0" borderId="1" xfId="0" applyFont="1" applyFill="1" applyBorder="1" applyAlignment="1">
      <alignment horizontal="right" wrapText="1"/>
    </xf>
    <xf numFmtId="49" fontId="6" fillId="0" borderId="1" xfId="0" applyNumberFormat="1" applyFont="1" applyFill="1" applyBorder="1" applyAlignment="1">
      <alignment horizontal="center" wrapText="1"/>
    </xf>
    <xf numFmtId="164" fontId="20" fillId="3" borderId="0" xfId="0" applyNumberFormat="1" applyFont="1" applyFill="1" applyAlignment="1">
      <alignment horizontal="center" wrapText="1"/>
    </xf>
    <xf numFmtId="166" fontId="21" fillId="5" borderId="1" xfId="0" applyNumberFormat="1" applyFont="1" applyFill="1" applyBorder="1" applyAlignment="1">
      <alignment wrapText="1"/>
    </xf>
    <xf numFmtId="166" fontId="0" fillId="3" borderId="0" xfId="0" applyNumberFormat="1" applyFont="1" applyFill="1" applyAlignment="1">
      <alignment wrapText="1"/>
    </xf>
    <xf numFmtId="0" fontId="5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2" fillId="4" borderId="0" xfId="0" applyFont="1" applyFill="1" applyAlignment="1">
      <alignment wrapText="1"/>
    </xf>
    <xf numFmtId="0" fontId="16" fillId="4" borderId="0" xfId="0" applyFont="1" applyFill="1" applyAlignment="1">
      <alignment wrapText="1"/>
    </xf>
    <xf numFmtId="0" fontId="10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16" fillId="0" borderId="0" xfId="0" applyFont="1" applyFill="1" applyAlignment="1">
      <alignment wrapText="1"/>
    </xf>
    <xf numFmtId="164" fontId="0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4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right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167" fontId="0" fillId="0" borderId="0" xfId="0" applyNumberFormat="1" applyFont="1" applyFill="1" applyAlignment="1">
      <alignment horizontal="center" wrapText="1"/>
    </xf>
    <xf numFmtId="164" fontId="22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wrapText="1"/>
    </xf>
    <xf numFmtId="49" fontId="23" fillId="2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wrapText="1"/>
    </xf>
    <xf numFmtId="164" fontId="24" fillId="0" borderId="1" xfId="0" applyNumberFormat="1" applyFont="1" applyFill="1" applyBorder="1" applyAlignment="1">
      <alignment horizontal="center" wrapText="1"/>
    </xf>
    <xf numFmtId="49" fontId="24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164" fontId="24" fillId="3" borderId="1" xfId="0" applyNumberFormat="1" applyFont="1" applyFill="1" applyBorder="1" applyAlignment="1">
      <alignment horizontal="center" wrapText="1"/>
    </xf>
    <xf numFmtId="49" fontId="24" fillId="3" borderId="1" xfId="0" applyNumberFormat="1" applyFont="1" applyFill="1" applyBorder="1" applyAlignment="1">
      <alignment horizontal="center" wrapText="1"/>
    </xf>
    <xf numFmtId="49" fontId="6" fillId="3" borderId="1" xfId="0" applyNumberFormat="1" applyFont="1" applyFill="1" applyBorder="1" applyAlignment="1">
      <alignment horizontal="center" wrapText="1"/>
    </xf>
    <xf numFmtId="0" fontId="24" fillId="3" borderId="1" xfId="0" applyFont="1" applyFill="1" applyBorder="1" applyAlignment="1">
      <alignment wrapText="1"/>
    </xf>
    <xf numFmtId="0" fontId="25" fillId="0" borderId="1" xfId="0" applyNumberFormat="1" applyFont="1" applyFill="1" applyBorder="1" applyAlignment="1">
      <alignment vertical="top" wrapText="1"/>
    </xf>
    <xf numFmtId="0" fontId="26" fillId="2" borderId="1" xfId="0" applyNumberFormat="1" applyFont="1" applyFill="1" applyBorder="1" applyAlignment="1">
      <alignment vertical="top" wrapText="1"/>
    </xf>
    <xf numFmtId="0" fontId="23" fillId="0" borderId="0" xfId="0" applyFont="1" applyFill="1" applyAlignment="1">
      <alignment wrapText="1"/>
    </xf>
    <xf numFmtId="49" fontId="25" fillId="3" borderId="1" xfId="0" applyNumberFormat="1" applyFont="1" applyFill="1" applyBorder="1" applyAlignment="1">
      <alignment horizontal="center"/>
    </xf>
    <xf numFmtId="0" fontId="25" fillId="3" borderId="1" xfId="0" applyNumberFormat="1" applyFont="1" applyFill="1" applyBorder="1" applyAlignment="1">
      <alignment vertical="top" wrapText="1"/>
    </xf>
    <xf numFmtId="49" fontId="26" fillId="2" borderId="1" xfId="0" applyNumberFormat="1" applyFont="1" applyFill="1" applyBorder="1" applyAlignment="1">
      <alignment horizontal="center"/>
    </xf>
    <xf numFmtId="0" fontId="26" fillId="2" borderId="1" xfId="0" applyNumberFormat="1" applyFont="1" applyFill="1" applyBorder="1" applyAlignment="1">
      <alignment wrapText="1"/>
    </xf>
    <xf numFmtId="0" fontId="15" fillId="3" borderId="1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7" fillId="3" borderId="0" xfId="0" applyFont="1" applyFill="1" applyAlignment="1">
      <alignment wrapText="1"/>
    </xf>
    <xf numFmtId="0" fontId="20" fillId="3" borderId="0" xfId="0" applyFont="1" applyFill="1" applyAlignment="1">
      <alignment wrapText="1"/>
    </xf>
    <xf numFmtId="0" fontId="24" fillId="3" borderId="1" xfId="0" applyFont="1" applyFill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/>
    </xf>
    <xf numFmtId="0" fontId="28" fillId="0" borderId="0" xfId="0" applyFont="1" applyFill="1" applyAlignment="1">
      <alignment wrapText="1"/>
    </xf>
    <xf numFmtId="0" fontId="28" fillId="3" borderId="0" xfId="0" applyFont="1" applyFill="1" applyAlignment="1">
      <alignment wrapText="1"/>
    </xf>
    <xf numFmtId="164" fontId="29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9" fontId="30" fillId="3" borderId="1" xfId="0" quotePrefix="1" applyNumberFormat="1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left" wrapText="1"/>
    </xf>
    <xf numFmtId="164" fontId="31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32" fillId="2" borderId="1" xfId="0" quotePrefix="1" applyNumberFormat="1" applyFont="1" applyFill="1" applyBorder="1" applyAlignment="1">
      <alignment horizontal="center" vertical="top" wrapText="1"/>
    </xf>
    <xf numFmtId="0" fontId="33" fillId="0" borderId="0" xfId="0" applyFont="1" applyFill="1" applyAlignment="1">
      <alignment wrapText="1"/>
    </xf>
    <xf numFmtId="1" fontId="33" fillId="0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distributed" wrapText="1"/>
    </xf>
    <xf numFmtId="49" fontId="35" fillId="0" borderId="1" xfId="0" quotePrefix="1" applyNumberFormat="1" applyFont="1" applyFill="1" applyBorder="1" applyAlignment="1">
      <alignment horizontal="distributed" wrapText="1"/>
    </xf>
    <xf numFmtId="49" fontId="33" fillId="0" borderId="1" xfId="0" applyNumberFormat="1" applyFont="1" applyFill="1" applyBorder="1" applyAlignment="1">
      <alignment horizontal="distributed" wrapText="1"/>
    </xf>
    <xf numFmtId="0" fontId="36" fillId="0" borderId="1" xfId="0" applyFont="1" applyFill="1" applyBorder="1" applyAlignment="1">
      <alignment horizontal="center" wrapText="1"/>
    </xf>
    <xf numFmtId="0" fontId="38" fillId="3" borderId="0" xfId="0" applyFont="1" applyFill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38" fillId="0" borderId="0" xfId="0" applyFont="1" applyFill="1" applyAlignment="1">
      <alignment vertical="top" wrapText="1"/>
    </xf>
    <xf numFmtId="0" fontId="38" fillId="0" borderId="0" xfId="0" applyFont="1" applyFill="1" applyAlignment="1">
      <alignment horizontal="right" vertical="top" wrapText="1"/>
    </xf>
    <xf numFmtId="0" fontId="19" fillId="0" borderId="1" xfId="0" applyFont="1" applyFill="1" applyBorder="1" applyAlignment="1">
      <alignment horizontal="center" wrapText="1"/>
    </xf>
    <xf numFmtId="49" fontId="37" fillId="0" borderId="1" xfId="0" quotePrefix="1" applyNumberFormat="1" applyFont="1" applyFill="1" applyBorder="1" applyAlignment="1">
      <alignment horizontal="distributed" wrapText="1"/>
    </xf>
    <xf numFmtId="49" fontId="0" fillId="0" borderId="1" xfId="0" applyNumberFormat="1" applyFont="1" applyFill="1" applyBorder="1" applyAlignment="1">
      <alignment horizontal="distributed" wrapText="1"/>
    </xf>
    <xf numFmtId="0" fontId="11" fillId="0" borderId="1" xfId="0" applyFont="1" applyFill="1" applyBorder="1" applyAlignment="1">
      <alignment horizontal="distributed" wrapText="1"/>
    </xf>
    <xf numFmtId="1" fontId="21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Alignment="1">
      <alignment wrapText="1"/>
    </xf>
    <xf numFmtId="164" fontId="0" fillId="0" borderId="0" xfId="0" applyNumberFormat="1" applyFont="1" applyFill="1" applyAlignment="1">
      <alignment wrapText="1"/>
    </xf>
    <xf numFmtId="0" fontId="0" fillId="0" borderId="0" xfId="0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16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4" fontId="0" fillId="0" borderId="0" xfId="0" applyNumberFormat="1" applyFill="1" applyAlignment="1">
      <alignment vertical="center" wrapText="1"/>
    </xf>
    <xf numFmtId="49" fontId="0" fillId="0" borderId="0" xfId="0" applyNumberFormat="1" applyFont="1" applyFill="1" applyAlignment="1">
      <alignment horizontal="center" wrapText="1"/>
    </xf>
    <xf numFmtId="0" fontId="41" fillId="0" borderId="1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 wrapText="1"/>
    </xf>
    <xf numFmtId="1" fontId="41" fillId="0" borderId="1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wrapText="1"/>
    </xf>
    <xf numFmtId="164" fontId="23" fillId="2" borderId="1" xfId="0" applyNumberFormat="1" applyFont="1" applyFill="1" applyBorder="1" applyAlignment="1">
      <alignment horizontal="center" wrapText="1"/>
    </xf>
    <xf numFmtId="0" fontId="23" fillId="4" borderId="0" xfId="0" applyFont="1" applyFill="1" applyAlignment="1">
      <alignment wrapText="1"/>
    </xf>
    <xf numFmtId="0" fontId="28" fillId="4" borderId="0" xfId="0" applyFont="1" applyFill="1" applyAlignment="1">
      <alignment wrapText="1"/>
    </xf>
    <xf numFmtId="49" fontId="4" fillId="3" borderId="9" xfId="0" applyNumberFormat="1" applyFont="1" applyFill="1" applyBorder="1" applyAlignment="1">
      <alignment horizontal="center" wrapText="1"/>
    </xf>
    <xf numFmtId="49" fontId="0" fillId="0" borderId="9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right" vertical="center" inden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168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39" fillId="0" borderId="0" xfId="0" applyFont="1" applyFill="1" applyAlignment="1">
      <alignment horizontal="right" vertical="top" wrapText="1"/>
    </xf>
    <xf numFmtId="0" fontId="19" fillId="0" borderId="5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vertical="center" textRotation="90" wrapText="1"/>
    </xf>
    <xf numFmtId="1" fontId="40" fillId="0" borderId="2" xfId="0" applyNumberFormat="1" applyFont="1" applyFill="1" applyBorder="1" applyAlignment="1">
      <alignment horizontal="center" vertical="center" wrapText="1"/>
    </xf>
    <xf numFmtId="169" fontId="0" fillId="0" borderId="0" xfId="0" applyNumberFormat="1" applyFont="1" applyFill="1" applyAlignment="1">
      <alignment horizontal="center" wrapText="1"/>
    </xf>
    <xf numFmtId="0" fontId="15" fillId="4" borderId="1" xfId="0" applyFont="1" applyFill="1" applyBorder="1" applyAlignment="1">
      <alignment wrapText="1"/>
    </xf>
    <xf numFmtId="49" fontId="15" fillId="4" borderId="1" xfId="0" applyNumberFormat="1" applyFont="1" applyFill="1" applyBorder="1" applyAlignment="1">
      <alignment horizontal="center" wrapText="1"/>
    </xf>
    <xf numFmtId="164" fontId="15" fillId="4" borderId="1" xfId="0" applyNumberFormat="1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right" wrapText="1"/>
    </xf>
    <xf numFmtId="49" fontId="0" fillId="4" borderId="1" xfId="0" applyNumberFormat="1" applyFont="1" applyFill="1" applyBorder="1" applyAlignment="1">
      <alignment horizontal="center" wrapText="1"/>
    </xf>
    <xf numFmtId="164" fontId="0" fillId="4" borderId="1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0" fontId="15" fillId="4" borderId="8" xfId="0" applyFont="1" applyFill="1" applyBorder="1" applyAlignment="1">
      <alignment wrapText="1"/>
    </xf>
    <xf numFmtId="164" fontId="4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49" fontId="0" fillId="0" borderId="1" xfId="0" applyNumberFormat="1" applyFont="1" applyFill="1" applyBorder="1" applyAlignment="1">
      <alignment horizontal="right" wrapText="1"/>
    </xf>
    <xf numFmtId="165" fontId="17" fillId="2" borderId="1" xfId="0" applyNumberFormat="1" applyFont="1" applyFill="1" applyBorder="1" applyAlignment="1">
      <alignment horizontal="center" wrapText="1"/>
    </xf>
    <xf numFmtId="0" fontId="14" fillId="4" borderId="1" xfId="0" applyNumberFormat="1" applyFont="1" applyFill="1" applyBorder="1" applyAlignment="1">
      <alignment horizontal="right" wrapText="1"/>
    </xf>
    <xf numFmtId="49" fontId="11" fillId="0" borderId="1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 wrapText="1"/>
    </xf>
    <xf numFmtId="165" fontId="4" fillId="0" borderId="1" xfId="0" applyNumberFormat="1" applyFont="1" applyFill="1" applyBorder="1" applyAlignment="1">
      <alignment horizontal="center" wrapText="1"/>
    </xf>
    <xf numFmtId="169" fontId="4" fillId="0" borderId="1" xfId="0" applyNumberFormat="1" applyFont="1" applyFill="1" applyBorder="1" applyAlignment="1">
      <alignment horizontal="center" wrapText="1"/>
    </xf>
    <xf numFmtId="0" fontId="20" fillId="0" borderId="0" xfId="0" applyFont="1" applyFill="1" applyAlignment="1">
      <alignment horizontal="center" wrapText="1"/>
    </xf>
    <xf numFmtId="164" fontId="15" fillId="3" borderId="0" xfId="0" applyNumberFormat="1" applyFont="1" applyFill="1" applyBorder="1" applyAlignment="1">
      <alignment horizontal="center" wrapText="1"/>
    </xf>
    <xf numFmtId="49" fontId="14" fillId="4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0" fontId="14" fillId="4" borderId="1" xfId="0" applyNumberFormat="1" applyFont="1" applyFill="1" applyBorder="1" applyAlignment="1">
      <alignment vertical="top" wrapText="1"/>
    </xf>
    <xf numFmtId="0" fontId="0" fillId="4" borderId="1" xfId="0" applyFill="1" applyBorder="1" applyAlignment="1">
      <alignment wrapText="1"/>
    </xf>
    <xf numFmtId="0" fontId="14" fillId="4" borderId="1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right" wrapText="1"/>
    </xf>
    <xf numFmtId="0" fontId="7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49" fontId="4" fillId="4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0" fontId="11" fillId="4" borderId="1" xfId="0" applyFont="1" applyFill="1" applyBorder="1" applyAlignment="1">
      <alignment wrapText="1"/>
    </xf>
    <xf numFmtId="0" fontId="15" fillId="4" borderId="0" xfId="0" applyFont="1" applyFill="1" applyAlignment="1">
      <alignment horizontal="center" wrapText="1"/>
    </xf>
    <xf numFmtId="0" fontId="0" fillId="4" borderId="8" xfId="0" applyFont="1" applyFill="1" applyBorder="1" applyAlignment="1">
      <alignment wrapText="1"/>
    </xf>
    <xf numFmtId="165" fontId="17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right" wrapText="1"/>
    </xf>
    <xf numFmtId="169" fontId="13" fillId="2" borderId="1" xfId="0" applyNumberFormat="1" applyFont="1" applyFill="1" applyBorder="1" applyAlignment="1">
      <alignment horizontal="right" vertical="center" indent="1"/>
    </xf>
    <xf numFmtId="0" fontId="13" fillId="3" borderId="0" xfId="0" applyFont="1" applyFill="1" applyAlignment="1">
      <alignment horizontal="right" wrapText="1"/>
    </xf>
    <xf numFmtId="0" fontId="0" fillId="0" borderId="0" xfId="0" applyFont="1" applyFill="1" applyAlignment="1">
      <alignment horizontal="center" wrapText="1"/>
    </xf>
    <xf numFmtId="1" fontId="3" fillId="3" borderId="2" xfId="0" applyNumberFormat="1" applyFont="1" applyFill="1" applyBorder="1" applyAlignment="1">
      <alignment horizontal="center" wrapText="1"/>
    </xf>
    <xf numFmtId="1" fontId="3" fillId="3" borderId="3" xfId="0" applyNumberFormat="1" applyFont="1" applyFill="1" applyBorder="1" applyAlignment="1">
      <alignment horizontal="center" wrapText="1"/>
    </xf>
    <xf numFmtId="0" fontId="13" fillId="3" borderId="0" xfId="0" applyNumberFormat="1" applyFont="1" applyFill="1" applyAlignment="1">
      <alignment horizontal="center" wrapText="1"/>
    </xf>
    <xf numFmtId="49" fontId="10" fillId="3" borderId="4" xfId="0" applyNumberFormat="1" applyFont="1" applyFill="1" applyBorder="1" applyAlignment="1">
      <alignment horizontal="right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textRotation="90" wrapText="1"/>
    </xf>
    <xf numFmtId="0" fontId="8" fillId="3" borderId="3" xfId="0" applyFont="1" applyFill="1" applyBorder="1" applyAlignment="1">
      <alignment horizontal="center" textRotation="90" wrapText="1"/>
    </xf>
    <xf numFmtId="0" fontId="8" fillId="0" borderId="2" xfId="0" applyFont="1" applyFill="1" applyBorder="1" applyAlignment="1">
      <alignment horizontal="center" textRotation="90" wrapText="1"/>
    </xf>
    <xf numFmtId="0" fontId="8" fillId="0" borderId="3" xfId="0" applyFont="1" applyFill="1" applyBorder="1" applyAlignment="1">
      <alignment horizontal="center" textRotation="90" wrapText="1"/>
    </xf>
    <xf numFmtId="0" fontId="42" fillId="0" borderId="0" xfId="0" applyFont="1" applyFill="1" applyAlignment="1">
      <alignment horizontal="right" wrapText="1"/>
    </xf>
    <xf numFmtId="0" fontId="13" fillId="0" borderId="0" xfId="0" applyNumberFormat="1" applyFont="1" applyFill="1" applyAlignment="1">
      <alignment horizontal="center" wrapText="1"/>
    </xf>
    <xf numFmtId="49" fontId="10" fillId="0" borderId="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3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  <xf numFmtId="0" fontId="12" fillId="0" borderId="0" xfId="0" applyNumberFormat="1" applyFont="1" applyFill="1" applyAlignment="1">
      <alignment horizontal="center" vertical="top" wrapText="1"/>
    </xf>
    <xf numFmtId="0" fontId="38" fillId="0" borderId="0" xfId="0" applyNumberFormat="1" applyFont="1" applyFill="1" applyBorder="1" applyAlignment="1">
      <alignment horizontal="right" vertical="top" wrapText="1"/>
    </xf>
    <xf numFmtId="0" fontId="38" fillId="0" borderId="4" xfId="0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/&#1056;&#1045;&#1064;&#1045;&#1053;&#1048;&#1071;%20&#1043;&#1054;&#1056;&#1057;&#1054;&#1042;&#1045;&#1058;&#1040;%20&#1053;&#1040;&#1056;&#1054;&#1044;&#1053;&#1067;&#1061;%20&#1044;&#1045;&#1055;&#1059;&#1058;&#1040;&#1058;&#1054;&#1042;/&#1048;&#1079;&#1084;&#1077;&#1085;&#1077;&#1085;&#1080;&#1103;%202018/&#1048;&#1079;&#1084;&#1077;&#1085;&#1077;&#1085;&#1080;&#1103;%20&#1089;&#1077;&#1085;&#1090;&#1103;&#1073;&#1088;&#1100;%202018/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9"/>
  <sheetViews>
    <sheetView topLeftCell="A414" zoomScaleNormal="100" workbookViewId="0">
      <selection activeCell="A425" sqref="A425:F427"/>
    </sheetView>
  </sheetViews>
  <sheetFormatPr defaultColWidth="9.140625" defaultRowHeight="12.75" x14ac:dyDescent="0.2"/>
  <cols>
    <col min="1" max="1" width="53.5703125" style="79" customWidth="1"/>
    <col min="2" max="2" width="6.28515625" style="79" customWidth="1"/>
    <col min="3" max="3" width="4.85546875" style="108" customWidth="1"/>
    <col min="4" max="4" width="6.140625" style="108" customWidth="1"/>
    <col min="5" max="5" width="15.42578125" style="108" customWidth="1"/>
    <col min="6" max="6" width="5.85546875" style="108" customWidth="1"/>
    <col min="7" max="7" width="16.7109375" style="108" customWidth="1"/>
    <col min="8" max="9" width="14.28515625" style="108" customWidth="1"/>
    <col min="10" max="10" width="0.28515625" style="79" hidden="1" customWidth="1"/>
    <col min="11" max="17" width="9.140625" style="79" hidden="1" customWidth="1"/>
    <col min="18" max="16384" width="9.140625" style="79"/>
  </cols>
  <sheetData>
    <row r="1" spans="1:9" ht="15.75" x14ac:dyDescent="0.25">
      <c r="A1" s="269" t="s">
        <v>84</v>
      </c>
      <c r="B1" s="269"/>
      <c r="C1" s="269"/>
      <c r="D1" s="269"/>
      <c r="E1" s="269"/>
      <c r="F1" s="269"/>
      <c r="G1" s="269"/>
      <c r="H1" s="269"/>
      <c r="I1" s="269"/>
    </row>
    <row r="2" spans="1:9" ht="15.75" x14ac:dyDescent="0.25">
      <c r="A2" s="269" t="s">
        <v>78</v>
      </c>
      <c r="B2" s="269"/>
      <c r="C2" s="269"/>
      <c r="D2" s="269"/>
      <c r="E2" s="269"/>
      <c r="F2" s="269"/>
      <c r="G2" s="269"/>
      <c r="H2" s="269"/>
      <c r="I2" s="269"/>
    </row>
    <row r="3" spans="1:9" ht="15.75" x14ac:dyDescent="0.25">
      <c r="A3" s="269" t="s">
        <v>388</v>
      </c>
      <c r="B3" s="269"/>
      <c r="C3" s="269"/>
      <c r="D3" s="269"/>
      <c r="E3" s="269"/>
      <c r="F3" s="269"/>
      <c r="G3" s="269"/>
      <c r="H3" s="269"/>
      <c r="I3" s="269"/>
    </row>
    <row r="5" spans="1:9" s="109" customFormat="1" ht="36.75" customHeight="1" x14ac:dyDescent="0.3">
      <c r="A5" s="273" t="s">
        <v>676</v>
      </c>
      <c r="B5" s="273"/>
      <c r="C5" s="273"/>
      <c r="D5" s="273"/>
      <c r="E5" s="273"/>
      <c r="F5" s="273"/>
      <c r="G5" s="273"/>
      <c r="H5" s="273"/>
      <c r="I5" s="273"/>
    </row>
    <row r="6" spans="1:9" s="110" customFormat="1" ht="13.5" thickBot="1" x14ac:dyDescent="0.25">
      <c r="A6" s="274"/>
      <c r="B6" s="274"/>
      <c r="C6" s="274"/>
      <c r="D6" s="274"/>
      <c r="E6" s="274"/>
      <c r="F6" s="274"/>
      <c r="G6" s="274"/>
      <c r="I6" s="120" t="s">
        <v>62</v>
      </c>
    </row>
    <row r="7" spans="1:9" ht="13.5" customHeight="1" x14ac:dyDescent="0.2">
      <c r="A7" s="275"/>
      <c r="B7" s="277" t="s">
        <v>59</v>
      </c>
      <c r="C7" s="277" t="s">
        <v>8</v>
      </c>
      <c r="D7" s="277" t="s">
        <v>9</v>
      </c>
      <c r="E7" s="277" t="s">
        <v>10</v>
      </c>
      <c r="F7" s="277" t="s">
        <v>11</v>
      </c>
      <c r="G7" s="271" t="s">
        <v>140</v>
      </c>
      <c r="H7" s="271" t="s">
        <v>362</v>
      </c>
      <c r="I7" s="271" t="s">
        <v>412</v>
      </c>
    </row>
    <row r="8" spans="1:9" x14ac:dyDescent="0.2">
      <c r="A8" s="276"/>
      <c r="B8" s="278"/>
      <c r="C8" s="278"/>
      <c r="D8" s="278"/>
      <c r="E8" s="278"/>
      <c r="F8" s="278"/>
      <c r="G8" s="272"/>
      <c r="H8" s="272"/>
      <c r="I8" s="272"/>
    </row>
    <row r="9" spans="1:9" s="57" customFormat="1" ht="12" x14ac:dyDescent="0.2">
      <c r="A9" s="55">
        <v>1</v>
      </c>
      <c r="B9" s="58">
        <v>2</v>
      </c>
      <c r="C9" s="58">
        <v>3</v>
      </c>
      <c r="D9" s="58">
        <v>4</v>
      </c>
      <c r="E9" s="58">
        <v>5</v>
      </c>
      <c r="F9" s="58">
        <v>6</v>
      </c>
      <c r="G9" s="56">
        <v>7</v>
      </c>
      <c r="H9" s="56">
        <v>8</v>
      </c>
      <c r="I9" s="56">
        <v>9</v>
      </c>
    </row>
    <row r="10" spans="1:9" s="10" customFormat="1" ht="25.5" x14ac:dyDescent="0.2">
      <c r="A10" s="36" t="s">
        <v>45</v>
      </c>
      <c r="B10" s="37">
        <v>900</v>
      </c>
      <c r="C10" s="38"/>
      <c r="D10" s="38"/>
      <c r="E10" s="38"/>
      <c r="F10" s="48"/>
      <c r="G10" s="39">
        <f>G11+G67+G85+G104+G108+G132+G79+G136</f>
        <v>440643.5</v>
      </c>
      <c r="H10" s="39">
        <f>H11+H67+H85+H104+H108+H132+H79+H136</f>
        <v>520952.00000000006</v>
      </c>
      <c r="I10" s="39">
        <f>I11+I67+I85+I104+I108+I132+I79+I136</f>
        <v>433735.00000000006</v>
      </c>
    </row>
    <row r="11" spans="1:9" s="69" customFormat="1" x14ac:dyDescent="0.2">
      <c r="A11" s="63" t="s">
        <v>60</v>
      </c>
      <c r="B11" s="64">
        <v>900</v>
      </c>
      <c r="C11" s="65" t="s">
        <v>12</v>
      </c>
      <c r="D11" s="66"/>
      <c r="E11" s="66"/>
      <c r="F11" s="67"/>
      <c r="G11" s="68">
        <f>G12+G16+G39+G36+G33</f>
        <v>105788.3</v>
      </c>
      <c r="H11" s="68">
        <f t="shared" ref="H11:I11" si="0">H12+H16+H39+H36+H33</f>
        <v>100000.5</v>
      </c>
      <c r="I11" s="68">
        <f t="shared" si="0"/>
        <v>94242.5</v>
      </c>
    </row>
    <row r="12" spans="1:9" s="74" customFormat="1" ht="38.25" x14ac:dyDescent="0.2">
      <c r="A12" s="70" t="s">
        <v>13</v>
      </c>
      <c r="B12" s="71">
        <v>900</v>
      </c>
      <c r="C12" s="72" t="s">
        <v>12</v>
      </c>
      <c r="D12" s="72" t="s">
        <v>14</v>
      </c>
      <c r="E12" s="72"/>
      <c r="F12" s="72"/>
      <c r="G12" s="73">
        <f t="shared" ref="G12:I12" si="1">G13</f>
        <v>1724.1</v>
      </c>
      <c r="H12" s="73">
        <f t="shared" si="1"/>
        <v>1972.4</v>
      </c>
      <c r="I12" s="73">
        <f t="shared" si="1"/>
        <v>1972.4</v>
      </c>
    </row>
    <row r="13" spans="1:9" ht="25.5" x14ac:dyDescent="0.2">
      <c r="A13" s="75" t="s">
        <v>343</v>
      </c>
      <c r="B13" s="76">
        <v>900</v>
      </c>
      <c r="C13" s="77" t="s">
        <v>12</v>
      </c>
      <c r="D13" s="77" t="s">
        <v>14</v>
      </c>
      <c r="E13" s="77" t="s">
        <v>142</v>
      </c>
      <c r="F13" s="77"/>
      <c r="G13" s="78">
        <f>G15+G14</f>
        <v>1724.1</v>
      </c>
      <c r="H13" s="78">
        <f t="shared" ref="H13:I13" si="2">H15+H14</f>
        <v>1972.4</v>
      </c>
      <c r="I13" s="78">
        <f t="shared" si="2"/>
        <v>1972.4</v>
      </c>
    </row>
    <row r="14" spans="1:9" s="84" customFormat="1" ht="51.75" customHeight="1" x14ac:dyDescent="0.2">
      <c r="A14" s="80" t="s">
        <v>66</v>
      </c>
      <c r="B14" s="81">
        <v>900</v>
      </c>
      <c r="C14" s="82" t="s">
        <v>12</v>
      </c>
      <c r="D14" s="82" t="s">
        <v>14</v>
      </c>
      <c r="E14" s="82" t="s">
        <v>142</v>
      </c>
      <c r="F14" s="83" t="s">
        <v>67</v>
      </c>
      <c r="G14" s="62">
        <f>1170.6+353.5+10+150+40</f>
        <v>1724.1</v>
      </c>
      <c r="H14" s="62">
        <f>1361.3+411.1+10+150+40</f>
        <v>1972.4</v>
      </c>
      <c r="I14" s="62">
        <f>1361.3+411.1+10+150+40</f>
        <v>1972.4</v>
      </c>
    </row>
    <row r="15" spans="1:9" s="26" customFormat="1" ht="25.5" x14ac:dyDescent="0.2">
      <c r="A15" s="23" t="s">
        <v>135</v>
      </c>
      <c r="B15" s="32">
        <v>900</v>
      </c>
      <c r="C15" s="24" t="s">
        <v>12</v>
      </c>
      <c r="D15" s="24" t="s">
        <v>14</v>
      </c>
      <c r="E15" s="24" t="s">
        <v>142</v>
      </c>
      <c r="F15" s="27" t="s">
        <v>68</v>
      </c>
      <c r="G15" s="25"/>
      <c r="H15" s="25"/>
      <c r="I15" s="25"/>
    </row>
    <row r="16" spans="1:9" s="74" customFormat="1" ht="51" x14ac:dyDescent="0.2">
      <c r="A16" s="70" t="s">
        <v>17</v>
      </c>
      <c r="B16" s="71">
        <v>900</v>
      </c>
      <c r="C16" s="72" t="s">
        <v>12</v>
      </c>
      <c r="D16" s="72" t="s">
        <v>18</v>
      </c>
      <c r="E16" s="72"/>
      <c r="F16" s="72"/>
      <c r="G16" s="73">
        <f>G17+G20+G23+G30+G28</f>
        <v>57525.3</v>
      </c>
      <c r="H16" s="73">
        <f t="shared" ref="H16:I16" si="3">H17+H20+H23+H30+H28</f>
        <v>56260.299999999996</v>
      </c>
      <c r="I16" s="73">
        <f t="shared" si="3"/>
        <v>55266.7</v>
      </c>
    </row>
    <row r="17" spans="1:17" s="21" customFormat="1" ht="25.5" x14ac:dyDescent="0.2">
      <c r="A17" s="18" t="s">
        <v>143</v>
      </c>
      <c r="B17" s="22">
        <v>900</v>
      </c>
      <c r="C17" s="19" t="s">
        <v>12</v>
      </c>
      <c r="D17" s="19" t="s">
        <v>18</v>
      </c>
      <c r="E17" s="19" t="s">
        <v>88</v>
      </c>
      <c r="F17" s="19"/>
      <c r="G17" s="20">
        <f>G18+G19</f>
        <v>468.29999999999995</v>
      </c>
      <c r="H17" s="20">
        <f>H18+H19</f>
        <v>468.29999999999995</v>
      </c>
      <c r="I17" s="20">
        <f>I18+I19</f>
        <v>468.29999999999995</v>
      </c>
    </row>
    <row r="18" spans="1:17" s="26" customFormat="1" ht="52.5" customHeight="1" x14ac:dyDescent="0.2">
      <c r="A18" s="23" t="s">
        <v>66</v>
      </c>
      <c r="B18" s="31">
        <v>900</v>
      </c>
      <c r="C18" s="24" t="s">
        <v>12</v>
      </c>
      <c r="D18" s="24" t="s">
        <v>18</v>
      </c>
      <c r="E18" s="24" t="s">
        <v>88</v>
      </c>
      <c r="F18" s="27" t="s">
        <v>67</v>
      </c>
      <c r="G18" s="25">
        <f>281.8+85.1+73.4</f>
        <v>440.29999999999995</v>
      </c>
      <c r="H18" s="25">
        <f>281.8+85.1+73.4</f>
        <v>440.29999999999995</v>
      </c>
      <c r="I18" s="25">
        <f>281.8+85.1+73.4</f>
        <v>440.29999999999995</v>
      </c>
    </row>
    <row r="19" spans="1:17" s="26" customFormat="1" ht="25.5" x14ac:dyDescent="0.2">
      <c r="A19" s="23" t="s">
        <v>135</v>
      </c>
      <c r="B19" s="31">
        <v>900</v>
      </c>
      <c r="C19" s="24" t="s">
        <v>12</v>
      </c>
      <c r="D19" s="24" t="s">
        <v>18</v>
      </c>
      <c r="E19" s="24" t="s">
        <v>88</v>
      </c>
      <c r="F19" s="27" t="s">
        <v>68</v>
      </c>
      <c r="G19" s="25">
        <v>28</v>
      </c>
      <c r="H19" s="25">
        <v>28</v>
      </c>
      <c r="I19" s="25">
        <v>28</v>
      </c>
    </row>
    <row r="20" spans="1:17" ht="15" customHeight="1" x14ac:dyDescent="0.2">
      <c r="A20" s="75" t="s">
        <v>144</v>
      </c>
      <c r="B20" s="76">
        <v>900</v>
      </c>
      <c r="C20" s="77" t="s">
        <v>12</v>
      </c>
      <c r="D20" s="77" t="s">
        <v>18</v>
      </c>
      <c r="E20" s="77" t="s">
        <v>87</v>
      </c>
      <c r="F20" s="77"/>
      <c r="G20" s="78">
        <f>G21+G22</f>
        <v>115</v>
      </c>
      <c r="H20" s="78">
        <f>H21+H22</f>
        <v>115</v>
      </c>
      <c r="I20" s="78">
        <f>I21+I22</f>
        <v>115</v>
      </c>
    </row>
    <row r="21" spans="1:17" s="84" customFormat="1" ht="51.75" customHeight="1" x14ac:dyDescent="0.2">
      <c r="A21" s="85" t="s">
        <v>66</v>
      </c>
      <c r="B21" s="86">
        <v>900</v>
      </c>
      <c r="C21" s="82" t="s">
        <v>12</v>
      </c>
      <c r="D21" s="82" t="s">
        <v>18</v>
      </c>
      <c r="E21" s="82" t="s">
        <v>87</v>
      </c>
      <c r="F21" s="83" t="s">
        <v>67</v>
      </c>
      <c r="G21" s="62">
        <f>86.8+26.2</f>
        <v>113</v>
      </c>
      <c r="H21" s="62">
        <f>86.8+26.2</f>
        <v>113</v>
      </c>
      <c r="I21" s="62">
        <f>86.8+26.2</f>
        <v>113</v>
      </c>
    </row>
    <row r="22" spans="1:17" s="84" customFormat="1" ht="25.5" x14ac:dyDescent="0.2">
      <c r="A22" s="85" t="s">
        <v>135</v>
      </c>
      <c r="B22" s="86">
        <v>900</v>
      </c>
      <c r="C22" s="82" t="s">
        <v>12</v>
      </c>
      <c r="D22" s="82" t="s">
        <v>18</v>
      </c>
      <c r="E22" s="82" t="s">
        <v>87</v>
      </c>
      <c r="F22" s="83" t="s">
        <v>68</v>
      </c>
      <c r="G22" s="62">
        <v>2</v>
      </c>
      <c r="H22" s="62">
        <v>2</v>
      </c>
      <c r="I22" s="62">
        <v>2</v>
      </c>
    </row>
    <row r="23" spans="1:17" s="21" customFormat="1" ht="25.5" x14ac:dyDescent="0.2">
      <c r="A23" s="18" t="s">
        <v>343</v>
      </c>
      <c r="B23" s="22">
        <v>900</v>
      </c>
      <c r="C23" s="19" t="s">
        <v>12</v>
      </c>
      <c r="D23" s="19" t="s">
        <v>18</v>
      </c>
      <c r="E23" s="19" t="s">
        <v>145</v>
      </c>
      <c r="F23" s="19"/>
      <c r="G23" s="20">
        <f>SUM(G24:G27)</f>
        <v>51581.4</v>
      </c>
      <c r="H23" s="20">
        <f t="shared" ref="H23:I23" si="4">SUM(H24:H27)</f>
        <v>50316.399999999994</v>
      </c>
      <c r="I23" s="20">
        <f t="shared" si="4"/>
        <v>49322.799999999996</v>
      </c>
      <c r="J23" s="117"/>
      <c r="K23" s="117"/>
      <c r="L23" s="117"/>
      <c r="M23" s="117"/>
      <c r="N23" s="117"/>
      <c r="O23" s="117"/>
      <c r="P23" s="117"/>
      <c r="Q23" s="117"/>
    </row>
    <row r="24" spans="1:17" s="84" customFormat="1" ht="51" customHeight="1" x14ac:dyDescent="0.2">
      <c r="A24" s="80" t="s">
        <v>66</v>
      </c>
      <c r="B24" s="81">
        <v>900</v>
      </c>
      <c r="C24" s="82" t="s">
        <v>12</v>
      </c>
      <c r="D24" s="82" t="s">
        <v>18</v>
      </c>
      <c r="E24" s="82" t="s">
        <v>145</v>
      </c>
      <c r="F24" s="83" t="s">
        <v>67</v>
      </c>
      <c r="G24" s="62">
        <f>25480.2+100+7725.2+50+2+148+50</f>
        <v>33555.4</v>
      </c>
      <c r="H24" s="62">
        <f>25189.5+200+7667.6+50+2+148+50</f>
        <v>33307.1</v>
      </c>
      <c r="I24" s="62">
        <f>25189.5+200+7667.6+50+2+148+50</f>
        <v>33307.1</v>
      </c>
    </row>
    <row r="25" spans="1:17" s="26" customFormat="1" ht="25.5" x14ac:dyDescent="0.2">
      <c r="A25" s="28" t="s">
        <v>76</v>
      </c>
      <c r="B25" s="32">
        <v>900</v>
      </c>
      <c r="C25" s="24" t="s">
        <v>12</v>
      </c>
      <c r="D25" s="24" t="s">
        <v>18</v>
      </c>
      <c r="E25" s="24" t="s">
        <v>145</v>
      </c>
      <c r="F25" s="27" t="s">
        <v>68</v>
      </c>
      <c r="G25" s="25">
        <f>1300+370+30+100+100+40+954.6+19.9+950+87.9+0.1+150+15+250+4+1000+2520.3+1016.7+50+400+2400+5841.9</f>
        <v>17600.400000000001</v>
      </c>
      <c r="H25" s="25">
        <f>1300+370+30+100+100+40+954.6+19.9+950+87.9+0.1+150+15+250+4+1000+2520.3+50+400+2400+5841.9</f>
        <v>16583.699999999997</v>
      </c>
      <c r="I25" s="25">
        <f>1300+370+30+100+100+40+954.6+19.9+950+87.9+0.1+150+15+250+4+1000+2520.3+50+400+2400-993.6+5841.9</f>
        <v>15590.099999999999</v>
      </c>
      <c r="J25" s="118"/>
      <c r="K25" s="118"/>
      <c r="L25" s="118"/>
      <c r="M25" s="118"/>
      <c r="N25" s="118"/>
      <c r="O25" s="118"/>
      <c r="P25" s="118"/>
      <c r="Q25" s="118"/>
    </row>
    <row r="26" spans="1:17" s="84" customFormat="1" x14ac:dyDescent="0.2">
      <c r="A26" s="87" t="s">
        <v>69</v>
      </c>
      <c r="B26" s="86">
        <v>900</v>
      </c>
      <c r="C26" s="82" t="s">
        <v>12</v>
      </c>
      <c r="D26" s="82" t="s">
        <v>18</v>
      </c>
      <c r="E26" s="82" t="s">
        <v>145</v>
      </c>
      <c r="F26" s="82" t="s">
        <v>70</v>
      </c>
      <c r="G26" s="62"/>
      <c r="H26" s="62"/>
      <c r="I26" s="62"/>
    </row>
    <row r="27" spans="1:17" s="26" customFormat="1" x14ac:dyDescent="0.2">
      <c r="A27" s="28" t="s">
        <v>72</v>
      </c>
      <c r="B27" s="31">
        <v>900</v>
      </c>
      <c r="C27" s="24" t="s">
        <v>12</v>
      </c>
      <c r="D27" s="24" t="s">
        <v>18</v>
      </c>
      <c r="E27" s="24" t="s">
        <v>145</v>
      </c>
      <c r="F27" s="24" t="s">
        <v>73</v>
      </c>
      <c r="G27" s="25">
        <f>10+205.6+50+10+150</f>
        <v>425.6</v>
      </c>
      <c r="H27" s="25">
        <f>10+205.6+50+10+150</f>
        <v>425.6</v>
      </c>
      <c r="I27" s="25">
        <f>10+205.6+50+10+150</f>
        <v>425.6</v>
      </c>
      <c r="J27" s="118"/>
      <c r="K27" s="118"/>
      <c r="L27" s="118"/>
      <c r="M27" s="118"/>
      <c r="N27" s="118"/>
      <c r="O27" s="118"/>
      <c r="P27" s="118"/>
      <c r="Q27" s="118"/>
    </row>
    <row r="28" spans="1:17" ht="25.5" x14ac:dyDescent="0.2">
      <c r="A28" s="89" t="s">
        <v>163</v>
      </c>
      <c r="B28" s="89">
        <v>900</v>
      </c>
      <c r="C28" s="77" t="s">
        <v>12</v>
      </c>
      <c r="D28" s="77" t="s">
        <v>18</v>
      </c>
      <c r="E28" s="77" t="s">
        <v>162</v>
      </c>
      <c r="F28" s="90"/>
      <c r="G28" s="91">
        <f>G29</f>
        <v>300</v>
      </c>
      <c r="H28" s="91">
        <f>H29</f>
        <v>300</v>
      </c>
      <c r="I28" s="91">
        <f>I29</f>
        <v>300</v>
      </c>
    </row>
    <row r="29" spans="1:17" ht="25.5" x14ac:dyDescent="0.2">
      <c r="A29" s="28" t="s">
        <v>76</v>
      </c>
      <c r="B29" s="87">
        <v>900</v>
      </c>
      <c r="C29" s="82" t="s">
        <v>12</v>
      </c>
      <c r="D29" s="82" t="s">
        <v>18</v>
      </c>
      <c r="E29" s="82" t="s">
        <v>162</v>
      </c>
      <c r="F29" s="82" t="s">
        <v>68</v>
      </c>
      <c r="G29" s="62">
        <v>300</v>
      </c>
      <c r="H29" s="62">
        <v>300</v>
      </c>
      <c r="I29" s="62">
        <v>300</v>
      </c>
    </row>
    <row r="30" spans="1:17" ht="25.5" x14ac:dyDescent="0.2">
      <c r="A30" s="75" t="s">
        <v>343</v>
      </c>
      <c r="B30" s="76">
        <v>900</v>
      </c>
      <c r="C30" s="77" t="s">
        <v>12</v>
      </c>
      <c r="D30" s="77" t="s">
        <v>18</v>
      </c>
      <c r="E30" s="77" t="s">
        <v>146</v>
      </c>
      <c r="F30" s="77"/>
      <c r="G30" s="78">
        <f>G31+G32</f>
        <v>5060.5999999999995</v>
      </c>
      <c r="H30" s="78">
        <f>H31+H32</f>
        <v>5060.5999999999995</v>
      </c>
      <c r="I30" s="78">
        <f>I31+I32</f>
        <v>5060.5999999999995</v>
      </c>
    </row>
    <row r="31" spans="1:17" s="26" customFormat="1" ht="52.5" customHeight="1" x14ac:dyDescent="0.2">
      <c r="A31" s="30" t="s">
        <v>66</v>
      </c>
      <c r="B31" s="32">
        <v>900</v>
      </c>
      <c r="C31" s="24" t="s">
        <v>12</v>
      </c>
      <c r="D31" s="24" t="s">
        <v>18</v>
      </c>
      <c r="E31" s="19" t="s">
        <v>146</v>
      </c>
      <c r="F31" s="27" t="s">
        <v>67</v>
      </c>
      <c r="G31" s="25">
        <f>3585.9+20+1089</f>
        <v>4694.8999999999996</v>
      </c>
      <c r="H31" s="25">
        <f>3585.9+20+1089</f>
        <v>4694.8999999999996</v>
      </c>
      <c r="I31" s="25">
        <f>3585.9+20+1089</f>
        <v>4694.8999999999996</v>
      </c>
    </row>
    <row r="32" spans="1:17" s="84" customFormat="1" ht="25.5" x14ac:dyDescent="0.2">
      <c r="A32" s="87" t="s">
        <v>76</v>
      </c>
      <c r="B32" s="81">
        <v>900</v>
      </c>
      <c r="C32" s="82" t="s">
        <v>12</v>
      </c>
      <c r="D32" s="82" t="s">
        <v>18</v>
      </c>
      <c r="E32" s="77" t="s">
        <v>146</v>
      </c>
      <c r="F32" s="83" t="s">
        <v>68</v>
      </c>
      <c r="G32" s="62">
        <f>20+100+10+35.7+200</f>
        <v>365.7</v>
      </c>
      <c r="H32" s="62">
        <f>20+100+10+35.7+200</f>
        <v>365.7</v>
      </c>
      <c r="I32" s="62">
        <f>20+100+10+35.7+200</f>
        <v>365.7</v>
      </c>
    </row>
    <row r="33" spans="1:17" s="9" customFormat="1" x14ac:dyDescent="0.2">
      <c r="A33" s="11" t="s">
        <v>366</v>
      </c>
      <c r="B33" s="14">
        <v>900</v>
      </c>
      <c r="C33" s="8" t="s">
        <v>12</v>
      </c>
      <c r="D33" s="8" t="s">
        <v>31</v>
      </c>
      <c r="E33" s="8"/>
      <c r="F33" s="8"/>
      <c r="G33" s="4">
        <f>G34</f>
        <v>16.3</v>
      </c>
      <c r="H33" s="4">
        <f t="shared" ref="H33:I34" si="5">H34</f>
        <v>16.899999999999999</v>
      </c>
      <c r="I33" s="4">
        <f t="shared" si="5"/>
        <v>17.5</v>
      </c>
    </row>
    <row r="34" spans="1:17" s="21" customFormat="1" ht="38.25" customHeight="1" x14ac:dyDescent="0.2">
      <c r="A34" s="18" t="s">
        <v>367</v>
      </c>
      <c r="B34" s="22">
        <v>900</v>
      </c>
      <c r="C34" s="19" t="s">
        <v>12</v>
      </c>
      <c r="D34" s="19" t="s">
        <v>31</v>
      </c>
      <c r="E34" s="19" t="s">
        <v>396</v>
      </c>
      <c r="F34" s="19"/>
      <c r="G34" s="20">
        <f>G35</f>
        <v>16.3</v>
      </c>
      <c r="H34" s="20">
        <f t="shared" si="5"/>
        <v>16.899999999999999</v>
      </c>
      <c r="I34" s="20">
        <f t="shared" si="5"/>
        <v>17.5</v>
      </c>
    </row>
    <row r="35" spans="1:17" s="26" customFormat="1" ht="25.5" x14ac:dyDescent="0.2">
      <c r="A35" s="23" t="s">
        <v>135</v>
      </c>
      <c r="B35" s="31">
        <v>900</v>
      </c>
      <c r="C35" s="24" t="s">
        <v>12</v>
      </c>
      <c r="D35" s="24" t="s">
        <v>31</v>
      </c>
      <c r="E35" s="24" t="s">
        <v>396</v>
      </c>
      <c r="F35" s="27" t="s">
        <v>68</v>
      </c>
      <c r="G35" s="25">
        <v>16.3</v>
      </c>
      <c r="H35" s="25">
        <v>16.899999999999999</v>
      </c>
      <c r="I35" s="25">
        <v>17.5</v>
      </c>
    </row>
    <row r="36" spans="1:17" s="74" customFormat="1" x14ac:dyDescent="0.2">
      <c r="A36" s="70" t="s">
        <v>22</v>
      </c>
      <c r="B36" s="71">
        <v>900</v>
      </c>
      <c r="C36" s="72" t="s">
        <v>12</v>
      </c>
      <c r="D36" s="72" t="s">
        <v>21</v>
      </c>
      <c r="E36" s="72"/>
      <c r="F36" s="72"/>
      <c r="G36" s="73">
        <f t="shared" ref="G36:I37" si="6">G37</f>
        <v>2024.1</v>
      </c>
      <c r="H36" s="73">
        <f t="shared" si="6"/>
        <v>2024.1</v>
      </c>
      <c r="I36" s="73">
        <f t="shared" si="6"/>
        <v>2024.1</v>
      </c>
    </row>
    <row r="37" spans="1:17" s="7" customFormat="1" x14ac:dyDescent="0.2">
      <c r="A37" s="18" t="s">
        <v>285</v>
      </c>
      <c r="B37" s="121">
        <v>900</v>
      </c>
      <c r="C37" s="122" t="s">
        <v>12</v>
      </c>
      <c r="D37" s="122" t="s">
        <v>21</v>
      </c>
      <c r="E37" s="19" t="s">
        <v>287</v>
      </c>
      <c r="F37" s="19"/>
      <c r="G37" s="20">
        <f t="shared" si="6"/>
        <v>2024.1</v>
      </c>
      <c r="H37" s="20">
        <f t="shared" si="6"/>
        <v>2024.1</v>
      </c>
      <c r="I37" s="20">
        <f t="shared" si="6"/>
        <v>2024.1</v>
      </c>
      <c r="J37" s="119"/>
      <c r="K37" s="119"/>
      <c r="L37" s="119"/>
      <c r="M37" s="119"/>
      <c r="N37" s="119"/>
      <c r="O37" s="119"/>
      <c r="P37" s="119"/>
      <c r="Q37" s="119"/>
    </row>
    <row r="38" spans="1:17" s="84" customFormat="1" x14ac:dyDescent="0.2">
      <c r="A38" s="87" t="s">
        <v>72</v>
      </c>
      <c r="B38" s="86">
        <v>900</v>
      </c>
      <c r="C38" s="82" t="s">
        <v>12</v>
      </c>
      <c r="D38" s="82" t="s">
        <v>21</v>
      </c>
      <c r="E38" s="82" t="s">
        <v>287</v>
      </c>
      <c r="F38" s="82" t="s">
        <v>73</v>
      </c>
      <c r="G38" s="62">
        <v>2024.1</v>
      </c>
      <c r="H38" s="62">
        <v>2024.1</v>
      </c>
      <c r="I38" s="62">
        <v>2024.1</v>
      </c>
    </row>
    <row r="39" spans="1:17" s="74" customFormat="1" x14ac:dyDescent="0.2">
      <c r="A39" s="70" t="s">
        <v>24</v>
      </c>
      <c r="B39" s="71">
        <v>900</v>
      </c>
      <c r="C39" s="72" t="s">
        <v>12</v>
      </c>
      <c r="D39" s="72" t="s">
        <v>61</v>
      </c>
      <c r="E39" s="72"/>
      <c r="F39" s="72"/>
      <c r="G39" s="73">
        <f>G44+G54+G56+G60+G63+G50+G52+G58+G40+G42+G46+G48+S39+G65</f>
        <v>44498.499999999993</v>
      </c>
      <c r="H39" s="73">
        <f t="shared" ref="H39:I39" si="7">H44+H54+H56+H60+H63+H50+H52+H58+H40+H42+H46+H48+T39+H65</f>
        <v>39726.799999999996</v>
      </c>
      <c r="I39" s="73">
        <f t="shared" si="7"/>
        <v>34961.800000000003</v>
      </c>
    </row>
    <row r="40" spans="1:17" x14ac:dyDescent="0.2">
      <c r="A40" s="75" t="s">
        <v>227</v>
      </c>
      <c r="B40" s="76">
        <v>900</v>
      </c>
      <c r="C40" s="77" t="s">
        <v>12</v>
      </c>
      <c r="D40" s="77" t="s">
        <v>61</v>
      </c>
      <c r="E40" s="77" t="s">
        <v>226</v>
      </c>
      <c r="F40" s="77"/>
      <c r="G40" s="78">
        <f>G41</f>
        <v>3279.2</v>
      </c>
      <c r="H40" s="78">
        <f>H41</f>
        <v>3279.2</v>
      </c>
      <c r="I40" s="78">
        <f>I41</f>
        <v>0</v>
      </c>
    </row>
    <row r="41" spans="1:17" s="84" customFormat="1" x14ac:dyDescent="0.2">
      <c r="A41" s="87" t="s">
        <v>69</v>
      </c>
      <c r="B41" s="86">
        <v>900</v>
      </c>
      <c r="C41" s="82" t="s">
        <v>12</v>
      </c>
      <c r="D41" s="82" t="s">
        <v>61</v>
      </c>
      <c r="E41" s="82" t="s">
        <v>226</v>
      </c>
      <c r="F41" s="82" t="s">
        <v>70</v>
      </c>
      <c r="G41" s="62">
        <v>3279.2</v>
      </c>
      <c r="H41" s="62">
        <v>3279.2</v>
      </c>
      <c r="I41" s="62"/>
    </row>
    <row r="42" spans="1:17" s="21" customFormat="1" x14ac:dyDescent="0.2">
      <c r="A42" s="18" t="s">
        <v>286</v>
      </c>
      <c r="B42" s="22">
        <v>900</v>
      </c>
      <c r="C42" s="19" t="s">
        <v>12</v>
      </c>
      <c r="D42" s="19" t="s">
        <v>61</v>
      </c>
      <c r="E42" s="19" t="s">
        <v>288</v>
      </c>
      <c r="F42" s="19"/>
      <c r="G42" s="20">
        <f>G43</f>
        <v>1109.5</v>
      </c>
      <c r="H42" s="20">
        <f>H43</f>
        <v>1109.5</v>
      </c>
      <c r="I42" s="20">
        <f>I43</f>
        <v>0</v>
      </c>
    </row>
    <row r="43" spans="1:17" s="26" customFormat="1" x14ac:dyDescent="0.2">
      <c r="A43" s="28" t="s">
        <v>72</v>
      </c>
      <c r="B43" s="31">
        <v>900</v>
      </c>
      <c r="C43" s="24" t="s">
        <v>12</v>
      </c>
      <c r="D43" s="24" t="s">
        <v>61</v>
      </c>
      <c r="E43" s="24" t="s">
        <v>288</v>
      </c>
      <c r="F43" s="24" t="s">
        <v>73</v>
      </c>
      <c r="G43" s="25">
        <v>1109.5</v>
      </c>
      <c r="H43" s="25">
        <v>1109.5</v>
      </c>
      <c r="I43" s="25"/>
    </row>
    <row r="44" spans="1:17" x14ac:dyDescent="0.2">
      <c r="A44" s="75" t="s">
        <v>147</v>
      </c>
      <c r="B44" s="76">
        <v>900</v>
      </c>
      <c r="C44" s="77" t="s">
        <v>12</v>
      </c>
      <c r="D44" s="77" t="s">
        <v>61</v>
      </c>
      <c r="E44" s="77" t="s">
        <v>148</v>
      </c>
      <c r="F44" s="77"/>
      <c r="G44" s="78">
        <f>G45</f>
        <v>18565.099999999999</v>
      </c>
      <c r="H44" s="78">
        <f>H45</f>
        <v>18565.099999999999</v>
      </c>
      <c r="I44" s="78">
        <f>I45</f>
        <v>18324.2</v>
      </c>
    </row>
    <row r="45" spans="1:17" s="84" customFormat="1" ht="25.5" x14ac:dyDescent="0.2">
      <c r="A45" s="87" t="s">
        <v>141</v>
      </c>
      <c r="B45" s="86">
        <v>900</v>
      </c>
      <c r="C45" s="82" t="s">
        <v>12</v>
      </c>
      <c r="D45" s="82" t="s">
        <v>61</v>
      </c>
      <c r="E45" s="82" t="s">
        <v>148</v>
      </c>
      <c r="F45" s="82" t="s">
        <v>65</v>
      </c>
      <c r="G45" s="62">
        <f>18591.1-26</f>
        <v>18565.099999999999</v>
      </c>
      <c r="H45" s="62">
        <f>18591.1-26</f>
        <v>18565.099999999999</v>
      </c>
      <c r="I45" s="62">
        <f>18350.2-26</f>
        <v>18324.2</v>
      </c>
    </row>
    <row r="46" spans="1:17" s="26" customFormat="1" ht="38.25" x14ac:dyDescent="0.2">
      <c r="A46" s="18" t="s">
        <v>394</v>
      </c>
      <c r="B46" s="31">
        <v>900</v>
      </c>
      <c r="C46" s="24" t="s">
        <v>12</v>
      </c>
      <c r="D46" s="24" t="s">
        <v>61</v>
      </c>
      <c r="E46" s="24" t="s">
        <v>395</v>
      </c>
      <c r="F46" s="24"/>
      <c r="G46" s="25">
        <f>G47</f>
        <v>0</v>
      </c>
      <c r="H46" s="25"/>
      <c r="I46" s="25"/>
    </row>
    <row r="47" spans="1:17" s="26" customFormat="1" ht="25.5" x14ac:dyDescent="0.2">
      <c r="A47" s="28" t="s">
        <v>141</v>
      </c>
      <c r="B47" s="31">
        <v>900</v>
      </c>
      <c r="C47" s="24" t="s">
        <v>12</v>
      </c>
      <c r="D47" s="24" t="s">
        <v>61</v>
      </c>
      <c r="E47" s="24" t="s">
        <v>395</v>
      </c>
      <c r="F47" s="24" t="s">
        <v>65</v>
      </c>
      <c r="G47" s="25"/>
      <c r="H47" s="25"/>
      <c r="I47" s="25"/>
    </row>
    <row r="48" spans="1:17" ht="38.25" x14ac:dyDescent="0.2">
      <c r="A48" s="75" t="s">
        <v>394</v>
      </c>
      <c r="B48" s="76">
        <v>900</v>
      </c>
      <c r="C48" s="77" t="s">
        <v>12</v>
      </c>
      <c r="D48" s="77" t="s">
        <v>61</v>
      </c>
      <c r="E48" s="77" t="s">
        <v>397</v>
      </c>
      <c r="F48" s="77"/>
      <c r="G48" s="78">
        <f>G49</f>
        <v>0</v>
      </c>
      <c r="H48" s="78">
        <f>H49</f>
        <v>0</v>
      </c>
      <c r="I48" s="78">
        <f>I49</f>
        <v>0</v>
      </c>
    </row>
    <row r="49" spans="1:9" s="84" customFormat="1" ht="25.5" x14ac:dyDescent="0.2">
      <c r="A49" s="87" t="s">
        <v>141</v>
      </c>
      <c r="B49" s="86">
        <v>900</v>
      </c>
      <c r="C49" s="82" t="s">
        <v>12</v>
      </c>
      <c r="D49" s="82" t="s">
        <v>61</v>
      </c>
      <c r="E49" s="82" t="s">
        <v>397</v>
      </c>
      <c r="F49" s="82" t="s">
        <v>65</v>
      </c>
      <c r="G49" s="62"/>
      <c r="H49" s="62"/>
      <c r="I49" s="62"/>
    </row>
    <row r="50" spans="1:9" ht="25.5" x14ac:dyDescent="0.2">
      <c r="A50" s="89" t="s">
        <v>163</v>
      </c>
      <c r="B50" s="89">
        <v>900</v>
      </c>
      <c r="C50" s="77" t="s">
        <v>12</v>
      </c>
      <c r="D50" s="77" t="s">
        <v>61</v>
      </c>
      <c r="E50" s="77" t="s">
        <v>162</v>
      </c>
      <c r="F50" s="90"/>
      <c r="G50" s="91">
        <f>G51</f>
        <v>91.6</v>
      </c>
      <c r="H50" s="91">
        <f>H51</f>
        <v>91.6</v>
      </c>
      <c r="I50" s="91">
        <f>I51</f>
        <v>91.6</v>
      </c>
    </row>
    <row r="51" spans="1:9" ht="25.5" x14ac:dyDescent="0.2">
      <c r="A51" s="87" t="s">
        <v>141</v>
      </c>
      <c r="B51" s="87">
        <v>900</v>
      </c>
      <c r="C51" s="82" t="s">
        <v>12</v>
      </c>
      <c r="D51" s="82" t="s">
        <v>61</v>
      </c>
      <c r="E51" s="82" t="s">
        <v>162</v>
      </c>
      <c r="F51" s="82" t="s">
        <v>65</v>
      </c>
      <c r="G51" s="62">
        <f>15.6+50+26</f>
        <v>91.6</v>
      </c>
      <c r="H51" s="62">
        <f>15.6+50+26</f>
        <v>91.6</v>
      </c>
      <c r="I51" s="62">
        <f>15.6+50+26</f>
        <v>91.6</v>
      </c>
    </row>
    <row r="52" spans="1:9" s="21" customFormat="1" x14ac:dyDescent="0.2">
      <c r="A52" s="18" t="s">
        <v>172</v>
      </c>
      <c r="B52" s="22">
        <v>900</v>
      </c>
      <c r="C52" s="19" t="s">
        <v>12</v>
      </c>
      <c r="D52" s="19" t="s">
        <v>61</v>
      </c>
      <c r="E52" s="19" t="s">
        <v>171</v>
      </c>
      <c r="F52" s="19"/>
      <c r="G52" s="20">
        <f>G53</f>
        <v>4542.8999999999996</v>
      </c>
      <c r="H52" s="20">
        <f>H53</f>
        <v>0</v>
      </c>
      <c r="I52" s="20">
        <f>I53</f>
        <v>0</v>
      </c>
    </row>
    <row r="53" spans="1:9" s="84" customFormat="1" ht="25.5" x14ac:dyDescent="0.2">
      <c r="A53" s="87" t="s">
        <v>83</v>
      </c>
      <c r="B53" s="86">
        <v>900</v>
      </c>
      <c r="C53" s="82" t="s">
        <v>12</v>
      </c>
      <c r="D53" s="82" t="s">
        <v>61</v>
      </c>
      <c r="E53" s="82" t="s">
        <v>171</v>
      </c>
      <c r="F53" s="82" t="s">
        <v>71</v>
      </c>
      <c r="G53" s="62">
        <v>4542.8999999999996</v>
      </c>
      <c r="H53" s="62"/>
      <c r="I53" s="62"/>
    </row>
    <row r="54" spans="1:9" s="21" customFormat="1" ht="38.25" x14ac:dyDescent="0.2">
      <c r="A54" s="18" t="s">
        <v>149</v>
      </c>
      <c r="B54" s="22">
        <v>900</v>
      </c>
      <c r="C54" s="19" t="s">
        <v>12</v>
      </c>
      <c r="D54" s="19" t="s">
        <v>61</v>
      </c>
      <c r="E54" s="19" t="s">
        <v>86</v>
      </c>
      <c r="F54" s="19"/>
      <c r="G54" s="20">
        <f>G55</f>
        <v>120</v>
      </c>
      <c r="H54" s="20">
        <f>H55</f>
        <v>120</v>
      </c>
      <c r="I54" s="20">
        <f>I55</f>
        <v>120</v>
      </c>
    </row>
    <row r="55" spans="1:9" s="26" customFormat="1" ht="25.5" x14ac:dyDescent="0.2">
      <c r="A55" s="28" t="s">
        <v>141</v>
      </c>
      <c r="B55" s="31">
        <v>900</v>
      </c>
      <c r="C55" s="24" t="s">
        <v>12</v>
      </c>
      <c r="D55" s="24" t="s">
        <v>61</v>
      </c>
      <c r="E55" s="24" t="s">
        <v>86</v>
      </c>
      <c r="F55" s="24" t="s">
        <v>65</v>
      </c>
      <c r="G55" s="25">
        <v>120</v>
      </c>
      <c r="H55" s="25">
        <v>120</v>
      </c>
      <c r="I55" s="25">
        <v>120</v>
      </c>
    </row>
    <row r="56" spans="1:9" ht="30.75" customHeight="1" x14ac:dyDescent="0.2">
      <c r="A56" s="89" t="s">
        <v>150</v>
      </c>
      <c r="B56" s="92">
        <v>900</v>
      </c>
      <c r="C56" s="77" t="s">
        <v>12</v>
      </c>
      <c r="D56" s="77" t="s">
        <v>61</v>
      </c>
      <c r="E56" s="77" t="s">
        <v>151</v>
      </c>
      <c r="F56" s="77"/>
      <c r="G56" s="78">
        <f>G57</f>
        <v>966</v>
      </c>
      <c r="H56" s="78">
        <f>H57</f>
        <v>966</v>
      </c>
      <c r="I56" s="78">
        <f>I57</f>
        <v>966</v>
      </c>
    </row>
    <row r="57" spans="1:9" s="84" customFormat="1" x14ac:dyDescent="0.2">
      <c r="A57" s="87" t="s">
        <v>69</v>
      </c>
      <c r="B57" s="86">
        <v>900</v>
      </c>
      <c r="C57" s="82" t="s">
        <v>12</v>
      </c>
      <c r="D57" s="82" t="s">
        <v>61</v>
      </c>
      <c r="E57" s="82" t="s">
        <v>151</v>
      </c>
      <c r="F57" s="82" t="s">
        <v>70</v>
      </c>
      <c r="G57" s="62">
        <v>966</v>
      </c>
      <c r="H57" s="62">
        <v>966</v>
      </c>
      <c r="I57" s="62">
        <v>966</v>
      </c>
    </row>
    <row r="58" spans="1:9" s="95" customFormat="1" ht="25.5" x14ac:dyDescent="0.2">
      <c r="A58" s="93" t="s">
        <v>152</v>
      </c>
      <c r="B58" s="94">
        <v>900</v>
      </c>
      <c r="C58" s="77" t="s">
        <v>12</v>
      </c>
      <c r="D58" s="77" t="s">
        <v>61</v>
      </c>
      <c r="E58" s="90" t="s">
        <v>153</v>
      </c>
      <c r="F58" s="90"/>
      <c r="G58" s="91">
        <f>G59</f>
        <v>5051</v>
      </c>
      <c r="H58" s="91">
        <f>H59</f>
        <v>5051</v>
      </c>
      <c r="I58" s="91">
        <f>I59</f>
        <v>4915.6000000000004</v>
      </c>
    </row>
    <row r="59" spans="1:9" s="96" customFormat="1" ht="25.5" x14ac:dyDescent="0.2">
      <c r="A59" s="87" t="s">
        <v>141</v>
      </c>
      <c r="B59" s="86">
        <v>900</v>
      </c>
      <c r="C59" s="82" t="s">
        <v>12</v>
      </c>
      <c r="D59" s="82" t="s">
        <v>61</v>
      </c>
      <c r="E59" s="82" t="s">
        <v>153</v>
      </c>
      <c r="F59" s="82" t="s">
        <v>65</v>
      </c>
      <c r="G59" s="62">
        <v>5051</v>
      </c>
      <c r="H59" s="62">
        <v>5051</v>
      </c>
      <c r="I59" s="62">
        <v>4915.6000000000004</v>
      </c>
    </row>
    <row r="60" spans="1:9" s="21" customFormat="1" ht="102" x14ac:dyDescent="0.2">
      <c r="A60" s="46" t="s">
        <v>155</v>
      </c>
      <c r="B60" s="22">
        <v>900</v>
      </c>
      <c r="C60" s="19" t="s">
        <v>12</v>
      </c>
      <c r="D60" s="19" t="s">
        <v>61</v>
      </c>
      <c r="E60" s="19" t="s">
        <v>154</v>
      </c>
      <c r="F60" s="19"/>
      <c r="G60" s="20">
        <f>G61+G62</f>
        <v>7326.4000000000005</v>
      </c>
      <c r="H60" s="20">
        <f>H61+H62</f>
        <v>7326.4000000000005</v>
      </c>
      <c r="I60" s="20">
        <f>I61+I62</f>
        <v>7326.4000000000005</v>
      </c>
    </row>
    <row r="61" spans="1:9" s="26" customFormat="1" ht="53.25" customHeight="1" x14ac:dyDescent="0.2">
      <c r="A61" s="23" t="s">
        <v>66</v>
      </c>
      <c r="B61" s="31">
        <v>900</v>
      </c>
      <c r="C61" s="24" t="s">
        <v>12</v>
      </c>
      <c r="D61" s="24" t="s">
        <v>61</v>
      </c>
      <c r="E61" s="24" t="s">
        <v>154</v>
      </c>
      <c r="F61" s="27" t="s">
        <v>67</v>
      </c>
      <c r="G61" s="25">
        <f>5545.5+1674.8</f>
        <v>7220.3</v>
      </c>
      <c r="H61" s="25">
        <f>5545.5+1674.8</f>
        <v>7220.3</v>
      </c>
      <c r="I61" s="25">
        <f>5545.5+1674.8</f>
        <v>7220.3</v>
      </c>
    </row>
    <row r="62" spans="1:9" s="84" customFormat="1" ht="25.5" x14ac:dyDescent="0.2">
      <c r="A62" s="87" t="s">
        <v>76</v>
      </c>
      <c r="B62" s="86">
        <v>900</v>
      </c>
      <c r="C62" s="82" t="s">
        <v>12</v>
      </c>
      <c r="D62" s="82" t="s">
        <v>61</v>
      </c>
      <c r="E62" s="82" t="s">
        <v>154</v>
      </c>
      <c r="F62" s="83" t="s">
        <v>68</v>
      </c>
      <c r="G62" s="62">
        <f>58.6+1+8.3+35+3.2</f>
        <v>106.10000000000001</v>
      </c>
      <c r="H62" s="62">
        <f>58.6+1+8.3+35+3.2</f>
        <v>106.10000000000001</v>
      </c>
      <c r="I62" s="62">
        <f>58.6+1+8.3+35+3.2</f>
        <v>106.10000000000001</v>
      </c>
    </row>
    <row r="63" spans="1:9" s="84" customFormat="1" ht="63.75" x14ac:dyDescent="0.2">
      <c r="A63" s="97" t="s">
        <v>156</v>
      </c>
      <c r="B63" s="97">
        <v>900</v>
      </c>
      <c r="C63" s="77" t="s">
        <v>12</v>
      </c>
      <c r="D63" s="77" t="s">
        <v>61</v>
      </c>
      <c r="E63" s="77" t="s">
        <v>157</v>
      </c>
      <c r="F63" s="77"/>
      <c r="G63" s="78">
        <f>G64</f>
        <v>228.8</v>
      </c>
      <c r="H63" s="78">
        <f>H64</f>
        <v>0</v>
      </c>
      <c r="I63" s="78">
        <f>I64</f>
        <v>0</v>
      </c>
    </row>
    <row r="64" spans="1:9" ht="25.5" x14ac:dyDescent="0.2">
      <c r="A64" s="87" t="s">
        <v>76</v>
      </c>
      <c r="B64" s="85">
        <v>900</v>
      </c>
      <c r="C64" s="82" t="s">
        <v>12</v>
      </c>
      <c r="D64" s="82" t="s">
        <v>61</v>
      </c>
      <c r="E64" s="82" t="s">
        <v>157</v>
      </c>
      <c r="F64" s="83" t="s">
        <v>68</v>
      </c>
      <c r="G64" s="62">
        <v>228.8</v>
      </c>
      <c r="H64" s="62"/>
      <c r="I64" s="62"/>
    </row>
    <row r="65" spans="1:17" ht="38.25" x14ac:dyDescent="0.2">
      <c r="A65" s="75" t="s">
        <v>403</v>
      </c>
      <c r="B65" s="85">
        <v>900</v>
      </c>
      <c r="C65" s="82" t="s">
        <v>12</v>
      </c>
      <c r="D65" s="82" t="s">
        <v>61</v>
      </c>
      <c r="E65" s="82" t="s">
        <v>404</v>
      </c>
      <c r="F65" s="83"/>
      <c r="G65" s="62">
        <f>G66</f>
        <v>3218</v>
      </c>
      <c r="H65" s="62">
        <f t="shared" ref="H65:Q65" si="8">H66</f>
        <v>3218</v>
      </c>
      <c r="I65" s="62">
        <f t="shared" si="8"/>
        <v>3218</v>
      </c>
      <c r="J65" s="62">
        <f t="shared" si="8"/>
        <v>0</v>
      </c>
      <c r="K65" s="62">
        <f t="shared" si="8"/>
        <v>0</v>
      </c>
      <c r="L65" s="62">
        <f t="shared" si="8"/>
        <v>0</v>
      </c>
      <c r="M65" s="62">
        <f t="shared" si="8"/>
        <v>0</v>
      </c>
      <c r="N65" s="62">
        <f t="shared" si="8"/>
        <v>0</v>
      </c>
      <c r="O65" s="62">
        <f t="shared" si="8"/>
        <v>0</v>
      </c>
      <c r="P65" s="62">
        <f t="shared" si="8"/>
        <v>0</v>
      </c>
      <c r="Q65" s="62">
        <f t="shared" si="8"/>
        <v>0</v>
      </c>
    </row>
    <row r="66" spans="1:17" s="21" customFormat="1" ht="25.5" x14ac:dyDescent="0.2">
      <c r="A66" s="28" t="s">
        <v>141</v>
      </c>
      <c r="B66" s="23">
        <v>900</v>
      </c>
      <c r="C66" s="24" t="s">
        <v>12</v>
      </c>
      <c r="D66" s="24" t="s">
        <v>61</v>
      </c>
      <c r="E66" s="24" t="s">
        <v>404</v>
      </c>
      <c r="F66" s="27" t="s">
        <v>65</v>
      </c>
      <c r="G66" s="25">
        <v>3218</v>
      </c>
      <c r="H66" s="25">
        <v>3218</v>
      </c>
      <c r="I66" s="25">
        <v>3218</v>
      </c>
      <c r="J66" s="117"/>
      <c r="K66" s="117"/>
      <c r="L66" s="117"/>
      <c r="M66" s="117"/>
      <c r="N66" s="117"/>
      <c r="O66" s="117"/>
      <c r="P66" s="117"/>
      <c r="Q66" s="117"/>
    </row>
    <row r="67" spans="1:17" s="99" customFormat="1" ht="25.5" x14ac:dyDescent="0.2">
      <c r="A67" s="98" t="s">
        <v>5</v>
      </c>
      <c r="B67" s="64">
        <v>900</v>
      </c>
      <c r="C67" s="65" t="s">
        <v>16</v>
      </c>
      <c r="D67" s="65"/>
      <c r="E67" s="65"/>
      <c r="F67" s="65"/>
      <c r="G67" s="68">
        <f>G68</f>
        <v>4312.7</v>
      </c>
      <c r="H67" s="68">
        <f>H68</f>
        <v>4312.7</v>
      </c>
      <c r="I67" s="68">
        <f>I68</f>
        <v>4267.3</v>
      </c>
    </row>
    <row r="68" spans="1:17" s="74" customFormat="1" ht="38.25" x14ac:dyDescent="0.2">
      <c r="A68" s="70" t="s">
        <v>81</v>
      </c>
      <c r="B68" s="71">
        <v>900</v>
      </c>
      <c r="C68" s="72" t="s">
        <v>16</v>
      </c>
      <c r="D68" s="72" t="s">
        <v>26</v>
      </c>
      <c r="E68" s="72"/>
      <c r="F68" s="72"/>
      <c r="G68" s="73">
        <f>G69+G73+G75+G77</f>
        <v>4312.7</v>
      </c>
      <c r="H68" s="73">
        <f>H69+H73+H75+H77</f>
        <v>4312.7</v>
      </c>
      <c r="I68" s="73">
        <f>I69+I73+I75+I77</f>
        <v>4267.3</v>
      </c>
    </row>
    <row r="69" spans="1:17" ht="38.25" x14ac:dyDescent="0.2">
      <c r="A69" s="97" t="s">
        <v>159</v>
      </c>
      <c r="B69" s="100">
        <v>900</v>
      </c>
      <c r="C69" s="77" t="s">
        <v>16</v>
      </c>
      <c r="D69" s="77" t="s">
        <v>26</v>
      </c>
      <c r="E69" s="77" t="s">
        <v>158</v>
      </c>
      <c r="F69" s="77"/>
      <c r="G69" s="78">
        <f>G70+G71+G72</f>
        <v>4144.5</v>
      </c>
      <c r="H69" s="78">
        <f>H70+H71+H72</f>
        <v>4144.5</v>
      </c>
      <c r="I69" s="78">
        <f>I70+I71+I72</f>
        <v>4099.1000000000004</v>
      </c>
    </row>
    <row r="70" spans="1:17" s="26" customFormat="1" ht="51" customHeight="1" x14ac:dyDescent="0.2">
      <c r="A70" s="30" t="s">
        <v>66</v>
      </c>
      <c r="B70" s="32">
        <v>900</v>
      </c>
      <c r="C70" s="24" t="s">
        <v>16</v>
      </c>
      <c r="D70" s="24" t="s">
        <v>26</v>
      </c>
      <c r="E70" s="24" t="s">
        <v>158</v>
      </c>
      <c r="F70" s="27" t="s">
        <v>67</v>
      </c>
      <c r="G70" s="25">
        <v>3373.4</v>
      </c>
      <c r="H70" s="25">
        <v>3373.4</v>
      </c>
      <c r="I70" s="25">
        <v>3373.4</v>
      </c>
    </row>
    <row r="71" spans="1:17" s="84" customFormat="1" ht="25.5" x14ac:dyDescent="0.2">
      <c r="A71" s="87" t="s">
        <v>76</v>
      </c>
      <c r="B71" s="81">
        <v>900</v>
      </c>
      <c r="C71" s="82" t="s">
        <v>16</v>
      </c>
      <c r="D71" s="82" t="s">
        <v>26</v>
      </c>
      <c r="E71" s="82" t="s">
        <v>158</v>
      </c>
      <c r="F71" s="83" t="s">
        <v>68</v>
      </c>
      <c r="G71" s="62">
        <f>91.9+47+256+27+25.2+315</f>
        <v>762.09999999999991</v>
      </c>
      <c r="H71" s="62">
        <f>91.9+47+256+27+25.2+315</f>
        <v>762.09999999999991</v>
      </c>
      <c r="I71" s="62">
        <f>46.5+47+256+27+25.2+315</f>
        <v>716.7</v>
      </c>
    </row>
    <row r="72" spans="1:17" s="26" customFormat="1" x14ac:dyDescent="0.2">
      <c r="A72" s="28" t="s">
        <v>72</v>
      </c>
      <c r="B72" s="31">
        <v>900</v>
      </c>
      <c r="C72" s="24" t="s">
        <v>16</v>
      </c>
      <c r="D72" s="24" t="s">
        <v>26</v>
      </c>
      <c r="E72" s="24" t="s">
        <v>158</v>
      </c>
      <c r="F72" s="24" t="s">
        <v>73</v>
      </c>
      <c r="G72" s="25">
        <v>9</v>
      </c>
      <c r="H72" s="25">
        <v>9</v>
      </c>
      <c r="I72" s="25">
        <v>9</v>
      </c>
    </row>
    <row r="73" spans="1:17" s="12" customFormat="1" ht="25.5" x14ac:dyDescent="0.2">
      <c r="A73" s="17" t="s">
        <v>163</v>
      </c>
      <c r="B73" s="43">
        <v>900</v>
      </c>
      <c r="C73" s="19" t="s">
        <v>16</v>
      </c>
      <c r="D73" s="19" t="s">
        <v>26</v>
      </c>
      <c r="E73" s="19" t="s">
        <v>162</v>
      </c>
      <c r="F73" s="5"/>
      <c r="G73" s="6">
        <f>G74</f>
        <v>1</v>
      </c>
      <c r="H73" s="6">
        <f>H74</f>
        <v>1</v>
      </c>
      <c r="I73" s="6">
        <f>I74</f>
        <v>1</v>
      </c>
    </row>
    <row r="74" spans="1:17" s="84" customFormat="1" ht="25.5" x14ac:dyDescent="0.2">
      <c r="A74" s="87" t="s">
        <v>76</v>
      </c>
      <c r="B74" s="81">
        <v>900</v>
      </c>
      <c r="C74" s="82" t="s">
        <v>16</v>
      </c>
      <c r="D74" s="82" t="s">
        <v>26</v>
      </c>
      <c r="E74" s="82" t="s">
        <v>162</v>
      </c>
      <c r="F74" s="83" t="s">
        <v>68</v>
      </c>
      <c r="G74" s="62">
        <v>1</v>
      </c>
      <c r="H74" s="62">
        <v>1</v>
      </c>
      <c r="I74" s="62">
        <v>1</v>
      </c>
    </row>
    <row r="75" spans="1:17" s="95" customFormat="1" x14ac:dyDescent="0.2">
      <c r="A75" s="89" t="s">
        <v>164</v>
      </c>
      <c r="B75" s="92">
        <v>900</v>
      </c>
      <c r="C75" s="77" t="s">
        <v>16</v>
      </c>
      <c r="D75" s="77" t="s">
        <v>26</v>
      </c>
      <c r="E75" s="77" t="s">
        <v>165</v>
      </c>
      <c r="F75" s="90"/>
      <c r="G75" s="91">
        <f>G76</f>
        <v>132.19999999999999</v>
      </c>
      <c r="H75" s="91">
        <f>H76</f>
        <v>132.19999999999999</v>
      </c>
      <c r="I75" s="91">
        <f>I76</f>
        <v>132.19999999999999</v>
      </c>
    </row>
    <row r="76" spans="1:17" s="84" customFormat="1" ht="25.5" x14ac:dyDescent="0.2">
      <c r="A76" s="87" t="s">
        <v>76</v>
      </c>
      <c r="B76" s="81">
        <v>900</v>
      </c>
      <c r="C76" s="82" t="s">
        <v>16</v>
      </c>
      <c r="D76" s="82" t="s">
        <v>26</v>
      </c>
      <c r="E76" s="82" t="s">
        <v>165</v>
      </c>
      <c r="F76" s="83" t="s">
        <v>68</v>
      </c>
      <c r="G76" s="62">
        <v>132.19999999999999</v>
      </c>
      <c r="H76" s="62">
        <v>132.19999999999999</v>
      </c>
      <c r="I76" s="62">
        <v>132.19999999999999</v>
      </c>
    </row>
    <row r="77" spans="1:17" s="12" customFormat="1" ht="25.5" x14ac:dyDescent="0.2">
      <c r="A77" s="17" t="s">
        <v>418</v>
      </c>
      <c r="B77" s="43">
        <v>900</v>
      </c>
      <c r="C77" s="19" t="s">
        <v>16</v>
      </c>
      <c r="D77" s="19" t="s">
        <v>26</v>
      </c>
      <c r="E77" s="19" t="s">
        <v>419</v>
      </c>
      <c r="F77" s="5"/>
      <c r="G77" s="6">
        <f>G78</f>
        <v>35</v>
      </c>
      <c r="H77" s="6">
        <f>H78</f>
        <v>35</v>
      </c>
      <c r="I77" s="6">
        <f>I78</f>
        <v>35</v>
      </c>
    </row>
    <row r="78" spans="1:17" s="26" customFormat="1" x14ac:dyDescent="0.2">
      <c r="A78" s="28" t="s">
        <v>69</v>
      </c>
      <c r="B78" s="32">
        <v>900</v>
      </c>
      <c r="C78" s="24" t="s">
        <v>16</v>
      </c>
      <c r="D78" s="24" t="s">
        <v>26</v>
      </c>
      <c r="E78" s="19" t="s">
        <v>419</v>
      </c>
      <c r="F78" s="27" t="s">
        <v>70</v>
      </c>
      <c r="G78" s="25">
        <v>35</v>
      </c>
      <c r="H78" s="25">
        <v>35</v>
      </c>
      <c r="I78" s="25">
        <v>35</v>
      </c>
    </row>
    <row r="79" spans="1:17" s="99" customFormat="1" x14ac:dyDescent="0.2">
      <c r="A79" s="98" t="s">
        <v>27</v>
      </c>
      <c r="B79" s="101">
        <v>900</v>
      </c>
      <c r="C79" s="65" t="s">
        <v>18</v>
      </c>
      <c r="D79" s="65"/>
      <c r="E79" s="65"/>
      <c r="F79" s="102"/>
      <c r="G79" s="68">
        <f>G80</f>
        <v>175</v>
      </c>
      <c r="H79" s="68">
        <f t="shared" ref="H79:I79" si="9">H80</f>
        <v>0</v>
      </c>
      <c r="I79" s="68">
        <f t="shared" si="9"/>
        <v>0</v>
      </c>
    </row>
    <row r="80" spans="1:17" s="74" customFormat="1" x14ac:dyDescent="0.2">
      <c r="A80" s="70" t="s">
        <v>29</v>
      </c>
      <c r="B80" s="71">
        <v>900</v>
      </c>
      <c r="C80" s="72" t="s">
        <v>18</v>
      </c>
      <c r="D80" s="72" t="s">
        <v>23</v>
      </c>
      <c r="E80" s="72"/>
      <c r="F80" s="72"/>
      <c r="G80" s="73">
        <f>G81+G83</f>
        <v>175</v>
      </c>
      <c r="H80" s="73">
        <f t="shared" ref="H80:I80" si="10">H81+H83</f>
        <v>0</v>
      </c>
      <c r="I80" s="73">
        <f t="shared" si="10"/>
        <v>0</v>
      </c>
    </row>
    <row r="81" spans="1:9" s="21" customFormat="1" ht="25.5" x14ac:dyDescent="0.2">
      <c r="A81" s="18" t="s">
        <v>167</v>
      </c>
      <c r="B81" s="22">
        <v>900</v>
      </c>
      <c r="C81" s="19" t="s">
        <v>18</v>
      </c>
      <c r="D81" s="19" t="s">
        <v>23</v>
      </c>
      <c r="E81" s="19" t="s">
        <v>166</v>
      </c>
      <c r="F81" s="19"/>
      <c r="G81" s="20">
        <f>G82</f>
        <v>175</v>
      </c>
      <c r="H81" s="20">
        <f>H82</f>
        <v>0</v>
      </c>
      <c r="I81" s="20">
        <f>I82</f>
        <v>0</v>
      </c>
    </row>
    <row r="82" spans="1:9" s="26" customFormat="1" ht="25.5" x14ac:dyDescent="0.2">
      <c r="A82" s="28" t="s">
        <v>76</v>
      </c>
      <c r="B82" s="31">
        <v>900</v>
      </c>
      <c r="C82" s="24" t="s">
        <v>18</v>
      </c>
      <c r="D82" s="24" t="s">
        <v>23</v>
      </c>
      <c r="E82" s="24" t="s">
        <v>166</v>
      </c>
      <c r="F82" s="24" t="s">
        <v>68</v>
      </c>
      <c r="G82" s="25">
        <v>175</v>
      </c>
      <c r="H82" s="25"/>
      <c r="I82" s="25"/>
    </row>
    <row r="83" spans="1:9" ht="25.5" x14ac:dyDescent="0.2">
      <c r="A83" s="75" t="s">
        <v>168</v>
      </c>
      <c r="B83" s="89">
        <v>900</v>
      </c>
      <c r="C83" s="77" t="s">
        <v>18</v>
      </c>
      <c r="D83" s="77" t="s">
        <v>23</v>
      </c>
      <c r="E83" s="77" t="s">
        <v>354</v>
      </c>
      <c r="F83" s="77"/>
      <c r="G83" s="78">
        <f>G84</f>
        <v>0</v>
      </c>
      <c r="H83" s="78">
        <f>H84</f>
        <v>0</v>
      </c>
      <c r="I83" s="78">
        <f>I84</f>
        <v>0</v>
      </c>
    </row>
    <row r="84" spans="1:9" s="84" customFormat="1" x14ac:dyDescent="0.2">
      <c r="A84" s="87" t="s">
        <v>72</v>
      </c>
      <c r="B84" s="85">
        <v>900</v>
      </c>
      <c r="C84" s="82" t="s">
        <v>18</v>
      </c>
      <c r="D84" s="82" t="s">
        <v>23</v>
      </c>
      <c r="E84" s="82" t="s">
        <v>354</v>
      </c>
      <c r="F84" s="83" t="s">
        <v>73</v>
      </c>
      <c r="G84" s="62"/>
      <c r="H84" s="62"/>
      <c r="I84" s="62"/>
    </row>
    <row r="85" spans="1:9" s="99" customFormat="1" x14ac:dyDescent="0.2">
      <c r="A85" s="98" t="s">
        <v>30</v>
      </c>
      <c r="B85" s="64">
        <v>900</v>
      </c>
      <c r="C85" s="65" t="s">
        <v>31</v>
      </c>
      <c r="D85" s="65"/>
      <c r="E85" s="65"/>
      <c r="F85" s="65"/>
      <c r="G85" s="68">
        <f>G86+G99</f>
        <v>28121.4</v>
      </c>
      <c r="H85" s="68">
        <f t="shared" ref="H85:I85" si="11">H86+H99</f>
        <v>24851.3</v>
      </c>
      <c r="I85" s="68">
        <f t="shared" si="11"/>
        <v>0</v>
      </c>
    </row>
    <row r="86" spans="1:9" s="74" customFormat="1" x14ac:dyDescent="0.2">
      <c r="A86" s="70" t="s">
        <v>32</v>
      </c>
      <c r="B86" s="71">
        <v>900</v>
      </c>
      <c r="C86" s="72" t="s">
        <v>31</v>
      </c>
      <c r="D86" s="72" t="s">
        <v>12</v>
      </c>
      <c r="E86" s="72"/>
      <c r="F86" s="72"/>
      <c r="G86" s="73">
        <f>G93+G96+G89+G87+G91</f>
        <v>28121.4</v>
      </c>
      <c r="H86" s="73">
        <f t="shared" ref="H86:I86" si="12">H93+H96+H89+H87</f>
        <v>24851.3</v>
      </c>
      <c r="I86" s="73">
        <f t="shared" si="12"/>
        <v>0</v>
      </c>
    </row>
    <row r="87" spans="1:9" s="21" customFormat="1" ht="25.5" x14ac:dyDescent="0.2">
      <c r="A87" s="18" t="s">
        <v>375</v>
      </c>
      <c r="B87" s="18">
        <v>900</v>
      </c>
      <c r="C87" s="19" t="s">
        <v>31</v>
      </c>
      <c r="D87" s="19" t="s">
        <v>12</v>
      </c>
      <c r="E87" s="19" t="s">
        <v>376</v>
      </c>
      <c r="F87" s="19"/>
      <c r="G87" s="20">
        <f>G88</f>
        <v>0</v>
      </c>
      <c r="H87" s="20">
        <f>H88</f>
        <v>0</v>
      </c>
      <c r="I87" s="20">
        <f>I88</f>
        <v>0</v>
      </c>
    </row>
    <row r="88" spans="1:9" s="26" customFormat="1" ht="25.5" x14ac:dyDescent="0.2">
      <c r="A88" s="28" t="s">
        <v>76</v>
      </c>
      <c r="B88" s="28">
        <v>900</v>
      </c>
      <c r="C88" s="24" t="s">
        <v>31</v>
      </c>
      <c r="D88" s="24" t="s">
        <v>12</v>
      </c>
      <c r="E88" s="24" t="s">
        <v>376</v>
      </c>
      <c r="F88" s="27" t="s">
        <v>68</v>
      </c>
      <c r="G88" s="25"/>
      <c r="H88" s="25"/>
      <c r="I88" s="25"/>
    </row>
    <row r="89" spans="1:9" s="21" customFormat="1" ht="38.25" x14ac:dyDescent="0.2">
      <c r="A89" s="18" t="s">
        <v>402</v>
      </c>
      <c r="B89" s="18">
        <v>900</v>
      </c>
      <c r="C89" s="19" t="s">
        <v>31</v>
      </c>
      <c r="D89" s="19" t="s">
        <v>12</v>
      </c>
      <c r="E89" s="19" t="s">
        <v>378</v>
      </c>
      <c r="F89" s="19"/>
      <c r="G89" s="20">
        <f>G90</f>
        <v>0</v>
      </c>
      <c r="H89" s="20">
        <f>H90</f>
        <v>0</v>
      </c>
      <c r="I89" s="20">
        <f>I90</f>
        <v>0</v>
      </c>
    </row>
    <row r="90" spans="1:9" s="26" customFormat="1" x14ac:dyDescent="0.2">
      <c r="A90" s="28" t="s">
        <v>72</v>
      </c>
      <c r="B90" s="28">
        <v>900</v>
      </c>
      <c r="C90" s="24" t="s">
        <v>31</v>
      </c>
      <c r="D90" s="24" t="s">
        <v>12</v>
      </c>
      <c r="E90" s="24" t="s">
        <v>378</v>
      </c>
      <c r="F90" s="27" t="s">
        <v>73</v>
      </c>
      <c r="G90" s="25"/>
      <c r="H90" s="25"/>
      <c r="I90" s="25"/>
    </row>
    <row r="91" spans="1:9" x14ac:dyDescent="0.2">
      <c r="A91" s="75" t="s">
        <v>400</v>
      </c>
      <c r="B91" s="75">
        <v>900</v>
      </c>
      <c r="C91" s="77" t="s">
        <v>31</v>
      </c>
      <c r="D91" s="77" t="s">
        <v>12</v>
      </c>
      <c r="E91" s="77" t="s">
        <v>401</v>
      </c>
      <c r="F91" s="103"/>
      <c r="G91" s="78">
        <f>G92</f>
        <v>1277</v>
      </c>
      <c r="H91" s="78"/>
      <c r="I91" s="78"/>
    </row>
    <row r="92" spans="1:9" s="84" customFormat="1" ht="25.5" x14ac:dyDescent="0.2">
      <c r="A92" s="87" t="s">
        <v>83</v>
      </c>
      <c r="B92" s="87">
        <v>900</v>
      </c>
      <c r="C92" s="82" t="s">
        <v>31</v>
      </c>
      <c r="D92" s="82" t="s">
        <v>12</v>
      </c>
      <c r="E92" s="82" t="s">
        <v>401</v>
      </c>
      <c r="F92" s="83" t="s">
        <v>71</v>
      </c>
      <c r="G92" s="62">
        <v>1277</v>
      </c>
      <c r="H92" s="62"/>
      <c r="I92" s="62"/>
    </row>
    <row r="93" spans="1:9" x14ac:dyDescent="0.2">
      <c r="A93" s="75" t="s">
        <v>172</v>
      </c>
      <c r="B93" s="76">
        <v>900</v>
      </c>
      <c r="C93" s="77" t="s">
        <v>31</v>
      </c>
      <c r="D93" s="77" t="s">
        <v>12</v>
      </c>
      <c r="E93" s="77" t="s">
        <v>171</v>
      </c>
      <c r="F93" s="77"/>
      <c r="G93" s="78">
        <f>G94+G95</f>
        <v>15580.9</v>
      </c>
      <c r="H93" s="78">
        <f t="shared" ref="H93:I93" si="13">H94+H95</f>
        <v>24851.3</v>
      </c>
      <c r="I93" s="78">
        <f t="shared" si="13"/>
        <v>0</v>
      </c>
    </row>
    <row r="94" spans="1:9" s="84" customFormat="1" ht="25.5" x14ac:dyDescent="0.2">
      <c r="A94" s="87" t="s">
        <v>76</v>
      </c>
      <c r="B94" s="81">
        <v>900</v>
      </c>
      <c r="C94" s="82" t="s">
        <v>31</v>
      </c>
      <c r="D94" s="82" t="s">
        <v>12</v>
      </c>
      <c r="E94" s="82" t="s">
        <v>171</v>
      </c>
      <c r="F94" s="83" t="s">
        <v>68</v>
      </c>
      <c r="G94" s="62">
        <v>15180.9</v>
      </c>
      <c r="H94" s="62"/>
      <c r="I94" s="62"/>
    </row>
    <row r="95" spans="1:9" s="84" customFormat="1" ht="23.25" customHeight="1" x14ac:dyDescent="0.2">
      <c r="A95" s="87" t="s">
        <v>83</v>
      </c>
      <c r="B95" s="86">
        <v>900</v>
      </c>
      <c r="C95" s="82" t="s">
        <v>31</v>
      </c>
      <c r="D95" s="82" t="s">
        <v>12</v>
      </c>
      <c r="E95" s="82" t="s">
        <v>171</v>
      </c>
      <c r="F95" s="82" t="s">
        <v>71</v>
      </c>
      <c r="G95" s="62">
        <v>400</v>
      </c>
      <c r="H95" s="62">
        <v>24851.3</v>
      </c>
      <c r="I95" s="62"/>
    </row>
    <row r="96" spans="1:9" x14ac:dyDescent="0.2">
      <c r="A96" s="75" t="s">
        <v>174</v>
      </c>
      <c r="B96" s="76">
        <v>900</v>
      </c>
      <c r="C96" s="77" t="s">
        <v>31</v>
      </c>
      <c r="D96" s="77" t="s">
        <v>12</v>
      </c>
      <c r="E96" s="82" t="s">
        <v>173</v>
      </c>
      <c r="F96" s="77"/>
      <c r="G96" s="78">
        <f>G98+G97</f>
        <v>11263.5</v>
      </c>
      <c r="H96" s="78">
        <f t="shared" ref="H96:I96" si="14">H98+H97</f>
        <v>0</v>
      </c>
      <c r="I96" s="78">
        <f t="shared" si="14"/>
        <v>0</v>
      </c>
    </row>
    <row r="97" spans="1:17" s="26" customFormat="1" ht="25.5" x14ac:dyDescent="0.2">
      <c r="A97" s="28" t="s">
        <v>76</v>
      </c>
      <c r="B97" s="22">
        <v>900</v>
      </c>
      <c r="C97" s="19" t="s">
        <v>31</v>
      </c>
      <c r="D97" s="19" t="s">
        <v>12</v>
      </c>
      <c r="E97" s="24" t="s">
        <v>173</v>
      </c>
      <c r="F97" s="24" t="s">
        <v>68</v>
      </c>
      <c r="G97" s="25">
        <v>10900</v>
      </c>
      <c r="H97" s="25"/>
      <c r="I97" s="25"/>
      <c r="J97" s="84"/>
      <c r="K97" s="84"/>
      <c r="L97" s="84"/>
      <c r="M97" s="84"/>
      <c r="N97" s="84"/>
      <c r="O97" s="84"/>
      <c r="P97" s="84"/>
      <c r="Q97" s="84"/>
    </row>
    <row r="98" spans="1:17" s="26" customFormat="1" ht="25.5" x14ac:dyDescent="0.2">
      <c r="A98" s="28" t="s">
        <v>83</v>
      </c>
      <c r="B98" s="22">
        <v>900</v>
      </c>
      <c r="C98" s="19" t="s">
        <v>31</v>
      </c>
      <c r="D98" s="19" t="s">
        <v>12</v>
      </c>
      <c r="E98" s="24" t="s">
        <v>173</v>
      </c>
      <c r="F98" s="24" t="s">
        <v>71</v>
      </c>
      <c r="G98" s="25">
        <v>363.5</v>
      </c>
      <c r="H98" s="25"/>
      <c r="I98" s="25"/>
      <c r="J98" s="84"/>
      <c r="K98" s="84"/>
      <c r="L98" s="84"/>
      <c r="M98" s="84"/>
      <c r="N98" s="84"/>
      <c r="O98" s="84"/>
      <c r="P98" s="84"/>
      <c r="Q98" s="84"/>
    </row>
    <row r="99" spans="1:17" s="9" customFormat="1" x14ac:dyDescent="0.2">
      <c r="A99" s="11" t="s">
        <v>33</v>
      </c>
      <c r="B99" s="14">
        <v>900</v>
      </c>
      <c r="C99" s="8" t="s">
        <v>31</v>
      </c>
      <c r="D99" s="8" t="s">
        <v>14</v>
      </c>
      <c r="E99" s="8"/>
      <c r="F99" s="8"/>
      <c r="G99" s="4">
        <f>G100+G102</f>
        <v>0</v>
      </c>
      <c r="H99" s="4">
        <f t="shared" ref="H99:I99" si="15">H100+H102</f>
        <v>0</v>
      </c>
      <c r="I99" s="4">
        <f t="shared" si="15"/>
        <v>0</v>
      </c>
    </row>
    <row r="100" spans="1:17" s="7" customFormat="1" ht="25.5" x14ac:dyDescent="0.2">
      <c r="A100" s="17" t="s">
        <v>297</v>
      </c>
      <c r="B100" s="43">
        <v>900</v>
      </c>
      <c r="C100" s="19" t="s">
        <v>31</v>
      </c>
      <c r="D100" s="19" t="s">
        <v>14</v>
      </c>
      <c r="E100" s="19" t="s">
        <v>296</v>
      </c>
      <c r="F100" s="19"/>
      <c r="G100" s="20">
        <f>G101</f>
        <v>0</v>
      </c>
      <c r="H100" s="20">
        <f t="shared" ref="H100:I100" si="16">H101</f>
        <v>0</v>
      </c>
      <c r="I100" s="20">
        <f t="shared" si="16"/>
        <v>0</v>
      </c>
    </row>
    <row r="101" spans="1:17" s="7" customFormat="1" x14ac:dyDescent="0.2">
      <c r="A101" s="28" t="s">
        <v>72</v>
      </c>
      <c r="B101" s="31">
        <v>900</v>
      </c>
      <c r="C101" s="24" t="s">
        <v>31</v>
      </c>
      <c r="D101" s="24" t="s">
        <v>14</v>
      </c>
      <c r="E101" s="24" t="s">
        <v>296</v>
      </c>
      <c r="F101" s="24" t="s">
        <v>73</v>
      </c>
      <c r="G101" s="25"/>
      <c r="H101" s="25"/>
      <c r="I101" s="25"/>
    </row>
    <row r="102" spans="1:17" s="7" customFormat="1" x14ac:dyDescent="0.2">
      <c r="A102" s="17" t="s">
        <v>381</v>
      </c>
      <c r="B102" s="43">
        <v>900</v>
      </c>
      <c r="C102" s="19" t="s">
        <v>31</v>
      </c>
      <c r="D102" s="19" t="s">
        <v>14</v>
      </c>
      <c r="E102" s="19" t="s">
        <v>382</v>
      </c>
      <c r="F102" s="19"/>
      <c r="G102" s="20">
        <f>G103</f>
        <v>0</v>
      </c>
      <c r="H102" s="20">
        <f t="shared" ref="H102:I102" si="17">H103</f>
        <v>0</v>
      </c>
      <c r="I102" s="20">
        <f t="shared" si="17"/>
        <v>0</v>
      </c>
    </row>
    <row r="103" spans="1:17" s="7" customFormat="1" x14ac:dyDescent="0.2">
      <c r="A103" s="28" t="s">
        <v>72</v>
      </c>
      <c r="B103" s="31">
        <v>900</v>
      </c>
      <c r="C103" s="24" t="s">
        <v>31</v>
      </c>
      <c r="D103" s="24" t="s">
        <v>14</v>
      </c>
      <c r="E103" s="24" t="s">
        <v>382</v>
      </c>
      <c r="F103" s="24" t="s">
        <v>73</v>
      </c>
      <c r="G103" s="25"/>
      <c r="H103" s="25"/>
      <c r="I103" s="25"/>
    </row>
    <row r="104" spans="1:17" s="3" customFormat="1" x14ac:dyDescent="0.2">
      <c r="A104" s="13" t="s">
        <v>37</v>
      </c>
      <c r="B104" s="42">
        <v>900</v>
      </c>
      <c r="C104" s="1" t="s">
        <v>19</v>
      </c>
      <c r="D104" s="1"/>
      <c r="E104" s="1"/>
      <c r="F104" s="1"/>
      <c r="G104" s="2">
        <f t="shared" ref="G104:I106" si="18">G105</f>
        <v>116.7</v>
      </c>
      <c r="H104" s="2">
        <f t="shared" si="18"/>
        <v>116.7</v>
      </c>
      <c r="I104" s="2">
        <f t="shared" si="18"/>
        <v>116.7</v>
      </c>
    </row>
    <row r="105" spans="1:17" s="9" customFormat="1" x14ac:dyDescent="0.2">
      <c r="A105" s="11" t="s">
        <v>40</v>
      </c>
      <c r="B105" s="14">
        <v>900</v>
      </c>
      <c r="C105" s="8" t="s">
        <v>19</v>
      </c>
      <c r="D105" s="8" t="s">
        <v>19</v>
      </c>
      <c r="E105" s="8"/>
      <c r="F105" s="8"/>
      <c r="G105" s="4">
        <f t="shared" si="18"/>
        <v>116.7</v>
      </c>
      <c r="H105" s="4">
        <f t="shared" si="18"/>
        <v>116.7</v>
      </c>
      <c r="I105" s="4">
        <f t="shared" si="18"/>
        <v>116.7</v>
      </c>
    </row>
    <row r="106" spans="1:17" s="21" customFormat="1" ht="25.5" x14ac:dyDescent="0.2">
      <c r="A106" s="18" t="s">
        <v>176</v>
      </c>
      <c r="B106" s="22">
        <v>900</v>
      </c>
      <c r="C106" s="19" t="s">
        <v>19</v>
      </c>
      <c r="D106" s="19" t="s">
        <v>19</v>
      </c>
      <c r="E106" s="19" t="s">
        <v>175</v>
      </c>
      <c r="F106" s="19"/>
      <c r="G106" s="20">
        <f>G107</f>
        <v>116.7</v>
      </c>
      <c r="H106" s="20">
        <f t="shared" si="18"/>
        <v>116.7</v>
      </c>
      <c r="I106" s="20">
        <f t="shared" si="18"/>
        <v>116.7</v>
      </c>
    </row>
    <row r="107" spans="1:17" s="26" customFormat="1" ht="25.5" x14ac:dyDescent="0.2">
      <c r="A107" s="28" t="s">
        <v>76</v>
      </c>
      <c r="B107" s="31">
        <v>900</v>
      </c>
      <c r="C107" s="24" t="s">
        <v>19</v>
      </c>
      <c r="D107" s="24" t="s">
        <v>19</v>
      </c>
      <c r="E107" s="24" t="s">
        <v>175</v>
      </c>
      <c r="F107" s="27" t="s">
        <v>68</v>
      </c>
      <c r="G107" s="25">
        <v>116.7</v>
      </c>
      <c r="H107" s="25">
        <v>116.7</v>
      </c>
      <c r="I107" s="25">
        <v>116.7</v>
      </c>
    </row>
    <row r="108" spans="1:17" s="99" customFormat="1" x14ac:dyDescent="0.2">
      <c r="A108" s="98" t="s">
        <v>52</v>
      </c>
      <c r="B108" s="64">
        <v>900</v>
      </c>
      <c r="C108" s="65" t="s">
        <v>51</v>
      </c>
      <c r="D108" s="65"/>
      <c r="E108" s="65"/>
      <c r="F108" s="65"/>
      <c r="G108" s="68">
        <f>G109+G126</f>
        <v>298625.5</v>
      </c>
      <c r="H108" s="68">
        <f>H109+H126</f>
        <v>365785.9</v>
      </c>
      <c r="I108" s="68">
        <f>I109+I126</f>
        <v>296129.7</v>
      </c>
    </row>
    <row r="109" spans="1:17" s="74" customFormat="1" x14ac:dyDescent="0.2">
      <c r="A109" s="70" t="s">
        <v>55</v>
      </c>
      <c r="B109" s="71">
        <v>900</v>
      </c>
      <c r="C109" s="72" t="s">
        <v>51</v>
      </c>
      <c r="D109" s="72" t="s">
        <v>16</v>
      </c>
      <c r="E109" s="72"/>
      <c r="F109" s="72"/>
      <c r="G109" s="73">
        <f>G114+G122+G110+G118+G124+G116+G112</f>
        <v>298511.3</v>
      </c>
      <c r="H109" s="73">
        <f>H114+H122+H110+H118+H124+H116+H112</f>
        <v>365671.7</v>
      </c>
      <c r="I109" s="73">
        <f>I114+I122+I110+I118+I124+I116+I112</f>
        <v>296015.5</v>
      </c>
    </row>
    <row r="110" spans="1:17" s="117" customFormat="1" ht="52.5" customHeight="1" x14ac:dyDescent="0.2">
      <c r="A110" s="228" t="s">
        <v>373</v>
      </c>
      <c r="B110" s="228">
        <v>900</v>
      </c>
      <c r="C110" s="230" t="s">
        <v>51</v>
      </c>
      <c r="D110" s="230" t="s">
        <v>16</v>
      </c>
      <c r="E110" s="230" t="s">
        <v>372</v>
      </c>
      <c r="F110" s="230"/>
      <c r="G110" s="231">
        <f>G111</f>
        <v>1329.3999999999999</v>
      </c>
      <c r="H110" s="231">
        <f>H111</f>
        <v>1330</v>
      </c>
      <c r="I110" s="231">
        <f>I111</f>
        <v>701.7</v>
      </c>
    </row>
    <row r="111" spans="1:17" s="117" customFormat="1" ht="25.5" x14ac:dyDescent="0.2">
      <c r="A111" s="224" t="s">
        <v>83</v>
      </c>
      <c r="B111" s="224">
        <v>900</v>
      </c>
      <c r="C111" s="225" t="s">
        <v>51</v>
      </c>
      <c r="D111" s="225" t="s">
        <v>16</v>
      </c>
      <c r="E111" s="225" t="s">
        <v>372</v>
      </c>
      <c r="F111" s="225" t="s">
        <v>71</v>
      </c>
      <c r="G111" s="226">
        <f>1495.3-166+0.1</f>
        <v>1329.3999999999999</v>
      </c>
      <c r="H111" s="226">
        <f>1508.9-178.9</f>
        <v>1330</v>
      </c>
      <c r="I111" s="226">
        <f>897-195.3</f>
        <v>701.7</v>
      </c>
    </row>
    <row r="112" spans="1:17" s="21" customFormat="1" ht="89.25" x14ac:dyDescent="0.2">
      <c r="A112" s="18" t="s">
        <v>414</v>
      </c>
      <c r="B112" s="22">
        <v>900</v>
      </c>
      <c r="C112" s="19" t="s">
        <v>51</v>
      </c>
      <c r="D112" s="19" t="s">
        <v>16</v>
      </c>
      <c r="E112" s="19" t="s">
        <v>413</v>
      </c>
      <c r="F112" s="19"/>
      <c r="G112" s="20">
        <f>G113</f>
        <v>1478.8000000000002</v>
      </c>
      <c r="H112" s="20">
        <f t="shared" ref="H112:I112" si="19">H113</f>
        <v>0</v>
      </c>
      <c r="I112" s="20">
        <f t="shared" si="19"/>
        <v>0</v>
      </c>
    </row>
    <row r="113" spans="1:9" s="21" customFormat="1" x14ac:dyDescent="0.2">
      <c r="A113" s="59" t="s">
        <v>69</v>
      </c>
      <c r="B113" s="28">
        <v>900</v>
      </c>
      <c r="C113" s="24" t="s">
        <v>51</v>
      </c>
      <c r="D113" s="24" t="s">
        <v>16</v>
      </c>
      <c r="E113" s="24" t="s">
        <v>413</v>
      </c>
      <c r="F113" s="24" t="s">
        <v>70</v>
      </c>
      <c r="G113" s="20">
        <f>1454.4+24.4</f>
        <v>1478.8000000000002</v>
      </c>
      <c r="H113" s="20"/>
      <c r="I113" s="20"/>
    </row>
    <row r="114" spans="1:9" s="117" customFormat="1" ht="63.75" x14ac:dyDescent="0.2">
      <c r="A114" s="228" t="s">
        <v>179</v>
      </c>
      <c r="B114" s="229">
        <v>900</v>
      </c>
      <c r="C114" s="230" t="s">
        <v>51</v>
      </c>
      <c r="D114" s="230" t="s">
        <v>16</v>
      </c>
      <c r="E114" s="230" t="s">
        <v>89</v>
      </c>
      <c r="F114" s="230"/>
      <c r="G114" s="231">
        <f>G115</f>
        <v>3773.7</v>
      </c>
      <c r="H114" s="231">
        <f t="shared" ref="H114:I114" si="20">H115</f>
        <v>2527.5</v>
      </c>
      <c r="I114" s="231">
        <f t="shared" si="20"/>
        <v>1262.5</v>
      </c>
    </row>
    <row r="115" spans="1:9" s="117" customFormat="1" x14ac:dyDescent="0.2">
      <c r="A115" s="233" t="s">
        <v>69</v>
      </c>
      <c r="B115" s="224">
        <v>900</v>
      </c>
      <c r="C115" s="225" t="s">
        <v>51</v>
      </c>
      <c r="D115" s="225" t="s">
        <v>16</v>
      </c>
      <c r="E115" s="225" t="s">
        <v>89</v>
      </c>
      <c r="F115" s="225" t="s">
        <v>70</v>
      </c>
      <c r="G115" s="231">
        <f>4085.5-297.4-14.4</f>
        <v>3773.7</v>
      </c>
      <c r="H115" s="231">
        <f>2875.7-348.2</f>
        <v>2527.5</v>
      </c>
      <c r="I115" s="231">
        <f>1551.7-289.2</f>
        <v>1262.5</v>
      </c>
    </row>
    <row r="116" spans="1:9" s="117" customFormat="1" ht="25.5" x14ac:dyDescent="0.2">
      <c r="A116" s="228" t="s">
        <v>351</v>
      </c>
      <c r="B116" s="229">
        <v>900</v>
      </c>
      <c r="C116" s="230" t="s">
        <v>51</v>
      </c>
      <c r="D116" s="230" t="s">
        <v>16</v>
      </c>
      <c r="E116" s="230" t="s">
        <v>350</v>
      </c>
      <c r="F116" s="230"/>
      <c r="G116" s="231">
        <f>G117</f>
        <v>25414.9</v>
      </c>
      <c r="H116" s="231">
        <f>H117</f>
        <v>21142.799999999999</v>
      </c>
      <c r="I116" s="231">
        <f>I117</f>
        <v>21142.799999999999</v>
      </c>
    </row>
    <row r="117" spans="1:9" s="118" customFormat="1" ht="25.5" x14ac:dyDescent="0.2">
      <c r="A117" s="224" t="s">
        <v>83</v>
      </c>
      <c r="B117" s="224">
        <v>900</v>
      </c>
      <c r="C117" s="225" t="s">
        <v>51</v>
      </c>
      <c r="D117" s="225" t="s">
        <v>16</v>
      </c>
      <c r="E117" s="225" t="s">
        <v>350</v>
      </c>
      <c r="F117" s="225" t="s">
        <v>71</v>
      </c>
      <c r="G117" s="226">
        <f>21142.8-7097.8+11369.9</f>
        <v>25414.9</v>
      </c>
      <c r="H117" s="226">
        <v>21142.799999999999</v>
      </c>
      <c r="I117" s="226">
        <v>21142.799999999999</v>
      </c>
    </row>
    <row r="118" spans="1:9" s="21" customFormat="1" ht="38.25" x14ac:dyDescent="0.2">
      <c r="A118" s="18" t="s">
        <v>341</v>
      </c>
      <c r="B118" s="22">
        <v>900</v>
      </c>
      <c r="C118" s="19" t="s">
        <v>51</v>
      </c>
      <c r="D118" s="19" t="s">
        <v>16</v>
      </c>
      <c r="E118" s="19" t="s">
        <v>170</v>
      </c>
      <c r="F118" s="19"/>
      <c r="G118" s="20">
        <f>G119</f>
        <v>1589.9</v>
      </c>
      <c r="H118" s="20">
        <f>H119</f>
        <v>0</v>
      </c>
      <c r="I118" s="20">
        <f>I119</f>
        <v>0</v>
      </c>
    </row>
    <row r="119" spans="1:9" s="26" customFormat="1" ht="25.5" x14ac:dyDescent="0.2">
      <c r="A119" s="28" t="s">
        <v>83</v>
      </c>
      <c r="B119" s="31">
        <v>900</v>
      </c>
      <c r="C119" s="24" t="s">
        <v>51</v>
      </c>
      <c r="D119" s="24" t="s">
        <v>16</v>
      </c>
      <c r="E119" s="24" t="s">
        <v>170</v>
      </c>
      <c r="F119" s="24" t="s">
        <v>71</v>
      </c>
      <c r="G119" s="25">
        <v>1589.9</v>
      </c>
      <c r="H119" s="25"/>
      <c r="I119" s="25"/>
    </row>
    <row r="120" spans="1:9" s="21" customFormat="1" ht="38.25" x14ac:dyDescent="0.2">
      <c r="A120" s="18" t="s">
        <v>339</v>
      </c>
      <c r="B120" s="22">
        <v>900</v>
      </c>
      <c r="C120" s="19" t="s">
        <v>51</v>
      </c>
      <c r="D120" s="19" t="s">
        <v>16</v>
      </c>
      <c r="E120" s="19" t="s">
        <v>134</v>
      </c>
      <c r="F120" s="19"/>
      <c r="G120" s="20">
        <f>G121</f>
        <v>0</v>
      </c>
      <c r="H120" s="20">
        <f>H121</f>
        <v>0</v>
      </c>
      <c r="I120" s="20">
        <f>I121</f>
        <v>0</v>
      </c>
    </row>
    <row r="121" spans="1:9" s="26" customFormat="1" x14ac:dyDescent="0.2">
      <c r="A121" s="59" t="s">
        <v>69</v>
      </c>
      <c r="B121" s="31">
        <v>900</v>
      </c>
      <c r="C121" s="24" t="s">
        <v>51</v>
      </c>
      <c r="D121" s="24" t="s">
        <v>16</v>
      </c>
      <c r="E121" s="24" t="s">
        <v>134</v>
      </c>
      <c r="F121" s="29">
        <v>300</v>
      </c>
      <c r="G121" s="25"/>
      <c r="H121" s="25"/>
      <c r="I121" s="25"/>
    </row>
    <row r="122" spans="1:9" ht="25.5" x14ac:dyDescent="0.2">
      <c r="A122" s="75" t="s">
        <v>386</v>
      </c>
      <c r="B122" s="76">
        <v>900</v>
      </c>
      <c r="C122" s="77" t="s">
        <v>51</v>
      </c>
      <c r="D122" s="77" t="s">
        <v>16</v>
      </c>
      <c r="E122" s="77" t="s">
        <v>385</v>
      </c>
      <c r="F122" s="77"/>
      <c r="G122" s="78">
        <f>G123</f>
        <v>1966.3</v>
      </c>
      <c r="H122" s="78">
        <f>H123</f>
        <v>0</v>
      </c>
      <c r="I122" s="78">
        <f>I123</f>
        <v>0</v>
      </c>
    </row>
    <row r="123" spans="1:9" s="84" customFormat="1" x14ac:dyDescent="0.2">
      <c r="A123" s="104" t="s">
        <v>69</v>
      </c>
      <c r="B123" s="86">
        <v>900</v>
      </c>
      <c r="C123" s="82" t="s">
        <v>51</v>
      </c>
      <c r="D123" s="82" t="s">
        <v>16</v>
      </c>
      <c r="E123" s="82" t="s">
        <v>385</v>
      </c>
      <c r="F123" s="105">
        <v>300</v>
      </c>
      <c r="G123" s="62">
        <v>1966.3</v>
      </c>
      <c r="H123" s="62"/>
      <c r="I123" s="62"/>
    </row>
    <row r="124" spans="1:9" ht="25.5" x14ac:dyDescent="0.2">
      <c r="A124" s="75" t="s">
        <v>169</v>
      </c>
      <c r="B124" s="76">
        <v>900</v>
      </c>
      <c r="C124" s="77" t="s">
        <v>51</v>
      </c>
      <c r="D124" s="77" t="s">
        <v>16</v>
      </c>
      <c r="E124" s="77" t="s">
        <v>90</v>
      </c>
      <c r="F124" s="77"/>
      <c r="G124" s="78">
        <f t="shared" ref="G124:I124" si="21">G125</f>
        <v>262958.3</v>
      </c>
      <c r="H124" s="78">
        <f t="shared" si="21"/>
        <v>340671.4</v>
      </c>
      <c r="I124" s="78">
        <f t="shared" si="21"/>
        <v>272908.5</v>
      </c>
    </row>
    <row r="125" spans="1:9" s="84" customFormat="1" x14ac:dyDescent="0.2">
      <c r="A125" s="87" t="s">
        <v>69</v>
      </c>
      <c r="B125" s="86">
        <v>900</v>
      </c>
      <c r="C125" s="82" t="s">
        <v>51</v>
      </c>
      <c r="D125" s="82" t="s">
        <v>16</v>
      </c>
      <c r="E125" s="82" t="s">
        <v>90</v>
      </c>
      <c r="F125" s="82" t="s">
        <v>70</v>
      </c>
      <c r="G125" s="62">
        <v>262958.3</v>
      </c>
      <c r="H125" s="62">
        <v>340671.4</v>
      </c>
      <c r="I125" s="62">
        <v>272908.5</v>
      </c>
    </row>
    <row r="126" spans="1:9" s="9" customFormat="1" x14ac:dyDescent="0.2">
      <c r="A126" s="11" t="s">
        <v>57</v>
      </c>
      <c r="B126" s="14">
        <v>900</v>
      </c>
      <c r="C126" s="8" t="s">
        <v>51</v>
      </c>
      <c r="D126" s="8" t="s">
        <v>50</v>
      </c>
      <c r="E126" s="8"/>
      <c r="F126" s="8"/>
      <c r="G126" s="4">
        <f>G127+G130</f>
        <v>114.19999999999999</v>
      </c>
      <c r="H126" s="4">
        <f t="shared" ref="H126:I126" si="22">H127+H130</f>
        <v>114.19999999999999</v>
      </c>
      <c r="I126" s="4">
        <f t="shared" si="22"/>
        <v>114.19999999999999</v>
      </c>
    </row>
    <row r="127" spans="1:9" s="21" customFormat="1" x14ac:dyDescent="0.2">
      <c r="A127" s="18" t="s">
        <v>185</v>
      </c>
      <c r="B127" s="22">
        <v>900</v>
      </c>
      <c r="C127" s="19" t="s">
        <v>51</v>
      </c>
      <c r="D127" s="19" t="s">
        <v>50</v>
      </c>
      <c r="E127" s="19" t="s">
        <v>184</v>
      </c>
      <c r="F127" s="19"/>
      <c r="G127" s="20">
        <f>G129+G128</f>
        <v>114.19999999999999</v>
      </c>
      <c r="H127" s="20">
        <f>H129+H128</f>
        <v>114.19999999999999</v>
      </c>
      <c r="I127" s="20">
        <f>I129+I128</f>
        <v>114.19999999999999</v>
      </c>
    </row>
    <row r="128" spans="1:9" s="26" customFormat="1" ht="25.5" x14ac:dyDescent="0.2">
      <c r="A128" s="28" t="s">
        <v>76</v>
      </c>
      <c r="B128" s="23">
        <v>900</v>
      </c>
      <c r="C128" s="24" t="s">
        <v>51</v>
      </c>
      <c r="D128" s="24" t="s">
        <v>50</v>
      </c>
      <c r="E128" s="24" t="s">
        <v>184</v>
      </c>
      <c r="F128" s="27" t="s">
        <v>68</v>
      </c>
      <c r="G128" s="25">
        <v>0.6</v>
      </c>
      <c r="H128" s="25">
        <v>0.6</v>
      </c>
      <c r="I128" s="25">
        <v>0.6</v>
      </c>
    </row>
    <row r="129" spans="1:9" s="26" customFormat="1" x14ac:dyDescent="0.2">
      <c r="A129" s="28" t="s">
        <v>69</v>
      </c>
      <c r="B129" s="31">
        <v>900</v>
      </c>
      <c r="C129" s="24" t="s">
        <v>51</v>
      </c>
      <c r="D129" s="24" t="s">
        <v>50</v>
      </c>
      <c r="E129" s="24" t="s">
        <v>184</v>
      </c>
      <c r="F129" s="24" t="s">
        <v>70</v>
      </c>
      <c r="G129" s="25">
        <v>113.6</v>
      </c>
      <c r="H129" s="25">
        <v>113.6</v>
      </c>
      <c r="I129" s="25">
        <v>113.6</v>
      </c>
    </row>
    <row r="130" spans="1:9" s="21" customFormat="1" x14ac:dyDescent="0.2">
      <c r="A130" s="18" t="s">
        <v>177</v>
      </c>
      <c r="B130" s="22">
        <v>900</v>
      </c>
      <c r="C130" s="19" t="s">
        <v>51</v>
      </c>
      <c r="D130" s="19" t="s">
        <v>50</v>
      </c>
      <c r="E130" s="19" t="s">
        <v>178</v>
      </c>
      <c r="F130" s="19"/>
      <c r="G130" s="20">
        <f>G131</f>
        <v>0</v>
      </c>
      <c r="H130" s="20">
        <f>H131</f>
        <v>0</v>
      </c>
      <c r="I130" s="20">
        <f>I131</f>
        <v>0</v>
      </c>
    </row>
    <row r="131" spans="1:9" s="26" customFormat="1" ht="25.5" x14ac:dyDescent="0.2">
      <c r="A131" s="28" t="s">
        <v>83</v>
      </c>
      <c r="B131" s="31">
        <v>900</v>
      </c>
      <c r="C131" s="24" t="s">
        <v>51</v>
      </c>
      <c r="D131" s="24" t="s">
        <v>50</v>
      </c>
      <c r="E131" s="24" t="s">
        <v>178</v>
      </c>
      <c r="F131" s="24" t="s">
        <v>71</v>
      </c>
      <c r="G131" s="25"/>
      <c r="H131" s="25"/>
      <c r="I131" s="25"/>
    </row>
    <row r="132" spans="1:9" s="3" customFormat="1" ht="25.5" x14ac:dyDescent="0.2">
      <c r="A132" s="13" t="s">
        <v>20</v>
      </c>
      <c r="B132" s="42">
        <v>900</v>
      </c>
      <c r="C132" s="1" t="s">
        <v>61</v>
      </c>
      <c r="D132" s="1"/>
      <c r="E132" s="1"/>
      <c r="F132" s="1"/>
      <c r="G132" s="2">
        <f t="shared" ref="G132:I134" si="23">G133</f>
        <v>3503.9</v>
      </c>
      <c r="H132" s="2">
        <f t="shared" si="23"/>
        <v>3503.9</v>
      </c>
      <c r="I132" s="2">
        <f t="shared" si="23"/>
        <v>3503.9</v>
      </c>
    </row>
    <row r="133" spans="1:9" s="9" customFormat="1" ht="25.5" x14ac:dyDescent="0.2">
      <c r="A133" s="11" t="s">
        <v>3</v>
      </c>
      <c r="B133" s="14">
        <v>900</v>
      </c>
      <c r="C133" s="8" t="s">
        <v>61</v>
      </c>
      <c r="D133" s="8" t="s">
        <v>12</v>
      </c>
      <c r="E133" s="8"/>
      <c r="F133" s="8"/>
      <c r="G133" s="4">
        <f t="shared" si="23"/>
        <v>3503.9</v>
      </c>
      <c r="H133" s="4">
        <f t="shared" si="23"/>
        <v>3503.9</v>
      </c>
      <c r="I133" s="4">
        <f t="shared" si="23"/>
        <v>3503.9</v>
      </c>
    </row>
    <row r="134" spans="1:9" s="21" customFormat="1" ht="25.5" x14ac:dyDescent="0.2">
      <c r="A134" s="18" t="s">
        <v>187</v>
      </c>
      <c r="B134" s="22">
        <v>900</v>
      </c>
      <c r="C134" s="19" t="s">
        <v>61</v>
      </c>
      <c r="D134" s="19" t="s">
        <v>12</v>
      </c>
      <c r="E134" s="19" t="s">
        <v>186</v>
      </c>
      <c r="F134" s="19"/>
      <c r="G134" s="20">
        <f t="shared" si="23"/>
        <v>3503.9</v>
      </c>
      <c r="H134" s="20">
        <f t="shared" si="23"/>
        <v>3503.9</v>
      </c>
      <c r="I134" s="20">
        <f t="shared" si="23"/>
        <v>3503.9</v>
      </c>
    </row>
    <row r="135" spans="1:9" s="26" customFormat="1" x14ac:dyDescent="0.2">
      <c r="A135" s="28" t="s">
        <v>74</v>
      </c>
      <c r="B135" s="31">
        <v>900</v>
      </c>
      <c r="C135" s="24" t="s">
        <v>61</v>
      </c>
      <c r="D135" s="24" t="s">
        <v>12</v>
      </c>
      <c r="E135" s="19" t="s">
        <v>186</v>
      </c>
      <c r="F135" s="24" t="s">
        <v>75</v>
      </c>
      <c r="G135" s="25">
        <v>3503.9</v>
      </c>
      <c r="H135" s="25">
        <v>3503.9</v>
      </c>
      <c r="I135" s="25">
        <v>3503.9</v>
      </c>
    </row>
    <row r="136" spans="1:9" s="21" customFormat="1" x14ac:dyDescent="0.2">
      <c r="A136" s="18" t="s">
        <v>363</v>
      </c>
      <c r="B136" s="22">
        <v>900</v>
      </c>
      <c r="C136" s="19" t="s">
        <v>364</v>
      </c>
      <c r="D136" s="19"/>
      <c r="E136" s="19"/>
      <c r="F136" s="19"/>
      <c r="G136" s="20"/>
      <c r="H136" s="20">
        <f t="shared" ref="H136:I138" si="24">H137</f>
        <v>22381</v>
      </c>
      <c r="I136" s="20">
        <f t="shared" si="24"/>
        <v>35474.9</v>
      </c>
    </row>
    <row r="137" spans="1:9" s="21" customFormat="1" x14ac:dyDescent="0.2">
      <c r="A137" s="18" t="s">
        <v>363</v>
      </c>
      <c r="B137" s="22">
        <v>900</v>
      </c>
      <c r="C137" s="19" t="s">
        <v>364</v>
      </c>
      <c r="D137" s="16" t="s">
        <v>364</v>
      </c>
      <c r="E137" s="19"/>
      <c r="F137" s="19"/>
      <c r="G137" s="20"/>
      <c r="H137" s="20">
        <f t="shared" si="24"/>
        <v>22381</v>
      </c>
      <c r="I137" s="20">
        <f t="shared" si="24"/>
        <v>35474.9</v>
      </c>
    </row>
    <row r="138" spans="1:9" s="21" customFormat="1" x14ac:dyDescent="0.2">
      <c r="A138" s="18" t="s">
        <v>363</v>
      </c>
      <c r="B138" s="22">
        <v>900</v>
      </c>
      <c r="C138" s="19" t="s">
        <v>364</v>
      </c>
      <c r="D138" s="19" t="s">
        <v>364</v>
      </c>
      <c r="E138" s="19" t="s">
        <v>365</v>
      </c>
      <c r="F138" s="19"/>
      <c r="G138" s="20"/>
      <c r="H138" s="20">
        <f t="shared" si="24"/>
        <v>22381</v>
      </c>
      <c r="I138" s="20">
        <f t="shared" si="24"/>
        <v>35474.9</v>
      </c>
    </row>
    <row r="139" spans="1:9" s="26" customFormat="1" x14ac:dyDescent="0.2">
      <c r="A139" s="28" t="s">
        <v>363</v>
      </c>
      <c r="B139" s="31">
        <v>900</v>
      </c>
      <c r="C139" s="24" t="s">
        <v>364</v>
      </c>
      <c r="D139" s="24" t="s">
        <v>364</v>
      </c>
      <c r="E139" s="19" t="s">
        <v>365</v>
      </c>
      <c r="F139" s="24" t="s">
        <v>73</v>
      </c>
      <c r="G139" s="25"/>
      <c r="H139" s="25">
        <f>21851+530</f>
        <v>22381</v>
      </c>
      <c r="I139" s="25">
        <f>36808.5-1333.6</f>
        <v>35474.9</v>
      </c>
    </row>
    <row r="140" spans="1:9" s="9" customFormat="1" ht="38.25" x14ac:dyDescent="0.2">
      <c r="A140" s="40" t="s">
        <v>34</v>
      </c>
      <c r="B140" s="37">
        <v>904</v>
      </c>
      <c r="C140" s="41"/>
      <c r="D140" s="41"/>
      <c r="E140" s="41"/>
      <c r="F140" s="41"/>
      <c r="G140" s="39">
        <f>G141</f>
        <v>69498.5</v>
      </c>
      <c r="H140" s="39">
        <f t="shared" ref="H140:I140" si="25">H141</f>
        <v>63121.3</v>
      </c>
      <c r="I140" s="39">
        <f t="shared" si="25"/>
        <v>62309.3</v>
      </c>
    </row>
    <row r="141" spans="1:9" s="99" customFormat="1" x14ac:dyDescent="0.2">
      <c r="A141" s="98" t="s">
        <v>0</v>
      </c>
      <c r="B141" s="64">
        <v>904</v>
      </c>
      <c r="C141" s="65" t="s">
        <v>21</v>
      </c>
      <c r="D141" s="65"/>
      <c r="E141" s="65"/>
      <c r="F141" s="65"/>
      <c r="G141" s="68">
        <f>G142+G156+G159</f>
        <v>69498.5</v>
      </c>
      <c r="H141" s="68">
        <f>H142+H156+H159</f>
        <v>63121.3</v>
      </c>
      <c r="I141" s="68">
        <f>I142+I156+I159</f>
        <v>62309.3</v>
      </c>
    </row>
    <row r="142" spans="1:9" s="74" customFormat="1" x14ac:dyDescent="0.2">
      <c r="A142" s="70" t="s">
        <v>1</v>
      </c>
      <c r="B142" s="71">
        <v>904</v>
      </c>
      <c r="C142" s="72" t="s">
        <v>21</v>
      </c>
      <c r="D142" s="72" t="s">
        <v>12</v>
      </c>
      <c r="E142" s="72"/>
      <c r="F142" s="72"/>
      <c r="G142" s="73">
        <f>G150+G154+G146+G152+G148+G143</f>
        <v>64878</v>
      </c>
      <c r="H142" s="73">
        <f>H150+H154+H146+H152+H148+H143</f>
        <v>58500.800000000003</v>
      </c>
      <c r="I142" s="73">
        <f>I150+I154+I146+I152+I148+I143</f>
        <v>57688.800000000003</v>
      </c>
    </row>
    <row r="143" spans="1:9" s="84" customFormat="1" x14ac:dyDescent="0.2">
      <c r="A143" s="87" t="s">
        <v>445</v>
      </c>
      <c r="B143" s="76">
        <v>904</v>
      </c>
      <c r="C143" s="82" t="s">
        <v>21</v>
      </c>
      <c r="D143" s="82" t="s">
        <v>12</v>
      </c>
      <c r="E143" s="82" t="s">
        <v>446</v>
      </c>
      <c r="F143" s="82"/>
      <c r="G143" s="62">
        <f>G144</f>
        <v>2240</v>
      </c>
      <c r="H143" s="62">
        <f t="shared" ref="H143:I143" si="26">H144</f>
        <v>0</v>
      </c>
      <c r="I143" s="62">
        <f t="shared" si="26"/>
        <v>0</v>
      </c>
    </row>
    <row r="144" spans="1:9" ht="39.75" customHeight="1" x14ac:dyDescent="0.2">
      <c r="A144" s="75" t="s">
        <v>444</v>
      </c>
      <c r="B144" s="76">
        <v>904</v>
      </c>
      <c r="C144" s="77" t="s">
        <v>21</v>
      </c>
      <c r="D144" s="77" t="s">
        <v>12</v>
      </c>
      <c r="E144" s="77" t="s">
        <v>451</v>
      </c>
      <c r="F144" s="77"/>
      <c r="G144" s="78">
        <f>G145</f>
        <v>2240</v>
      </c>
      <c r="H144" s="78">
        <f>H145</f>
        <v>0</v>
      </c>
      <c r="I144" s="78">
        <f>I145</f>
        <v>0</v>
      </c>
    </row>
    <row r="145" spans="1:9" s="84" customFormat="1" ht="25.5" x14ac:dyDescent="0.2">
      <c r="A145" s="87" t="s">
        <v>141</v>
      </c>
      <c r="B145" s="86">
        <v>904</v>
      </c>
      <c r="C145" s="82" t="s">
        <v>21</v>
      </c>
      <c r="D145" s="82" t="s">
        <v>12</v>
      </c>
      <c r="E145" s="77" t="s">
        <v>451</v>
      </c>
      <c r="F145" s="82" t="s">
        <v>65</v>
      </c>
      <c r="G145" s="62">
        <v>2240</v>
      </c>
      <c r="H145" s="62">
        <v>0</v>
      </c>
      <c r="I145" s="62">
        <v>0</v>
      </c>
    </row>
    <row r="146" spans="1:9" s="12" customFormat="1" ht="25.5" x14ac:dyDescent="0.2">
      <c r="A146" s="17" t="s">
        <v>163</v>
      </c>
      <c r="B146" s="44">
        <v>904</v>
      </c>
      <c r="C146" s="19" t="s">
        <v>21</v>
      </c>
      <c r="D146" s="19" t="s">
        <v>12</v>
      </c>
      <c r="E146" s="19" t="s">
        <v>162</v>
      </c>
      <c r="F146" s="5"/>
      <c r="G146" s="6">
        <f>G147</f>
        <v>120.3</v>
      </c>
      <c r="H146" s="6">
        <f>H147</f>
        <v>120.3</v>
      </c>
      <c r="I146" s="6">
        <f>I147</f>
        <v>120.3</v>
      </c>
    </row>
    <row r="147" spans="1:9" s="26" customFormat="1" ht="25.5" x14ac:dyDescent="0.2">
      <c r="A147" s="28" t="s">
        <v>141</v>
      </c>
      <c r="B147" s="31">
        <v>904</v>
      </c>
      <c r="C147" s="24" t="s">
        <v>21</v>
      </c>
      <c r="D147" s="24" t="s">
        <v>12</v>
      </c>
      <c r="E147" s="24" t="s">
        <v>162</v>
      </c>
      <c r="F147" s="24" t="s">
        <v>65</v>
      </c>
      <c r="G147" s="25">
        <f>38.8+81.5</f>
        <v>120.3</v>
      </c>
      <c r="H147" s="25">
        <f>38.8+81.5</f>
        <v>120.3</v>
      </c>
      <c r="I147" s="25">
        <f>38.8+81.5</f>
        <v>120.3</v>
      </c>
    </row>
    <row r="148" spans="1:9" ht="13.5" customHeight="1" x14ac:dyDescent="0.2">
      <c r="A148" s="75" t="s">
        <v>174</v>
      </c>
      <c r="B148" s="76">
        <v>904</v>
      </c>
      <c r="C148" s="77" t="s">
        <v>21</v>
      </c>
      <c r="D148" s="77" t="s">
        <v>12</v>
      </c>
      <c r="E148" s="82" t="s">
        <v>173</v>
      </c>
      <c r="F148" s="77"/>
      <c r="G148" s="78">
        <f>G149</f>
        <v>4137.2</v>
      </c>
      <c r="H148" s="78">
        <f>H149</f>
        <v>0</v>
      </c>
      <c r="I148" s="78">
        <f>I149</f>
        <v>0</v>
      </c>
    </row>
    <row r="149" spans="1:9" s="84" customFormat="1" ht="25.5" x14ac:dyDescent="0.2">
      <c r="A149" s="87" t="s">
        <v>83</v>
      </c>
      <c r="B149" s="76">
        <v>904</v>
      </c>
      <c r="C149" s="82" t="s">
        <v>21</v>
      </c>
      <c r="D149" s="82" t="s">
        <v>12</v>
      </c>
      <c r="E149" s="82" t="s">
        <v>173</v>
      </c>
      <c r="F149" s="82" t="s">
        <v>71</v>
      </c>
      <c r="G149" s="62">
        <v>4137.2</v>
      </c>
      <c r="H149" s="62"/>
      <c r="I149" s="62"/>
    </row>
    <row r="150" spans="1:9" ht="25.5" x14ac:dyDescent="0.2">
      <c r="A150" s="75" t="s">
        <v>191</v>
      </c>
      <c r="B150" s="76">
        <v>904</v>
      </c>
      <c r="C150" s="77" t="s">
        <v>21</v>
      </c>
      <c r="D150" s="77" t="s">
        <v>12</v>
      </c>
      <c r="E150" s="77" t="s">
        <v>190</v>
      </c>
      <c r="F150" s="77"/>
      <c r="G150" s="78">
        <f>G151</f>
        <v>13695</v>
      </c>
      <c r="H150" s="78">
        <f>H151</f>
        <v>13695</v>
      </c>
      <c r="I150" s="78">
        <f>I151</f>
        <v>13302.199999999999</v>
      </c>
    </row>
    <row r="151" spans="1:9" s="84" customFormat="1" ht="25.5" x14ac:dyDescent="0.2">
      <c r="A151" s="87" t="s">
        <v>141</v>
      </c>
      <c r="B151" s="86">
        <v>904</v>
      </c>
      <c r="C151" s="82" t="s">
        <v>21</v>
      </c>
      <c r="D151" s="82" t="s">
        <v>12</v>
      </c>
      <c r="E151" s="82" t="s">
        <v>190</v>
      </c>
      <c r="F151" s="82" t="s">
        <v>65</v>
      </c>
      <c r="G151" s="62">
        <f>11162.5+795.6+14.6+45+1677.3</f>
        <v>13695</v>
      </c>
      <c r="H151" s="62">
        <f>11162.5+795.6+14.6+45+1677.3</f>
        <v>13695</v>
      </c>
      <c r="I151" s="62">
        <f>11162.5+402.8+14.6+45+1677.3</f>
        <v>13302.199999999999</v>
      </c>
    </row>
    <row r="152" spans="1:9" s="21" customFormat="1" ht="38.25" x14ac:dyDescent="0.2">
      <c r="A152" s="18" t="s">
        <v>193</v>
      </c>
      <c r="B152" s="22">
        <v>904</v>
      </c>
      <c r="C152" s="19" t="s">
        <v>21</v>
      </c>
      <c r="D152" s="19" t="s">
        <v>12</v>
      </c>
      <c r="E152" s="19" t="s">
        <v>192</v>
      </c>
      <c r="F152" s="19"/>
      <c r="G152" s="20">
        <f>G153</f>
        <v>200</v>
      </c>
      <c r="H152" s="20">
        <f>H153</f>
        <v>200</v>
      </c>
      <c r="I152" s="20">
        <f>I153</f>
        <v>200</v>
      </c>
    </row>
    <row r="153" spans="1:9" s="26" customFormat="1" ht="25.5" x14ac:dyDescent="0.2">
      <c r="A153" s="28" t="s">
        <v>76</v>
      </c>
      <c r="B153" s="32">
        <v>904</v>
      </c>
      <c r="C153" s="24" t="s">
        <v>21</v>
      </c>
      <c r="D153" s="24" t="s">
        <v>12</v>
      </c>
      <c r="E153" s="24" t="s">
        <v>192</v>
      </c>
      <c r="F153" s="27" t="s">
        <v>68</v>
      </c>
      <c r="G153" s="25">
        <v>200</v>
      </c>
      <c r="H153" s="25">
        <v>200</v>
      </c>
      <c r="I153" s="25">
        <v>200</v>
      </c>
    </row>
    <row r="154" spans="1:9" s="21" customFormat="1" ht="25.5" x14ac:dyDescent="0.2">
      <c r="A154" s="18" t="s">
        <v>357</v>
      </c>
      <c r="B154" s="22">
        <v>904</v>
      </c>
      <c r="C154" s="19" t="s">
        <v>21</v>
      </c>
      <c r="D154" s="19" t="s">
        <v>12</v>
      </c>
      <c r="E154" s="19" t="s">
        <v>358</v>
      </c>
      <c r="F154" s="19"/>
      <c r="G154" s="20">
        <f>G155</f>
        <v>44485.5</v>
      </c>
      <c r="H154" s="20">
        <f>H155</f>
        <v>44485.5</v>
      </c>
      <c r="I154" s="20">
        <f>I155</f>
        <v>44066.3</v>
      </c>
    </row>
    <row r="155" spans="1:9" s="84" customFormat="1" ht="25.5" x14ac:dyDescent="0.2">
      <c r="A155" s="87" t="s">
        <v>141</v>
      </c>
      <c r="B155" s="81">
        <v>904</v>
      </c>
      <c r="C155" s="82" t="s">
        <v>21</v>
      </c>
      <c r="D155" s="82" t="s">
        <v>12</v>
      </c>
      <c r="E155" s="82" t="s">
        <v>358</v>
      </c>
      <c r="F155" s="83" t="s">
        <v>65</v>
      </c>
      <c r="G155" s="62">
        <f>43163.4+849.2+96.4+271.5+5+100</f>
        <v>44485.5</v>
      </c>
      <c r="H155" s="62">
        <f>43163.4+849.2+96.4+271.5+5+100</f>
        <v>44485.5</v>
      </c>
      <c r="I155" s="62">
        <f>43163.4+430+96.4+271.5+5+100</f>
        <v>44066.3</v>
      </c>
    </row>
    <row r="156" spans="1:9" s="9" customFormat="1" x14ac:dyDescent="0.2">
      <c r="A156" s="11" t="s">
        <v>2</v>
      </c>
      <c r="B156" s="14">
        <v>904</v>
      </c>
      <c r="C156" s="8" t="s">
        <v>21</v>
      </c>
      <c r="D156" s="8" t="s">
        <v>14</v>
      </c>
      <c r="E156" s="8"/>
      <c r="F156" s="8"/>
      <c r="G156" s="4">
        <f t="shared" ref="G156:I157" si="27">G157</f>
        <v>370</v>
      </c>
      <c r="H156" s="4">
        <f t="shared" si="27"/>
        <v>370</v>
      </c>
      <c r="I156" s="4">
        <f t="shared" si="27"/>
        <v>370</v>
      </c>
    </row>
    <row r="157" spans="1:9" s="21" customFormat="1" ht="25.5" x14ac:dyDescent="0.2">
      <c r="A157" s="18" t="s">
        <v>195</v>
      </c>
      <c r="B157" s="22">
        <v>904</v>
      </c>
      <c r="C157" s="19" t="s">
        <v>21</v>
      </c>
      <c r="D157" s="19" t="s">
        <v>14</v>
      </c>
      <c r="E157" s="19" t="s">
        <v>194</v>
      </c>
      <c r="F157" s="19"/>
      <c r="G157" s="20">
        <f t="shared" si="27"/>
        <v>370</v>
      </c>
      <c r="H157" s="20">
        <f t="shared" si="27"/>
        <v>370</v>
      </c>
      <c r="I157" s="20">
        <f t="shared" si="27"/>
        <v>370</v>
      </c>
    </row>
    <row r="158" spans="1:9" s="26" customFormat="1" ht="25.5" x14ac:dyDescent="0.2">
      <c r="A158" s="28" t="s">
        <v>76</v>
      </c>
      <c r="B158" s="32">
        <v>904</v>
      </c>
      <c r="C158" s="24" t="s">
        <v>21</v>
      </c>
      <c r="D158" s="24" t="s">
        <v>14</v>
      </c>
      <c r="E158" s="24" t="s">
        <v>194</v>
      </c>
      <c r="F158" s="27" t="s">
        <v>68</v>
      </c>
      <c r="G158" s="25">
        <v>370</v>
      </c>
      <c r="H158" s="25">
        <v>370</v>
      </c>
      <c r="I158" s="25">
        <v>370</v>
      </c>
    </row>
    <row r="159" spans="1:9" s="9" customFormat="1" ht="25.5" x14ac:dyDescent="0.2">
      <c r="A159" s="11" t="s">
        <v>4</v>
      </c>
      <c r="B159" s="14">
        <v>904</v>
      </c>
      <c r="C159" s="8" t="s">
        <v>21</v>
      </c>
      <c r="D159" s="8" t="s">
        <v>31</v>
      </c>
      <c r="E159" s="8"/>
      <c r="F159" s="8"/>
      <c r="G159" s="4">
        <f>G160+G163</f>
        <v>4250.5</v>
      </c>
      <c r="H159" s="4">
        <f>H160+H163</f>
        <v>4250.5</v>
      </c>
      <c r="I159" s="4">
        <f>I160+I163</f>
        <v>4250.5</v>
      </c>
    </row>
    <row r="160" spans="1:9" s="21" customFormat="1" ht="25.5" x14ac:dyDescent="0.2">
      <c r="A160" s="18" t="s">
        <v>191</v>
      </c>
      <c r="B160" s="22">
        <v>904</v>
      </c>
      <c r="C160" s="19" t="s">
        <v>21</v>
      </c>
      <c r="D160" s="19" t="s">
        <v>31</v>
      </c>
      <c r="E160" s="19" t="s">
        <v>196</v>
      </c>
      <c r="F160" s="19"/>
      <c r="G160" s="20">
        <f>G161+G162</f>
        <v>1021.5</v>
      </c>
      <c r="H160" s="20">
        <f>H161+H162</f>
        <v>1021.5</v>
      </c>
      <c r="I160" s="20">
        <f>I161+I162</f>
        <v>1021.5</v>
      </c>
    </row>
    <row r="161" spans="1:9" s="26" customFormat="1" ht="50.25" customHeight="1" x14ac:dyDescent="0.2">
      <c r="A161" s="30" t="s">
        <v>66</v>
      </c>
      <c r="B161" s="32">
        <v>904</v>
      </c>
      <c r="C161" s="24" t="s">
        <v>21</v>
      </c>
      <c r="D161" s="24" t="s">
        <v>31</v>
      </c>
      <c r="E161" s="24" t="s">
        <v>196</v>
      </c>
      <c r="F161" s="27" t="s">
        <v>67</v>
      </c>
      <c r="G161" s="25">
        <f>966.5+3</f>
        <v>969.5</v>
      </c>
      <c r="H161" s="25">
        <f>966.5+3</f>
        <v>969.5</v>
      </c>
      <c r="I161" s="25">
        <f>966.5+3</f>
        <v>969.5</v>
      </c>
    </row>
    <row r="162" spans="1:9" s="26" customFormat="1" ht="25.5" x14ac:dyDescent="0.2">
      <c r="A162" s="28" t="s">
        <v>76</v>
      </c>
      <c r="B162" s="32">
        <v>904</v>
      </c>
      <c r="C162" s="24" t="s">
        <v>21</v>
      </c>
      <c r="D162" s="24" t="s">
        <v>31</v>
      </c>
      <c r="E162" s="24" t="s">
        <v>196</v>
      </c>
      <c r="F162" s="27" t="s">
        <v>68</v>
      </c>
      <c r="G162" s="25">
        <f>42+13-3</f>
        <v>52</v>
      </c>
      <c r="H162" s="25">
        <f>42+13-3</f>
        <v>52</v>
      </c>
      <c r="I162" s="25">
        <f>42+13-3</f>
        <v>52</v>
      </c>
    </row>
    <row r="163" spans="1:9" s="21" customFormat="1" ht="25.5" x14ac:dyDescent="0.2">
      <c r="A163" s="18" t="s">
        <v>191</v>
      </c>
      <c r="B163" s="22">
        <v>904</v>
      </c>
      <c r="C163" s="19" t="s">
        <v>21</v>
      </c>
      <c r="D163" s="19" t="s">
        <v>31</v>
      </c>
      <c r="E163" s="19" t="s">
        <v>415</v>
      </c>
      <c r="F163" s="19"/>
      <c r="G163" s="20">
        <f>G164</f>
        <v>3229</v>
      </c>
      <c r="H163" s="20">
        <f>H164</f>
        <v>3229</v>
      </c>
      <c r="I163" s="20">
        <f>I164</f>
        <v>3229</v>
      </c>
    </row>
    <row r="164" spans="1:9" s="26" customFormat="1" ht="27.75" customHeight="1" x14ac:dyDescent="0.2">
      <c r="A164" s="87" t="s">
        <v>141</v>
      </c>
      <c r="B164" s="32">
        <v>904</v>
      </c>
      <c r="C164" s="24" t="s">
        <v>21</v>
      </c>
      <c r="D164" s="24" t="s">
        <v>31</v>
      </c>
      <c r="E164" s="24" t="s">
        <v>415</v>
      </c>
      <c r="F164" s="27" t="s">
        <v>65</v>
      </c>
      <c r="G164" s="25">
        <f>3102.2+26.8+100</f>
        <v>3229</v>
      </c>
      <c r="H164" s="25">
        <f>3102.2+26.8+100</f>
        <v>3229</v>
      </c>
      <c r="I164" s="25">
        <f>3102.2+26.8+100</f>
        <v>3229</v>
      </c>
    </row>
    <row r="165" spans="1:9" s="9" customFormat="1" ht="38.25" x14ac:dyDescent="0.2">
      <c r="A165" s="40" t="s">
        <v>47</v>
      </c>
      <c r="B165" s="37">
        <v>905</v>
      </c>
      <c r="C165" s="41"/>
      <c r="D165" s="41"/>
      <c r="E165" s="41"/>
      <c r="F165" s="41"/>
      <c r="G165" s="39">
        <f>G166+G186+G196+G192</f>
        <v>103048.49999999999</v>
      </c>
      <c r="H165" s="39">
        <f>H166+H186+H196+H192</f>
        <v>75804.600000000006</v>
      </c>
      <c r="I165" s="39">
        <f>I166+I186+I196+I192</f>
        <v>75804.600000000006</v>
      </c>
    </row>
    <row r="166" spans="1:9" s="99" customFormat="1" x14ac:dyDescent="0.2">
      <c r="A166" s="98" t="s">
        <v>60</v>
      </c>
      <c r="B166" s="64">
        <v>905</v>
      </c>
      <c r="C166" s="65" t="s">
        <v>12</v>
      </c>
      <c r="D166" s="65"/>
      <c r="E166" s="65"/>
      <c r="F166" s="65"/>
      <c r="G166" s="68">
        <f>G167</f>
        <v>17380.400000000001</v>
      </c>
      <c r="H166" s="68">
        <f>H167</f>
        <v>17380.400000000001</v>
      </c>
      <c r="I166" s="68">
        <f>I167</f>
        <v>17380.400000000001</v>
      </c>
    </row>
    <row r="167" spans="1:9" s="74" customFormat="1" x14ac:dyDescent="0.2">
      <c r="A167" s="70" t="s">
        <v>24</v>
      </c>
      <c r="B167" s="71">
        <v>905</v>
      </c>
      <c r="C167" s="72" t="s">
        <v>12</v>
      </c>
      <c r="D167" s="72" t="s">
        <v>61</v>
      </c>
      <c r="E167" s="72"/>
      <c r="F167" s="72"/>
      <c r="G167" s="73">
        <f>G168+G170+G174+G177+G179+G182+G172</f>
        <v>17380.400000000001</v>
      </c>
      <c r="H167" s="73">
        <f t="shared" ref="H167:I167" si="28">H168+H170+H174+H177+H179+H182+H172</f>
        <v>17380.400000000001</v>
      </c>
      <c r="I167" s="73">
        <f t="shared" si="28"/>
        <v>17380.400000000001</v>
      </c>
    </row>
    <row r="168" spans="1:9" ht="25.5" x14ac:dyDescent="0.2">
      <c r="A168" s="75" t="s">
        <v>198</v>
      </c>
      <c r="B168" s="76">
        <v>905</v>
      </c>
      <c r="C168" s="77" t="s">
        <v>12</v>
      </c>
      <c r="D168" s="77" t="s">
        <v>61</v>
      </c>
      <c r="E168" s="90" t="s">
        <v>197</v>
      </c>
      <c r="F168" s="90"/>
      <c r="G168" s="91">
        <f>G169</f>
        <v>300</v>
      </c>
      <c r="H168" s="91">
        <f>H169</f>
        <v>300</v>
      </c>
      <c r="I168" s="91">
        <f>I169</f>
        <v>300</v>
      </c>
    </row>
    <row r="169" spans="1:9" s="84" customFormat="1" ht="25.5" x14ac:dyDescent="0.2">
      <c r="A169" s="87" t="s">
        <v>76</v>
      </c>
      <c r="B169" s="81">
        <v>905</v>
      </c>
      <c r="C169" s="82" t="s">
        <v>12</v>
      </c>
      <c r="D169" s="82" t="s">
        <v>61</v>
      </c>
      <c r="E169" s="82" t="s">
        <v>197</v>
      </c>
      <c r="F169" s="83" t="s">
        <v>68</v>
      </c>
      <c r="G169" s="62">
        <v>300</v>
      </c>
      <c r="H169" s="62">
        <v>300</v>
      </c>
      <c r="I169" s="62">
        <v>300</v>
      </c>
    </row>
    <row r="170" spans="1:9" s="21" customFormat="1" ht="25.5" x14ac:dyDescent="0.2">
      <c r="A170" s="18" t="s">
        <v>199</v>
      </c>
      <c r="B170" s="22">
        <v>905</v>
      </c>
      <c r="C170" s="19" t="s">
        <v>12</v>
      </c>
      <c r="D170" s="19" t="s">
        <v>61</v>
      </c>
      <c r="E170" s="5" t="s">
        <v>200</v>
      </c>
      <c r="F170" s="5"/>
      <c r="G170" s="6">
        <f>G171</f>
        <v>300</v>
      </c>
      <c r="H170" s="6">
        <f>H171</f>
        <v>300</v>
      </c>
      <c r="I170" s="6">
        <f>I171</f>
        <v>300</v>
      </c>
    </row>
    <row r="171" spans="1:9" s="26" customFormat="1" ht="25.5" x14ac:dyDescent="0.2">
      <c r="A171" s="28" t="s">
        <v>76</v>
      </c>
      <c r="B171" s="32">
        <v>905</v>
      </c>
      <c r="C171" s="24" t="s">
        <v>12</v>
      </c>
      <c r="D171" s="24" t="s">
        <v>61</v>
      </c>
      <c r="E171" s="24" t="s">
        <v>200</v>
      </c>
      <c r="F171" s="27" t="s">
        <v>68</v>
      </c>
      <c r="G171" s="25">
        <v>300</v>
      </c>
      <c r="H171" s="25">
        <v>300</v>
      </c>
      <c r="I171" s="25">
        <v>300</v>
      </c>
    </row>
    <row r="172" spans="1:9" s="21" customFormat="1" ht="38.25" x14ac:dyDescent="0.2">
      <c r="A172" s="18" t="s">
        <v>201</v>
      </c>
      <c r="B172" s="22">
        <v>905</v>
      </c>
      <c r="C172" s="19" t="s">
        <v>12</v>
      </c>
      <c r="D172" s="19" t="s">
        <v>61</v>
      </c>
      <c r="E172" s="19" t="s">
        <v>202</v>
      </c>
      <c r="F172" s="19"/>
      <c r="G172" s="20">
        <f>G173</f>
        <v>7310</v>
      </c>
      <c r="H172" s="20">
        <f>H173</f>
        <v>7310</v>
      </c>
      <c r="I172" s="20">
        <f>I173</f>
        <v>7310</v>
      </c>
    </row>
    <row r="173" spans="1:9" s="26" customFormat="1" ht="25.5" x14ac:dyDescent="0.2">
      <c r="A173" s="28" t="s">
        <v>76</v>
      </c>
      <c r="B173" s="31">
        <v>905</v>
      </c>
      <c r="C173" s="24" t="s">
        <v>12</v>
      </c>
      <c r="D173" s="24" t="s">
        <v>61</v>
      </c>
      <c r="E173" s="24" t="s">
        <v>202</v>
      </c>
      <c r="F173" s="27" t="s">
        <v>68</v>
      </c>
      <c r="G173" s="25">
        <v>7310</v>
      </c>
      <c r="H173" s="25">
        <v>7310</v>
      </c>
      <c r="I173" s="25">
        <v>7310</v>
      </c>
    </row>
    <row r="174" spans="1:9" x14ac:dyDescent="0.2">
      <c r="A174" s="75" t="s">
        <v>203</v>
      </c>
      <c r="B174" s="76">
        <v>905</v>
      </c>
      <c r="C174" s="77" t="s">
        <v>12</v>
      </c>
      <c r="D174" s="77" t="s">
        <v>61</v>
      </c>
      <c r="E174" s="90" t="s">
        <v>204</v>
      </c>
      <c r="F174" s="90"/>
      <c r="G174" s="91">
        <f>G176+G175</f>
        <v>400</v>
      </c>
      <c r="H174" s="91">
        <f>H176+H175</f>
        <v>400</v>
      </c>
      <c r="I174" s="91">
        <f>I176+I175</f>
        <v>400</v>
      </c>
    </row>
    <row r="175" spans="1:9" s="84" customFormat="1" ht="25.5" x14ac:dyDescent="0.2">
      <c r="A175" s="87" t="s">
        <v>76</v>
      </c>
      <c r="B175" s="81">
        <v>905</v>
      </c>
      <c r="C175" s="82" t="s">
        <v>12</v>
      </c>
      <c r="D175" s="82" t="s">
        <v>61</v>
      </c>
      <c r="E175" s="82" t="s">
        <v>204</v>
      </c>
      <c r="F175" s="83" t="s">
        <v>68</v>
      </c>
      <c r="G175" s="62">
        <v>150</v>
      </c>
      <c r="H175" s="62">
        <v>150</v>
      </c>
      <c r="I175" s="62">
        <v>150</v>
      </c>
    </row>
    <row r="176" spans="1:9" s="26" customFormat="1" x14ac:dyDescent="0.2">
      <c r="A176" s="28" t="s">
        <v>72</v>
      </c>
      <c r="B176" s="32">
        <v>905</v>
      </c>
      <c r="C176" s="24" t="s">
        <v>12</v>
      </c>
      <c r="D176" s="24" t="s">
        <v>61</v>
      </c>
      <c r="E176" s="24" t="s">
        <v>204</v>
      </c>
      <c r="F176" s="27" t="s">
        <v>73</v>
      </c>
      <c r="G176" s="25">
        <v>250</v>
      </c>
      <c r="H176" s="25">
        <v>250</v>
      </c>
      <c r="I176" s="25">
        <v>250</v>
      </c>
    </row>
    <row r="177" spans="1:9" x14ac:dyDescent="0.2">
      <c r="A177" s="75" t="s">
        <v>206</v>
      </c>
      <c r="B177" s="76">
        <v>905</v>
      </c>
      <c r="C177" s="77" t="s">
        <v>12</v>
      </c>
      <c r="D177" s="77" t="s">
        <v>61</v>
      </c>
      <c r="E177" s="90" t="s">
        <v>205</v>
      </c>
      <c r="F177" s="90"/>
      <c r="G177" s="91">
        <f>G178</f>
        <v>600</v>
      </c>
      <c r="H177" s="91">
        <f>H178</f>
        <v>600</v>
      </c>
      <c r="I177" s="91">
        <f>I178</f>
        <v>600</v>
      </c>
    </row>
    <row r="178" spans="1:9" s="84" customFormat="1" ht="25.5" x14ac:dyDescent="0.2">
      <c r="A178" s="87" t="s">
        <v>76</v>
      </c>
      <c r="B178" s="81">
        <v>905</v>
      </c>
      <c r="C178" s="82" t="s">
        <v>12</v>
      </c>
      <c r="D178" s="82" t="s">
        <v>61</v>
      </c>
      <c r="E178" s="82" t="s">
        <v>205</v>
      </c>
      <c r="F178" s="83" t="s">
        <v>68</v>
      </c>
      <c r="G178" s="62">
        <v>600</v>
      </c>
      <c r="H178" s="62">
        <v>600</v>
      </c>
      <c r="I178" s="62">
        <v>600</v>
      </c>
    </row>
    <row r="179" spans="1:9" x14ac:dyDescent="0.2">
      <c r="A179" s="75" t="s">
        <v>207</v>
      </c>
      <c r="B179" s="76">
        <v>905</v>
      </c>
      <c r="C179" s="77" t="s">
        <v>12</v>
      </c>
      <c r="D179" s="77" t="s">
        <v>61</v>
      </c>
      <c r="E179" s="90" t="s">
        <v>208</v>
      </c>
      <c r="F179" s="90"/>
      <c r="G179" s="91">
        <f>G180+G181</f>
        <v>288.3</v>
      </c>
      <c r="H179" s="91">
        <f>H180+H181</f>
        <v>288.3</v>
      </c>
      <c r="I179" s="91">
        <f>I180+I181</f>
        <v>288.3</v>
      </c>
    </row>
    <row r="180" spans="1:9" s="26" customFormat="1" ht="25.5" x14ac:dyDescent="0.2">
      <c r="A180" s="28" t="s">
        <v>76</v>
      </c>
      <c r="B180" s="23">
        <v>905</v>
      </c>
      <c r="C180" s="24" t="s">
        <v>12</v>
      </c>
      <c r="D180" s="24" t="s">
        <v>61</v>
      </c>
      <c r="E180" s="24" t="s">
        <v>208</v>
      </c>
      <c r="F180" s="27" t="s">
        <v>68</v>
      </c>
      <c r="G180" s="25">
        <v>88.3</v>
      </c>
      <c r="H180" s="25">
        <v>88.3</v>
      </c>
      <c r="I180" s="25">
        <v>88.3</v>
      </c>
    </row>
    <row r="181" spans="1:9" s="84" customFormat="1" x14ac:dyDescent="0.2">
      <c r="A181" s="87" t="s">
        <v>72</v>
      </c>
      <c r="B181" s="86">
        <v>905</v>
      </c>
      <c r="C181" s="77" t="s">
        <v>12</v>
      </c>
      <c r="D181" s="77" t="s">
        <v>61</v>
      </c>
      <c r="E181" s="82" t="s">
        <v>208</v>
      </c>
      <c r="F181" s="82" t="s">
        <v>73</v>
      </c>
      <c r="G181" s="62">
        <v>200</v>
      </c>
      <c r="H181" s="62">
        <v>200</v>
      </c>
      <c r="I181" s="62">
        <v>200</v>
      </c>
    </row>
    <row r="182" spans="1:9" ht="25.5" x14ac:dyDescent="0.2">
      <c r="A182" s="75" t="s">
        <v>209</v>
      </c>
      <c r="B182" s="76">
        <v>905</v>
      </c>
      <c r="C182" s="77" t="s">
        <v>12</v>
      </c>
      <c r="D182" s="77" t="s">
        <v>61</v>
      </c>
      <c r="E182" s="90" t="s">
        <v>210</v>
      </c>
      <c r="F182" s="77"/>
      <c r="G182" s="78">
        <f>G183+G185+G184</f>
        <v>8182.0999999999995</v>
      </c>
      <c r="H182" s="78">
        <f t="shared" ref="H182:I182" si="29">H183+H185+H184</f>
        <v>8182.0999999999995</v>
      </c>
      <c r="I182" s="78">
        <f t="shared" si="29"/>
        <v>8182.0999999999995</v>
      </c>
    </row>
    <row r="183" spans="1:9" s="26" customFormat="1" ht="51" customHeight="1" x14ac:dyDescent="0.2">
      <c r="A183" s="30" t="s">
        <v>66</v>
      </c>
      <c r="B183" s="32">
        <v>905</v>
      </c>
      <c r="C183" s="24" t="s">
        <v>12</v>
      </c>
      <c r="D183" s="24" t="s">
        <v>61</v>
      </c>
      <c r="E183" s="24" t="s">
        <v>210</v>
      </c>
      <c r="F183" s="27" t="s">
        <v>67</v>
      </c>
      <c r="G183" s="25">
        <f>5583.5+1686.2</f>
        <v>7269.7</v>
      </c>
      <c r="H183" s="25">
        <f>5583.5+1686.2</f>
        <v>7269.7</v>
      </c>
      <c r="I183" s="25">
        <f>5583.5+1686.2</f>
        <v>7269.7</v>
      </c>
    </row>
    <row r="184" spans="1:9" s="84" customFormat="1" ht="25.5" x14ac:dyDescent="0.2">
      <c r="A184" s="87" t="s">
        <v>76</v>
      </c>
      <c r="B184" s="81">
        <v>905</v>
      </c>
      <c r="C184" s="82" t="s">
        <v>12</v>
      </c>
      <c r="D184" s="82" t="s">
        <v>61</v>
      </c>
      <c r="E184" s="82" t="s">
        <v>210</v>
      </c>
      <c r="F184" s="83" t="s">
        <v>68</v>
      </c>
      <c r="G184" s="62">
        <f>200+50+362.4+100+50+140</f>
        <v>902.4</v>
      </c>
      <c r="H184" s="62">
        <f>200+50+362.4+100+50+140</f>
        <v>902.4</v>
      </c>
      <c r="I184" s="62">
        <f>200+50+362.4+100+50+140</f>
        <v>902.4</v>
      </c>
    </row>
    <row r="185" spans="1:9" s="26" customFormat="1" x14ac:dyDescent="0.2">
      <c r="A185" s="28" t="s">
        <v>72</v>
      </c>
      <c r="B185" s="32">
        <v>905</v>
      </c>
      <c r="C185" s="24" t="s">
        <v>12</v>
      </c>
      <c r="D185" s="24" t="s">
        <v>61</v>
      </c>
      <c r="E185" s="24" t="s">
        <v>210</v>
      </c>
      <c r="F185" s="27" t="s">
        <v>73</v>
      </c>
      <c r="G185" s="25">
        <v>10</v>
      </c>
      <c r="H185" s="25">
        <v>10</v>
      </c>
      <c r="I185" s="25">
        <v>10</v>
      </c>
    </row>
    <row r="186" spans="1:9" s="3" customFormat="1" x14ac:dyDescent="0.2">
      <c r="A186" s="13" t="s">
        <v>27</v>
      </c>
      <c r="B186" s="42">
        <v>905</v>
      </c>
      <c r="C186" s="1" t="s">
        <v>18</v>
      </c>
      <c r="D186" s="1"/>
      <c r="E186" s="1"/>
      <c r="F186" s="1"/>
      <c r="G186" s="2">
        <f>G187</f>
        <v>600</v>
      </c>
      <c r="H186" s="2">
        <f>H187</f>
        <v>600</v>
      </c>
      <c r="I186" s="2">
        <f>I187</f>
        <v>600</v>
      </c>
    </row>
    <row r="187" spans="1:9" s="9" customFormat="1" x14ac:dyDescent="0.2">
      <c r="A187" s="11" t="s">
        <v>29</v>
      </c>
      <c r="B187" s="14">
        <v>905</v>
      </c>
      <c r="C187" s="8" t="s">
        <v>18</v>
      </c>
      <c r="D187" s="8" t="s">
        <v>23</v>
      </c>
      <c r="E187" s="8"/>
      <c r="F187" s="8"/>
      <c r="G187" s="4">
        <f>G188+G190</f>
        <v>600</v>
      </c>
      <c r="H187" s="4">
        <f>H188+H190</f>
        <v>600</v>
      </c>
      <c r="I187" s="4">
        <f>I188+I190</f>
        <v>600</v>
      </c>
    </row>
    <row r="188" spans="1:9" s="21" customFormat="1" x14ac:dyDescent="0.2">
      <c r="A188" s="18" t="s">
        <v>212</v>
      </c>
      <c r="B188" s="22">
        <v>905</v>
      </c>
      <c r="C188" s="19" t="s">
        <v>18</v>
      </c>
      <c r="D188" s="19" t="s">
        <v>23</v>
      </c>
      <c r="E188" s="19" t="s">
        <v>211</v>
      </c>
      <c r="F188" s="19"/>
      <c r="G188" s="20">
        <f>G189</f>
        <v>400</v>
      </c>
      <c r="H188" s="20">
        <f>H189</f>
        <v>400</v>
      </c>
      <c r="I188" s="20">
        <f>I189</f>
        <v>400</v>
      </c>
    </row>
    <row r="189" spans="1:9" s="26" customFormat="1" ht="25.5" x14ac:dyDescent="0.2">
      <c r="A189" s="28" t="s">
        <v>76</v>
      </c>
      <c r="B189" s="31">
        <v>905</v>
      </c>
      <c r="C189" s="24" t="s">
        <v>18</v>
      </c>
      <c r="D189" s="24" t="s">
        <v>23</v>
      </c>
      <c r="E189" s="24" t="s">
        <v>211</v>
      </c>
      <c r="F189" s="27" t="s">
        <v>68</v>
      </c>
      <c r="G189" s="25">
        <v>400</v>
      </c>
      <c r="H189" s="25">
        <v>400</v>
      </c>
      <c r="I189" s="25">
        <v>400</v>
      </c>
    </row>
    <row r="190" spans="1:9" s="21" customFormat="1" ht="38.25" x14ac:dyDescent="0.2">
      <c r="A190" s="18" t="s">
        <v>213</v>
      </c>
      <c r="B190" s="22">
        <v>905</v>
      </c>
      <c r="C190" s="19" t="s">
        <v>18</v>
      </c>
      <c r="D190" s="19" t="s">
        <v>23</v>
      </c>
      <c r="E190" s="19" t="s">
        <v>214</v>
      </c>
      <c r="F190" s="19"/>
      <c r="G190" s="20">
        <f>G191</f>
        <v>200</v>
      </c>
      <c r="H190" s="20">
        <f>H191</f>
        <v>200</v>
      </c>
      <c r="I190" s="20">
        <f>I191</f>
        <v>200</v>
      </c>
    </row>
    <row r="191" spans="1:9" s="26" customFormat="1" ht="25.5" x14ac:dyDescent="0.2">
      <c r="A191" s="28" t="s">
        <v>76</v>
      </c>
      <c r="B191" s="32">
        <v>905</v>
      </c>
      <c r="C191" s="24" t="s">
        <v>18</v>
      </c>
      <c r="D191" s="24" t="s">
        <v>23</v>
      </c>
      <c r="E191" s="24" t="s">
        <v>214</v>
      </c>
      <c r="F191" s="27" t="s">
        <v>68</v>
      </c>
      <c r="G191" s="25">
        <v>200</v>
      </c>
      <c r="H191" s="25">
        <v>200</v>
      </c>
      <c r="I191" s="25">
        <v>200</v>
      </c>
    </row>
    <row r="192" spans="1:9" s="3" customFormat="1" x14ac:dyDescent="0.2">
      <c r="A192" s="13" t="s">
        <v>30</v>
      </c>
      <c r="B192" s="42">
        <v>905</v>
      </c>
      <c r="C192" s="1" t="s">
        <v>31</v>
      </c>
      <c r="D192" s="1"/>
      <c r="E192" s="1"/>
      <c r="F192" s="1"/>
      <c r="G192" s="2">
        <f>G193</f>
        <v>2107.6999999999998</v>
      </c>
      <c r="H192" s="2">
        <f t="shared" ref="H192:I192" si="30">H193</f>
        <v>0</v>
      </c>
      <c r="I192" s="2">
        <f t="shared" si="30"/>
        <v>0</v>
      </c>
    </row>
    <row r="193" spans="1:23" s="9" customFormat="1" x14ac:dyDescent="0.2">
      <c r="A193" s="11" t="s">
        <v>32</v>
      </c>
      <c r="B193" s="14">
        <v>905</v>
      </c>
      <c r="C193" s="8" t="s">
        <v>31</v>
      </c>
      <c r="D193" s="8" t="s">
        <v>12</v>
      </c>
      <c r="E193" s="8"/>
      <c r="F193" s="8"/>
      <c r="G193" s="4">
        <f t="shared" ref="G193:I194" si="31">G194</f>
        <v>2107.6999999999998</v>
      </c>
      <c r="H193" s="4">
        <f t="shared" si="31"/>
        <v>0</v>
      </c>
      <c r="I193" s="4">
        <f t="shared" si="31"/>
        <v>0</v>
      </c>
    </row>
    <row r="194" spans="1:23" s="21" customFormat="1" ht="25.5" x14ac:dyDescent="0.2">
      <c r="A194" s="18" t="s">
        <v>215</v>
      </c>
      <c r="B194" s="22">
        <v>905</v>
      </c>
      <c r="C194" s="19" t="s">
        <v>31</v>
      </c>
      <c r="D194" s="19" t="s">
        <v>12</v>
      </c>
      <c r="E194" s="19" t="s">
        <v>216</v>
      </c>
      <c r="F194" s="19"/>
      <c r="G194" s="20">
        <f t="shared" si="31"/>
        <v>2107.6999999999998</v>
      </c>
      <c r="H194" s="20">
        <f t="shared" si="31"/>
        <v>0</v>
      </c>
      <c r="I194" s="20">
        <f t="shared" si="31"/>
        <v>0</v>
      </c>
    </row>
    <row r="195" spans="1:23" s="26" customFormat="1" ht="25.5" x14ac:dyDescent="0.2">
      <c r="A195" s="28" t="s">
        <v>76</v>
      </c>
      <c r="B195" s="31">
        <v>905</v>
      </c>
      <c r="C195" s="24" t="s">
        <v>31</v>
      </c>
      <c r="D195" s="24" t="s">
        <v>12</v>
      </c>
      <c r="E195" s="24" t="s">
        <v>216</v>
      </c>
      <c r="F195" s="24" t="s">
        <v>68</v>
      </c>
      <c r="G195" s="25">
        <v>2107.6999999999998</v>
      </c>
      <c r="H195" s="25"/>
      <c r="I195" s="25"/>
    </row>
    <row r="196" spans="1:23" s="9" customFormat="1" x14ac:dyDescent="0.2">
      <c r="A196" s="11" t="s">
        <v>52</v>
      </c>
      <c r="B196" s="14">
        <v>905</v>
      </c>
      <c r="C196" s="8" t="s">
        <v>51</v>
      </c>
      <c r="D196" s="8"/>
      <c r="E196" s="8"/>
      <c r="F196" s="8"/>
      <c r="G196" s="4">
        <f>G197+G202</f>
        <v>82960.399999999994</v>
      </c>
      <c r="H196" s="4">
        <f>H197+H202</f>
        <v>57824.2</v>
      </c>
      <c r="I196" s="4">
        <f>I197+I202</f>
        <v>57824.2</v>
      </c>
    </row>
    <row r="197" spans="1:23" s="9" customFormat="1" x14ac:dyDescent="0.2">
      <c r="A197" s="11" t="s">
        <v>56</v>
      </c>
      <c r="B197" s="14">
        <v>905</v>
      </c>
      <c r="C197" s="8" t="s">
        <v>51</v>
      </c>
      <c r="D197" s="8" t="s">
        <v>18</v>
      </c>
      <c r="E197" s="8"/>
      <c r="F197" s="8"/>
      <c r="G197" s="4">
        <f>G198+G200</f>
        <v>82960.399999999994</v>
      </c>
      <c r="H197" s="4">
        <f t="shared" ref="H197:I197" si="32">H198+H200</f>
        <v>57824.2</v>
      </c>
      <c r="I197" s="4">
        <f t="shared" si="32"/>
        <v>57824.2</v>
      </c>
    </row>
    <row r="198" spans="1:23" s="21" customFormat="1" ht="39" customHeight="1" x14ac:dyDescent="0.2">
      <c r="A198" s="18" t="s">
        <v>217</v>
      </c>
      <c r="B198" s="22">
        <v>905</v>
      </c>
      <c r="C198" s="19" t="s">
        <v>51</v>
      </c>
      <c r="D198" s="16" t="s">
        <v>18</v>
      </c>
      <c r="E198" s="19" t="s">
        <v>133</v>
      </c>
      <c r="F198" s="19"/>
      <c r="G198" s="20">
        <f>G199</f>
        <v>24881.1</v>
      </c>
      <c r="H198" s="20">
        <f>H199</f>
        <v>25876.2</v>
      </c>
      <c r="I198" s="20">
        <f>I199</f>
        <v>25876.2</v>
      </c>
    </row>
    <row r="199" spans="1:23" s="26" customFormat="1" ht="25.5" x14ac:dyDescent="0.2">
      <c r="A199" s="28" t="s">
        <v>83</v>
      </c>
      <c r="B199" s="31">
        <v>905</v>
      </c>
      <c r="C199" s="24" t="s">
        <v>51</v>
      </c>
      <c r="D199" s="24" t="s">
        <v>18</v>
      </c>
      <c r="E199" s="19" t="s">
        <v>133</v>
      </c>
      <c r="F199" s="24" t="s">
        <v>71</v>
      </c>
      <c r="G199" s="25">
        <v>24881.1</v>
      </c>
      <c r="H199" s="25">
        <v>25876.2</v>
      </c>
      <c r="I199" s="25">
        <v>25876.2</v>
      </c>
    </row>
    <row r="200" spans="1:23" s="21" customFormat="1" ht="41.25" customHeight="1" x14ac:dyDescent="0.2">
      <c r="A200" s="18" t="s">
        <v>217</v>
      </c>
      <c r="B200" s="18">
        <v>905</v>
      </c>
      <c r="C200" s="19" t="s">
        <v>51</v>
      </c>
      <c r="D200" s="16" t="s">
        <v>18</v>
      </c>
      <c r="E200" s="19" t="s">
        <v>353</v>
      </c>
      <c r="F200" s="19"/>
      <c r="G200" s="20">
        <f>G201</f>
        <v>58079.3</v>
      </c>
      <c r="H200" s="20">
        <f>H201</f>
        <v>31948</v>
      </c>
      <c r="I200" s="20">
        <f>I201</f>
        <v>31948</v>
      </c>
      <c r="S200" s="270"/>
      <c r="T200" s="270"/>
      <c r="U200" s="270"/>
      <c r="V200" s="270"/>
      <c r="W200" s="270"/>
    </row>
    <row r="201" spans="1:23" ht="25.5" x14ac:dyDescent="0.2">
      <c r="A201" s="87" t="s">
        <v>83</v>
      </c>
      <c r="B201" s="87">
        <v>905</v>
      </c>
      <c r="C201" s="82" t="s">
        <v>51</v>
      </c>
      <c r="D201" s="82" t="s">
        <v>18</v>
      </c>
      <c r="E201" s="77" t="s">
        <v>353</v>
      </c>
      <c r="F201" s="82" t="s">
        <v>71</v>
      </c>
      <c r="G201" s="62">
        <f>32117.2+25962.1</f>
        <v>58079.3</v>
      </c>
      <c r="H201" s="62">
        <v>31948</v>
      </c>
      <c r="I201" s="62">
        <v>31948</v>
      </c>
      <c r="S201" s="270"/>
      <c r="T201" s="270"/>
      <c r="U201" s="270"/>
      <c r="V201" s="270"/>
      <c r="W201" s="270"/>
    </row>
    <row r="202" spans="1:23" s="9" customFormat="1" x14ac:dyDescent="0.2">
      <c r="A202" s="11" t="s">
        <v>57</v>
      </c>
      <c r="B202" s="14">
        <v>905</v>
      </c>
      <c r="C202" s="8" t="s">
        <v>51</v>
      </c>
      <c r="D202" s="8" t="s">
        <v>50</v>
      </c>
      <c r="E202" s="8"/>
      <c r="F202" s="8"/>
      <c r="G202" s="4">
        <f t="shared" ref="G202:I203" si="33">G203</f>
        <v>0</v>
      </c>
      <c r="H202" s="4">
        <f t="shared" si="33"/>
        <v>0</v>
      </c>
      <c r="I202" s="4">
        <f t="shared" si="33"/>
        <v>0</v>
      </c>
      <c r="S202" s="270"/>
      <c r="T202" s="270"/>
      <c r="U202" s="270"/>
      <c r="V202" s="270"/>
      <c r="W202" s="270"/>
    </row>
    <row r="203" spans="1:23" s="21" customFormat="1" x14ac:dyDescent="0.2">
      <c r="A203" s="18" t="s">
        <v>280</v>
      </c>
      <c r="B203" s="22">
        <v>905</v>
      </c>
      <c r="C203" s="19" t="s">
        <v>51</v>
      </c>
      <c r="D203" s="16" t="s">
        <v>50</v>
      </c>
      <c r="E203" s="19" t="s">
        <v>281</v>
      </c>
      <c r="F203" s="19"/>
      <c r="G203" s="20">
        <f t="shared" si="33"/>
        <v>0</v>
      </c>
      <c r="H203" s="20">
        <f t="shared" si="33"/>
        <v>0</v>
      </c>
      <c r="I203" s="20">
        <f t="shared" si="33"/>
        <v>0</v>
      </c>
      <c r="S203" s="270"/>
      <c r="T203" s="270"/>
      <c r="U203" s="270"/>
      <c r="V203" s="270"/>
      <c r="W203" s="270"/>
    </row>
    <row r="204" spans="1:23" s="26" customFormat="1" x14ac:dyDescent="0.2">
      <c r="A204" s="28" t="s">
        <v>72</v>
      </c>
      <c r="B204" s="31">
        <v>905</v>
      </c>
      <c r="C204" s="24" t="s">
        <v>51</v>
      </c>
      <c r="D204" s="24" t="s">
        <v>50</v>
      </c>
      <c r="E204" s="24" t="s">
        <v>281</v>
      </c>
      <c r="F204" s="24" t="s">
        <v>73</v>
      </c>
      <c r="G204" s="25"/>
      <c r="H204" s="25"/>
      <c r="I204" s="25"/>
      <c r="S204" s="270"/>
      <c r="T204" s="270"/>
      <c r="U204" s="270"/>
      <c r="V204" s="270"/>
      <c r="W204" s="270"/>
    </row>
    <row r="205" spans="1:23" s="9" customFormat="1" ht="25.5" x14ac:dyDescent="0.2">
      <c r="A205" s="40" t="s">
        <v>63</v>
      </c>
      <c r="B205" s="37">
        <v>906</v>
      </c>
      <c r="C205" s="41"/>
      <c r="D205" s="41"/>
      <c r="E205" s="41"/>
      <c r="F205" s="41"/>
      <c r="G205" s="39">
        <f t="shared" ref="G205:I206" si="34">G206</f>
        <v>2528.4</v>
      </c>
      <c r="H205" s="39">
        <f t="shared" si="34"/>
        <v>2528.4</v>
      </c>
      <c r="I205" s="39">
        <f t="shared" si="34"/>
        <v>2528.4</v>
      </c>
    </row>
    <row r="206" spans="1:23" s="3" customFormat="1" x14ac:dyDescent="0.2">
      <c r="A206" s="13" t="s">
        <v>60</v>
      </c>
      <c r="B206" s="42">
        <v>906</v>
      </c>
      <c r="C206" s="1" t="s">
        <v>12</v>
      </c>
      <c r="D206" s="1"/>
      <c r="E206" s="1"/>
      <c r="F206" s="1"/>
      <c r="G206" s="2">
        <f t="shared" si="34"/>
        <v>2528.4</v>
      </c>
      <c r="H206" s="2">
        <f t="shared" si="34"/>
        <v>2528.4</v>
      </c>
      <c r="I206" s="2">
        <f t="shared" si="34"/>
        <v>2528.4</v>
      </c>
    </row>
    <row r="207" spans="1:23" s="9" customFormat="1" ht="38.25" x14ac:dyDescent="0.2">
      <c r="A207" s="11" t="s">
        <v>82</v>
      </c>
      <c r="B207" s="14">
        <v>906</v>
      </c>
      <c r="C207" s="8" t="s">
        <v>12</v>
      </c>
      <c r="D207" s="8" t="s">
        <v>50</v>
      </c>
      <c r="E207" s="8"/>
      <c r="F207" s="8"/>
      <c r="G207" s="4">
        <f>G208+G212</f>
        <v>2528.4</v>
      </c>
      <c r="H207" s="4">
        <f>H208+H212</f>
        <v>2528.4</v>
      </c>
      <c r="I207" s="4">
        <f>I208+I212</f>
        <v>2528.4</v>
      </c>
    </row>
    <row r="208" spans="1:23" s="21" customFormat="1" x14ac:dyDescent="0.2">
      <c r="A208" s="18" t="s">
        <v>219</v>
      </c>
      <c r="B208" s="22">
        <v>906</v>
      </c>
      <c r="C208" s="19" t="s">
        <v>12</v>
      </c>
      <c r="D208" s="19" t="s">
        <v>50</v>
      </c>
      <c r="E208" s="19" t="s">
        <v>218</v>
      </c>
      <c r="F208" s="19"/>
      <c r="G208" s="20">
        <f>+G209+G210+G211</f>
        <v>1889.9</v>
      </c>
      <c r="H208" s="20">
        <f>+H209+H210+H211</f>
        <v>1889.9</v>
      </c>
      <c r="I208" s="20">
        <f>+I209+I210+I211</f>
        <v>1889.9</v>
      </c>
    </row>
    <row r="209" spans="1:9" s="26" customFormat="1" ht="53.25" customHeight="1" x14ac:dyDescent="0.2">
      <c r="A209" s="30" t="s">
        <v>66</v>
      </c>
      <c r="B209" s="32">
        <v>906</v>
      </c>
      <c r="C209" s="24" t="s">
        <v>12</v>
      </c>
      <c r="D209" s="24" t="s">
        <v>50</v>
      </c>
      <c r="E209" s="24" t="s">
        <v>218</v>
      </c>
      <c r="F209" s="27" t="s">
        <v>67</v>
      </c>
      <c r="G209" s="25">
        <f>1095.3+8.4+330.8</f>
        <v>1434.5</v>
      </c>
      <c r="H209" s="25">
        <f>1095.3+8.4+330.8</f>
        <v>1434.5</v>
      </c>
      <c r="I209" s="25">
        <f>1095.3+8.4+330.8</f>
        <v>1434.5</v>
      </c>
    </row>
    <row r="210" spans="1:9" s="26" customFormat="1" ht="25.5" x14ac:dyDescent="0.2">
      <c r="A210" s="28" t="s">
        <v>76</v>
      </c>
      <c r="B210" s="31">
        <v>906</v>
      </c>
      <c r="C210" s="24" t="s">
        <v>12</v>
      </c>
      <c r="D210" s="24" t="s">
        <v>50</v>
      </c>
      <c r="E210" s="24" t="s">
        <v>218</v>
      </c>
      <c r="F210" s="27" t="s">
        <v>68</v>
      </c>
      <c r="G210" s="25">
        <f>44.7+67.6+67.3+3+171.1+45.8+2.5+40+10+3</f>
        <v>455</v>
      </c>
      <c r="H210" s="25">
        <f>44.7+67.6+67.3+3+171.1+45.8+2.5+40+10+3</f>
        <v>455</v>
      </c>
      <c r="I210" s="25">
        <f>44.7+67.6+67.3+3+171.1+45.8+2.5+40+10+3</f>
        <v>455</v>
      </c>
    </row>
    <row r="211" spans="1:9" s="26" customFormat="1" x14ac:dyDescent="0.2">
      <c r="A211" s="28" t="s">
        <v>72</v>
      </c>
      <c r="B211" s="31">
        <v>906</v>
      </c>
      <c r="C211" s="24" t="s">
        <v>12</v>
      </c>
      <c r="D211" s="24" t="s">
        <v>50</v>
      </c>
      <c r="E211" s="24" t="s">
        <v>218</v>
      </c>
      <c r="F211" s="24" t="s">
        <v>73</v>
      </c>
      <c r="G211" s="25">
        <v>0.4</v>
      </c>
      <c r="H211" s="25">
        <v>0.4</v>
      </c>
      <c r="I211" s="25">
        <v>0.4</v>
      </c>
    </row>
    <row r="212" spans="1:9" s="21" customFormat="1" x14ac:dyDescent="0.2">
      <c r="A212" s="18" t="s">
        <v>220</v>
      </c>
      <c r="B212" s="22">
        <v>906</v>
      </c>
      <c r="C212" s="19" t="s">
        <v>12</v>
      </c>
      <c r="D212" s="19" t="s">
        <v>50</v>
      </c>
      <c r="E212" s="19" t="s">
        <v>221</v>
      </c>
      <c r="F212" s="19"/>
      <c r="G212" s="20">
        <f>G213</f>
        <v>638.5</v>
      </c>
      <c r="H212" s="20">
        <f>H213</f>
        <v>638.5</v>
      </c>
      <c r="I212" s="20">
        <f>I213</f>
        <v>638.5</v>
      </c>
    </row>
    <row r="213" spans="1:9" s="26" customFormat="1" ht="51" customHeight="1" x14ac:dyDescent="0.2">
      <c r="A213" s="30" t="s">
        <v>66</v>
      </c>
      <c r="B213" s="32">
        <v>906</v>
      </c>
      <c r="C213" s="24" t="s">
        <v>12</v>
      </c>
      <c r="D213" s="24" t="s">
        <v>50</v>
      </c>
      <c r="E213" s="24" t="s">
        <v>221</v>
      </c>
      <c r="F213" s="27" t="s">
        <v>67</v>
      </c>
      <c r="G213" s="25">
        <f>490.4+148.1</f>
        <v>638.5</v>
      </c>
      <c r="H213" s="25">
        <f>490.4+148.1</f>
        <v>638.5</v>
      </c>
      <c r="I213" s="25">
        <f>490.4+148.1</f>
        <v>638.5</v>
      </c>
    </row>
    <row r="214" spans="1:9" s="9" customFormat="1" ht="25.5" x14ac:dyDescent="0.2">
      <c r="A214" s="40" t="s">
        <v>77</v>
      </c>
      <c r="B214" s="37">
        <v>907</v>
      </c>
      <c r="C214" s="41"/>
      <c r="D214" s="41"/>
      <c r="E214" s="41"/>
      <c r="F214" s="41"/>
      <c r="G214" s="39">
        <f>G215</f>
        <v>7479.4000000000005</v>
      </c>
      <c r="H214" s="39">
        <f>H215</f>
        <v>7479.4000000000005</v>
      </c>
      <c r="I214" s="39">
        <f>I215</f>
        <v>7479.4000000000005</v>
      </c>
    </row>
    <row r="215" spans="1:9" s="3" customFormat="1" x14ac:dyDescent="0.2">
      <c r="A215" s="13" t="s">
        <v>60</v>
      </c>
      <c r="B215" s="42">
        <v>907</v>
      </c>
      <c r="C215" s="1" t="s">
        <v>12</v>
      </c>
      <c r="D215" s="1"/>
      <c r="E215" s="1"/>
      <c r="F215" s="1"/>
      <c r="G215" s="2">
        <f>G216+G225</f>
        <v>7479.4000000000005</v>
      </c>
      <c r="H215" s="2">
        <f>H216+H225</f>
        <v>7479.4000000000005</v>
      </c>
      <c r="I215" s="2">
        <f>I216+I225</f>
        <v>7479.4000000000005</v>
      </c>
    </row>
    <row r="216" spans="1:9" s="9" customFormat="1" ht="51" x14ac:dyDescent="0.2">
      <c r="A216" s="11" t="s">
        <v>15</v>
      </c>
      <c r="B216" s="14">
        <v>907</v>
      </c>
      <c r="C216" s="8" t="s">
        <v>12</v>
      </c>
      <c r="D216" s="8" t="s">
        <v>16</v>
      </c>
      <c r="E216" s="8"/>
      <c r="F216" s="8"/>
      <c r="G216" s="4">
        <f>G217+G221+G223</f>
        <v>7335.1</v>
      </c>
      <c r="H216" s="4">
        <f>H217+H221+H223</f>
        <v>7335.1</v>
      </c>
      <c r="I216" s="4">
        <f>I217+I221+I223</f>
        <v>7335.1</v>
      </c>
    </row>
    <row r="217" spans="1:9" s="21" customFormat="1" x14ac:dyDescent="0.2">
      <c r="A217" s="18" t="s">
        <v>219</v>
      </c>
      <c r="B217" s="22">
        <v>907</v>
      </c>
      <c r="C217" s="19" t="s">
        <v>12</v>
      </c>
      <c r="D217" s="19" t="s">
        <v>16</v>
      </c>
      <c r="E217" s="19" t="s">
        <v>218</v>
      </c>
      <c r="F217" s="19"/>
      <c r="G217" s="20">
        <f>G218+G219+G220</f>
        <v>3003.7</v>
      </c>
      <c r="H217" s="20">
        <f>H218+H219+H220</f>
        <v>3003.7</v>
      </c>
      <c r="I217" s="20">
        <f>I218+I219+I220</f>
        <v>3003.7</v>
      </c>
    </row>
    <row r="218" spans="1:9" s="26" customFormat="1" ht="51.75" customHeight="1" x14ac:dyDescent="0.2">
      <c r="A218" s="30" t="s">
        <v>66</v>
      </c>
      <c r="B218" s="32">
        <v>907</v>
      </c>
      <c r="C218" s="24" t="s">
        <v>12</v>
      </c>
      <c r="D218" s="24" t="s">
        <v>16</v>
      </c>
      <c r="E218" s="24" t="s">
        <v>218</v>
      </c>
      <c r="F218" s="27" t="s">
        <v>67</v>
      </c>
      <c r="G218" s="25">
        <v>2547.6</v>
      </c>
      <c r="H218" s="25">
        <v>2547.6</v>
      </c>
      <c r="I218" s="25">
        <v>2547.6</v>
      </c>
    </row>
    <row r="219" spans="1:9" s="26" customFormat="1" ht="25.5" x14ac:dyDescent="0.2">
      <c r="A219" s="28" t="s">
        <v>76</v>
      </c>
      <c r="B219" s="32">
        <v>907</v>
      </c>
      <c r="C219" s="24" t="s">
        <v>12</v>
      </c>
      <c r="D219" s="24" t="s">
        <v>16</v>
      </c>
      <c r="E219" s="24" t="s">
        <v>218</v>
      </c>
      <c r="F219" s="27" t="s">
        <v>68</v>
      </c>
      <c r="G219" s="25">
        <v>454.1</v>
      </c>
      <c r="H219" s="25">
        <v>454.1</v>
      </c>
      <c r="I219" s="25">
        <v>454.1</v>
      </c>
    </row>
    <row r="220" spans="1:9" s="26" customFormat="1" x14ac:dyDescent="0.2">
      <c r="A220" s="28" t="s">
        <v>72</v>
      </c>
      <c r="B220" s="31">
        <v>907</v>
      </c>
      <c r="C220" s="24" t="s">
        <v>12</v>
      </c>
      <c r="D220" s="24" t="s">
        <v>16</v>
      </c>
      <c r="E220" s="24" t="s">
        <v>218</v>
      </c>
      <c r="F220" s="24" t="s">
        <v>73</v>
      </c>
      <c r="G220" s="25">
        <v>2</v>
      </c>
      <c r="H220" s="25">
        <v>2</v>
      </c>
      <c r="I220" s="25">
        <v>2</v>
      </c>
    </row>
    <row r="221" spans="1:9" s="21" customFormat="1" ht="25.5" x14ac:dyDescent="0.2">
      <c r="A221" s="18" t="s">
        <v>222</v>
      </c>
      <c r="B221" s="22">
        <v>907</v>
      </c>
      <c r="C221" s="19" t="s">
        <v>12</v>
      </c>
      <c r="D221" s="19" t="s">
        <v>16</v>
      </c>
      <c r="E221" s="19" t="s">
        <v>224</v>
      </c>
      <c r="F221" s="19"/>
      <c r="G221" s="20">
        <f>G222</f>
        <v>1514.4</v>
      </c>
      <c r="H221" s="20">
        <f>H222</f>
        <v>1514.4</v>
      </c>
      <c r="I221" s="20">
        <f>I222</f>
        <v>1514.4</v>
      </c>
    </row>
    <row r="222" spans="1:9" s="26" customFormat="1" ht="51.75" customHeight="1" x14ac:dyDescent="0.2">
      <c r="A222" s="30" t="s">
        <v>66</v>
      </c>
      <c r="B222" s="32">
        <v>907</v>
      </c>
      <c r="C222" s="24" t="s">
        <v>12</v>
      </c>
      <c r="D222" s="24" t="s">
        <v>16</v>
      </c>
      <c r="E222" s="24" t="s">
        <v>224</v>
      </c>
      <c r="F222" s="27" t="s">
        <v>67</v>
      </c>
      <c r="G222" s="25">
        <v>1514.4</v>
      </c>
      <c r="H222" s="25">
        <v>1514.4</v>
      </c>
      <c r="I222" s="25">
        <v>1514.4</v>
      </c>
    </row>
    <row r="223" spans="1:9" s="21" customFormat="1" ht="25.5" x14ac:dyDescent="0.2">
      <c r="A223" s="18" t="s">
        <v>223</v>
      </c>
      <c r="B223" s="22">
        <v>907</v>
      </c>
      <c r="C223" s="19" t="s">
        <v>12</v>
      </c>
      <c r="D223" s="19" t="s">
        <v>16</v>
      </c>
      <c r="E223" s="19" t="s">
        <v>225</v>
      </c>
      <c r="F223" s="19"/>
      <c r="G223" s="20">
        <f>G224</f>
        <v>2817</v>
      </c>
      <c r="H223" s="20">
        <f>H224</f>
        <v>2817</v>
      </c>
      <c r="I223" s="20">
        <f>I224</f>
        <v>2817</v>
      </c>
    </row>
    <row r="224" spans="1:9" s="26" customFormat="1" ht="51" customHeight="1" x14ac:dyDescent="0.2">
      <c r="A224" s="30" t="s">
        <v>66</v>
      </c>
      <c r="B224" s="32">
        <v>907</v>
      </c>
      <c r="C224" s="24" t="s">
        <v>12</v>
      </c>
      <c r="D224" s="24" t="s">
        <v>16</v>
      </c>
      <c r="E224" s="24" t="s">
        <v>225</v>
      </c>
      <c r="F224" s="27" t="s">
        <v>67</v>
      </c>
      <c r="G224" s="25">
        <v>2817</v>
      </c>
      <c r="H224" s="25">
        <v>2817</v>
      </c>
      <c r="I224" s="25">
        <v>2817</v>
      </c>
    </row>
    <row r="225" spans="1:9" s="9" customFormat="1" x14ac:dyDescent="0.2">
      <c r="A225" s="11" t="s">
        <v>24</v>
      </c>
      <c r="B225" s="14">
        <v>907</v>
      </c>
      <c r="C225" s="8" t="s">
        <v>12</v>
      </c>
      <c r="D225" s="8" t="s">
        <v>61</v>
      </c>
      <c r="E225" s="8"/>
      <c r="F225" s="8"/>
      <c r="G225" s="4">
        <f t="shared" ref="G225:I226" si="35">G226</f>
        <v>144.30000000000001</v>
      </c>
      <c r="H225" s="4">
        <f t="shared" si="35"/>
        <v>144.30000000000001</v>
      </c>
      <c r="I225" s="4">
        <f t="shared" si="35"/>
        <v>144.30000000000001</v>
      </c>
    </row>
    <row r="226" spans="1:9" s="21" customFormat="1" x14ac:dyDescent="0.2">
      <c r="A226" s="18" t="s">
        <v>227</v>
      </c>
      <c r="B226" s="22">
        <v>907</v>
      </c>
      <c r="C226" s="19" t="s">
        <v>12</v>
      </c>
      <c r="D226" s="19" t="s">
        <v>61</v>
      </c>
      <c r="E226" s="19" t="s">
        <v>226</v>
      </c>
      <c r="F226" s="19"/>
      <c r="G226" s="20">
        <f t="shared" si="35"/>
        <v>144.30000000000001</v>
      </c>
      <c r="H226" s="20">
        <f t="shared" si="35"/>
        <v>144.30000000000001</v>
      </c>
      <c r="I226" s="20">
        <f t="shared" si="35"/>
        <v>144.30000000000001</v>
      </c>
    </row>
    <row r="227" spans="1:9" s="26" customFormat="1" x14ac:dyDescent="0.2">
      <c r="A227" s="28" t="s">
        <v>69</v>
      </c>
      <c r="B227" s="31">
        <v>907</v>
      </c>
      <c r="C227" s="24" t="s">
        <v>12</v>
      </c>
      <c r="D227" s="24" t="s">
        <v>61</v>
      </c>
      <c r="E227" s="24" t="s">
        <v>226</v>
      </c>
      <c r="F227" s="24" t="s">
        <v>70</v>
      </c>
      <c r="G227" s="25">
        <v>144.30000000000001</v>
      </c>
      <c r="H227" s="25">
        <v>144.30000000000001</v>
      </c>
      <c r="I227" s="25">
        <v>144.30000000000001</v>
      </c>
    </row>
    <row r="228" spans="1:9" s="9" customFormat="1" ht="25.5" x14ac:dyDescent="0.2">
      <c r="A228" s="40" t="s">
        <v>46</v>
      </c>
      <c r="B228" s="37">
        <v>911</v>
      </c>
      <c r="C228" s="41"/>
      <c r="D228" s="41"/>
      <c r="E228" s="41"/>
      <c r="F228" s="41"/>
      <c r="G228" s="39">
        <f>G229+G324</f>
        <v>1219127.2</v>
      </c>
      <c r="H228" s="39">
        <f>H229+H324</f>
        <v>1218844.2000000002</v>
      </c>
      <c r="I228" s="39">
        <f>I229+I324</f>
        <v>1177212.6000000001</v>
      </c>
    </row>
    <row r="229" spans="1:9" s="99" customFormat="1" x14ac:dyDescent="0.2">
      <c r="A229" s="98" t="s">
        <v>37</v>
      </c>
      <c r="B229" s="64">
        <v>911</v>
      </c>
      <c r="C229" s="65" t="s">
        <v>19</v>
      </c>
      <c r="D229" s="65"/>
      <c r="E229" s="65"/>
      <c r="F229" s="65"/>
      <c r="G229" s="68">
        <f>G230+G245+G277+G286</f>
        <v>1159006</v>
      </c>
      <c r="H229" s="68">
        <f>H230+H245+H277+H286</f>
        <v>1159006.0000000002</v>
      </c>
      <c r="I229" s="68">
        <f>I230+I245+I277+I286</f>
        <v>1119323.5</v>
      </c>
    </row>
    <row r="230" spans="1:9" s="9" customFormat="1" x14ac:dyDescent="0.2">
      <c r="A230" s="11" t="s">
        <v>38</v>
      </c>
      <c r="B230" s="14">
        <v>911</v>
      </c>
      <c r="C230" s="8" t="s">
        <v>19</v>
      </c>
      <c r="D230" s="8" t="s">
        <v>12</v>
      </c>
      <c r="E230" s="8"/>
      <c r="F230" s="8"/>
      <c r="G230" s="4">
        <f>G234+G236+G240+G231</f>
        <v>443073.8</v>
      </c>
      <c r="H230" s="4">
        <f t="shared" ref="H230:I230" si="36">H234+H236+H240+H231</f>
        <v>439750.1</v>
      </c>
      <c r="I230" s="4">
        <f t="shared" si="36"/>
        <v>431938.5</v>
      </c>
    </row>
    <row r="231" spans="1:9" ht="25.5" x14ac:dyDescent="0.2">
      <c r="A231" s="89" t="s">
        <v>163</v>
      </c>
      <c r="B231" s="89">
        <v>911</v>
      </c>
      <c r="C231" s="77" t="s">
        <v>19</v>
      </c>
      <c r="D231" s="77" t="s">
        <v>12</v>
      </c>
      <c r="E231" s="77" t="s">
        <v>162</v>
      </c>
      <c r="F231" s="90"/>
      <c r="G231" s="91">
        <f>G233+G232</f>
        <v>6701.7999999999993</v>
      </c>
      <c r="H231" s="91">
        <f t="shared" ref="H231:I231" si="37">H233+H232</f>
        <v>6701.7999999999993</v>
      </c>
      <c r="I231" s="91">
        <f t="shared" si="37"/>
        <v>6701.7999999999993</v>
      </c>
    </row>
    <row r="232" spans="1:9" ht="25.5" x14ac:dyDescent="0.2">
      <c r="A232" s="28" t="s">
        <v>76</v>
      </c>
      <c r="B232" s="87">
        <v>911</v>
      </c>
      <c r="C232" s="82" t="s">
        <v>19</v>
      </c>
      <c r="D232" s="82" t="s">
        <v>12</v>
      </c>
      <c r="E232" s="82" t="s">
        <v>162</v>
      </c>
      <c r="F232" s="82" t="s">
        <v>68</v>
      </c>
      <c r="G232" s="62">
        <f>362+815</f>
        <v>1177</v>
      </c>
      <c r="H232" s="62">
        <f>362+815</f>
        <v>1177</v>
      </c>
      <c r="I232" s="62">
        <f>362+815</f>
        <v>1177</v>
      </c>
    </row>
    <row r="233" spans="1:9" ht="25.5" x14ac:dyDescent="0.2">
      <c r="A233" s="87" t="s">
        <v>141</v>
      </c>
      <c r="B233" s="87">
        <v>911</v>
      </c>
      <c r="C233" s="82" t="s">
        <v>19</v>
      </c>
      <c r="D233" s="82" t="s">
        <v>12</v>
      </c>
      <c r="E233" s="82" t="s">
        <v>162</v>
      </c>
      <c r="F233" s="82" t="s">
        <v>65</v>
      </c>
      <c r="G233" s="62">
        <f>2104.2+3420.6</f>
        <v>5524.7999999999993</v>
      </c>
      <c r="H233" s="62">
        <f>2104.2+3420.6</f>
        <v>5524.7999999999993</v>
      </c>
      <c r="I233" s="62">
        <f>2104.2+3420.6</f>
        <v>5524.7999999999993</v>
      </c>
    </row>
    <row r="234" spans="1:9" s="21" customFormat="1" x14ac:dyDescent="0.2">
      <c r="A234" s="18" t="s">
        <v>174</v>
      </c>
      <c r="B234" s="22">
        <v>911</v>
      </c>
      <c r="C234" s="19" t="s">
        <v>19</v>
      </c>
      <c r="D234" s="19" t="s">
        <v>12</v>
      </c>
      <c r="E234" s="24" t="s">
        <v>173</v>
      </c>
      <c r="F234" s="19"/>
      <c r="G234" s="20">
        <f>G235</f>
        <v>3323.7</v>
      </c>
      <c r="H234" s="20">
        <f>H235</f>
        <v>0</v>
      </c>
      <c r="I234" s="20">
        <f>I235</f>
        <v>0</v>
      </c>
    </row>
    <row r="235" spans="1:9" s="26" customFormat="1" ht="25.5" x14ac:dyDescent="0.2">
      <c r="A235" s="28" t="s">
        <v>83</v>
      </c>
      <c r="B235" s="22">
        <v>911</v>
      </c>
      <c r="C235" s="19" t="s">
        <v>19</v>
      </c>
      <c r="D235" s="19" t="s">
        <v>12</v>
      </c>
      <c r="E235" s="24" t="s">
        <v>173</v>
      </c>
      <c r="F235" s="24" t="s">
        <v>71</v>
      </c>
      <c r="G235" s="25">
        <v>3323.7</v>
      </c>
      <c r="H235" s="25"/>
      <c r="I235" s="25"/>
    </row>
    <row r="236" spans="1:9" s="21" customFormat="1" ht="51" x14ac:dyDescent="0.2">
      <c r="A236" s="60" t="s">
        <v>360</v>
      </c>
      <c r="B236" s="22">
        <v>911</v>
      </c>
      <c r="C236" s="19" t="s">
        <v>19</v>
      </c>
      <c r="D236" s="19" t="s">
        <v>12</v>
      </c>
      <c r="E236" s="19" t="s">
        <v>123</v>
      </c>
      <c r="F236" s="19"/>
      <c r="G236" s="20">
        <f>G239+G237+G238</f>
        <v>256466.7</v>
      </c>
      <c r="H236" s="20">
        <f t="shared" ref="H236:I236" si="38">H239+H237+H238</f>
        <v>256466.7</v>
      </c>
      <c r="I236" s="20">
        <f t="shared" si="38"/>
        <v>256466.7</v>
      </c>
    </row>
    <row r="237" spans="1:9" ht="49.5" customHeight="1" x14ac:dyDescent="0.2">
      <c r="A237" s="80" t="s">
        <v>66</v>
      </c>
      <c r="B237" s="85">
        <v>911</v>
      </c>
      <c r="C237" s="82" t="s">
        <v>19</v>
      </c>
      <c r="D237" s="82" t="s">
        <v>12</v>
      </c>
      <c r="E237" s="82" t="s">
        <v>123</v>
      </c>
      <c r="F237" s="83" t="s">
        <v>67</v>
      </c>
      <c r="G237" s="62">
        <f>37630.8+3896.7</f>
        <v>41527.5</v>
      </c>
      <c r="H237" s="62">
        <f>37630.8+3896.7</f>
        <v>41527.5</v>
      </c>
      <c r="I237" s="62">
        <f>37630.8+3896.7</f>
        <v>41527.5</v>
      </c>
    </row>
    <row r="238" spans="1:9" s="21" customFormat="1" ht="25.5" x14ac:dyDescent="0.2">
      <c r="A238" s="28" t="s">
        <v>76</v>
      </c>
      <c r="B238" s="23">
        <v>911</v>
      </c>
      <c r="C238" s="24" t="s">
        <v>19</v>
      </c>
      <c r="D238" s="24" t="s">
        <v>12</v>
      </c>
      <c r="E238" s="24" t="s">
        <v>123</v>
      </c>
      <c r="F238" s="27" t="s">
        <v>68</v>
      </c>
      <c r="G238" s="25">
        <f>153-4.6</f>
        <v>148.4</v>
      </c>
      <c r="H238" s="25">
        <f>153-4.6</f>
        <v>148.4</v>
      </c>
      <c r="I238" s="25">
        <f>153-4.6</f>
        <v>148.4</v>
      </c>
    </row>
    <row r="239" spans="1:9" s="84" customFormat="1" ht="25.5" x14ac:dyDescent="0.2">
      <c r="A239" s="87" t="s">
        <v>141</v>
      </c>
      <c r="B239" s="86">
        <v>911</v>
      </c>
      <c r="C239" s="82" t="s">
        <v>19</v>
      </c>
      <c r="D239" s="82" t="s">
        <v>12</v>
      </c>
      <c r="E239" s="82" t="s">
        <v>123</v>
      </c>
      <c r="F239" s="82" t="s">
        <v>65</v>
      </c>
      <c r="G239" s="62">
        <f>197353.7+17437.1</f>
        <v>214790.80000000002</v>
      </c>
      <c r="H239" s="62">
        <f>197353.7+17437.1</f>
        <v>214790.80000000002</v>
      </c>
      <c r="I239" s="62">
        <f>197353.7+17437.1</f>
        <v>214790.80000000002</v>
      </c>
    </row>
    <row r="240" spans="1:9" ht="63.75" x14ac:dyDescent="0.2">
      <c r="A240" s="75" t="s">
        <v>344</v>
      </c>
      <c r="B240" s="76">
        <v>911</v>
      </c>
      <c r="C240" s="77" t="s">
        <v>19</v>
      </c>
      <c r="D240" s="77" t="s">
        <v>12</v>
      </c>
      <c r="E240" s="77" t="s">
        <v>237</v>
      </c>
      <c r="F240" s="77"/>
      <c r="G240" s="78">
        <f>G243+G242+G241+G244</f>
        <v>176581.59999999998</v>
      </c>
      <c r="H240" s="78">
        <f>H243+H242+H241+H244</f>
        <v>176581.59999999998</v>
      </c>
      <c r="I240" s="78">
        <f>I243+I242+I241+I244</f>
        <v>168770</v>
      </c>
    </row>
    <row r="241" spans="1:17" ht="53.25" customHeight="1" x14ac:dyDescent="0.2">
      <c r="A241" s="80" t="s">
        <v>66</v>
      </c>
      <c r="B241" s="76">
        <v>911</v>
      </c>
      <c r="C241" s="77" t="s">
        <v>19</v>
      </c>
      <c r="D241" s="77" t="s">
        <v>12</v>
      </c>
      <c r="E241" s="77" t="s">
        <v>237</v>
      </c>
      <c r="F241" s="77" t="s">
        <v>67</v>
      </c>
      <c r="G241" s="78">
        <v>22781.9</v>
      </c>
      <c r="H241" s="78">
        <v>22781.9</v>
      </c>
      <c r="I241" s="78">
        <v>22781.9</v>
      </c>
    </row>
    <row r="242" spans="1:17" s="21" customFormat="1" ht="25.5" x14ac:dyDescent="0.2">
      <c r="A242" s="28" t="s">
        <v>76</v>
      </c>
      <c r="B242" s="23">
        <v>911</v>
      </c>
      <c r="C242" s="24" t="s">
        <v>19</v>
      </c>
      <c r="D242" s="24" t="s">
        <v>12</v>
      </c>
      <c r="E242" s="24" t="s">
        <v>237</v>
      </c>
      <c r="F242" s="27" t="s">
        <v>68</v>
      </c>
      <c r="G242" s="25">
        <f>5701.8+4085.8-81.3</f>
        <v>9706.3000000000011</v>
      </c>
      <c r="H242" s="25">
        <f>5701.8+4085.8-81.3</f>
        <v>9706.3000000000011</v>
      </c>
      <c r="I242" s="25">
        <f>5701.8+3176.2-81.3</f>
        <v>8796.7000000000007</v>
      </c>
      <c r="J242" s="117"/>
      <c r="K242" s="117"/>
      <c r="L242" s="117"/>
      <c r="M242" s="117"/>
      <c r="N242" s="117"/>
      <c r="O242" s="117"/>
      <c r="P242" s="117"/>
      <c r="Q242" s="117"/>
    </row>
    <row r="243" spans="1:17" s="26" customFormat="1" ht="25.5" x14ac:dyDescent="0.2">
      <c r="A243" s="28" t="s">
        <v>141</v>
      </c>
      <c r="B243" s="31">
        <v>911</v>
      </c>
      <c r="C243" s="24" t="s">
        <v>19</v>
      </c>
      <c r="D243" s="24" t="s">
        <v>12</v>
      </c>
      <c r="E243" s="24" t="s">
        <v>237</v>
      </c>
      <c r="F243" s="24" t="s">
        <v>65</v>
      </c>
      <c r="G243" s="25">
        <f>147302.9-3800</f>
        <v>143502.9</v>
      </c>
      <c r="H243" s="25">
        <f>147302.9-3800</f>
        <v>143502.9</v>
      </c>
      <c r="I243" s="25">
        <f>140400.9-3800</f>
        <v>136600.9</v>
      </c>
      <c r="J243" s="118"/>
      <c r="K243" s="118"/>
      <c r="L243" s="118"/>
      <c r="M243" s="118"/>
      <c r="N243" s="118"/>
      <c r="O243" s="118"/>
      <c r="P243" s="118"/>
      <c r="Q243" s="118"/>
    </row>
    <row r="244" spans="1:17" s="84" customFormat="1" x14ac:dyDescent="0.2">
      <c r="A244" s="87" t="s">
        <v>72</v>
      </c>
      <c r="B244" s="86">
        <v>911</v>
      </c>
      <c r="C244" s="82" t="s">
        <v>19</v>
      </c>
      <c r="D244" s="82" t="s">
        <v>12</v>
      </c>
      <c r="E244" s="82" t="s">
        <v>237</v>
      </c>
      <c r="F244" s="82" t="s">
        <v>73</v>
      </c>
      <c r="G244" s="62">
        <v>590.5</v>
      </c>
      <c r="H244" s="62">
        <v>590.5</v>
      </c>
      <c r="I244" s="62">
        <v>590.5</v>
      </c>
    </row>
    <row r="245" spans="1:17" s="74" customFormat="1" x14ac:dyDescent="0.2">
      <c r="A245" s="70" t="s">
        <v>39</v>
      </c>
      <c r="B245" s="71">
        <v>911</v>
      </c>
      <c r="C245" s="72" t="s">
        <v>19</v>
      </c>
      <c r="D245" s="72" t="s">
        <v>14</v>
      </c>
      <c r="E245" s="72"/>
      <c r="F245" s="72"/>
      <c r="G245" s="73">
        <f>G249+G253+G257+G259+G261+G265+G274+G271+G268+G246</f>
        <v>514312.40000000008</v>
      </c>
      <c r="H245" s="73">
        <f t="shared" ref="H245:I245" si="39">H249+H253+H257+H259+H261+H265+H274+H271+H268+H246</f>
        <v>517636.20000000007</v>
      </c>
      <c r="I245" s="73">
        <f t="shared" si="39"/>
        <v>489731.7</v>
      </c>
    </row>
    <row r="246" spans="1:17" ht="25.5" x14ac:dyDescent="0.2">
      <c r="A246" s="89" t="s">
        <v>163</v>
      </c>
      <c r="B246" s="89">
        <v>911</v>
      </c>
      <c r="C246" s="77" t="s">
        <v>19</v>
      </c>
      <c r="D246" s="77" t="s">
        <v>14</v>
      </c>
      <c r="E246" s="77" t="s">
        <v>162</v>
      </c>
      <c r="F246" s="90"/>
      <c r="G246" s="91">
        <f>G248+G247</f>
        <v>6744.9</v>
      </c>
      <c r="H246" s="91">
        <f t="shared" ref="H246" si="40">H248+H247</f>
        <v>6744.9</v>
      </c>
      <c r="I246" s="91">
        <f t="shared" ref="I246" si="41">I248+I247</f>
        <v>6744.9</v>
      </c>
    </row>
    <row r="247" spans="1:17" ht="25.5" x14ac:dyDescent="0.2">
      <c r="A247" s="28" t="s">
        <v>76</v>
      </c>
      <c r="B247" s="87">
        <v>911</v>
      </c>
      <c r="C247" s="82" t="s">
        <v>19</v>
      </c>
      <c r="D247" s="82" t="s">
        <v>14</v>
      </c>
      <c r="E247" s="82" t="s">
        <v>162</v>
      </c>
      <c r="F247" s="82" t="s">
        <v>68</v>
      </c>
      <c r="G247" s="62">
        <f>702.1+1300</f>
        <v>2002.1</v>
      </c>
      <c r="H247" s="62">
        <f>702.1+1300</f>
        <v>2002.1</v>
      </c>
      <c r="I247" s="62">
        <f>702.1+1300</f>
        <v>2002.1</v>
      </c>
    </row>
    <row r="248" spans="1:17" ht="25.5" x14ac:dyDescent="0.2">
      <c r="A248" s="87" t="s">
        <v>141</v>
      </c>
      <c r="B248" s="87">
        <v>911</v>
      </c>
      <c r="C248" s="82" t="s">
        <v>19</v>
      </c>
      <c r="D248" s="82" t="s">
        <v>14</v>
      </c>
      <c r="E248" s="82" t="s">
        <v>162</v>
      </c>
      <c r="F248" s="82" t="s">
        <v>65</v>
      </c>
      <c r="G248" s="62">
        <f>2092.1+2650.7</f>
        <v>4742.7999999999993</v>
      </c>
      <c r="H248" s="62">
        <f>2092.1+2650.7</f>
        <v>4742.7999999999993</v>
      </c>
      <c r="I248" s="62">
        <f>2092.1+2650.7</f>
        <v>4742.7999999999993</v>
      </c>
    </row>
    <row r="249" spans="1:17" s="21" customFormat="1" ht="24.75" customHeight="1" x14ac:dyDescent="0.2">
      <c r="A249" s="18" t="s">
        <v>228</v>
      </c>
      <c r="B249" s="22">
        <v>911</v>
      </c>
      <c r="C249" s="19" t="s">
        <v>19</v>
      </c>
      <c r="D249" s="19" t="s">
        <v>14</v>
      </c>
      <c r="E249" s="19" t="s">
        <v>121</v>
      </c>
      <c r="F249" s="19"/>
      <c r="G249" s="20">
        <f>G250+G251+G252</f>
        <v>46674.7</v>
      </c>
      <c r="H249" s="20">
        <f>H250+H251+H252</f>
        <v>46674.7</v>
      </c>
      <c r="I249" s="20">
        <f>I250+I251+I252</f>
        <v>46674.7</v>
      </c>
    </row>
    <row r="250" spans="1:17" s="84" customFormat="1" ht="50.25" customHeight="1" x14ac:dyDescent="0.2">
      <c r="A250" s="85" t="s">
        <v>66</v>
      </c>
      <c r="B250" s="86">
        <v>911</v>
      </c>
      <c r="C250" s="82" t="s">
        <v>19</v>
      </c>
      <c r="D250" s="82" t="s">
        <v>14</v>
      </c>
      <c r="E250" s="82" t="s">
        <v>121</v>
      </c>
      <c r="F250" s="83" t="s">
        <v>67</v>
      </c>
      <c r="G250" s="62">
        <f>33194.5+1658.7</f>
        <v>34853.199999999997</v>
      </c>
      <c r="H250" s="62">
        <f>33194.5+1658.7</f>
        <v>34853.199999999997</v>
      </c>
      <c r="I250" s="62">
        <f>33194.5+1658.7</f>
        <v>34853.199999999997</v>
      </c>
    </row>
    <row r="251" spans="1:17" s="84" customFormat="1" ht="24.75" customHeight="1" x14ac:dyDescent="0.2">
      <c r="A251" s="87" t="s">
        <v>76</v>
      </c>
      <c r="B251" s="86">
        <v>911</v>
      </c>
      <c r="C251" s="82" t="s">
        <v>19</v>
      </c>
      <c r="D251" s="82" t="s">
        <v>14</v>
      </c>
      <c r="E251" s="82" t="s">
        <v>121</v>
      </c>
      <c r="F251" s="83" t="s">
        <v>68</v>
      </c>
      <c r="G251" s="62">
        <f>11009.1+37.1</f>
        <v>11046.2</v>
      </c>
      <c r="H251" s="62">
        <f>11009.1+37.1</f>
        <v>11046.2</v>
      </c>
      <c r="I251" s="62">
        <f>11009.1+37.1</f>
        <v>11046.2</v>
      </c>
    </row>
    <row r="252" spans="1:17" s="26" customFormat="1" x14ac:dyDescent="0.2">
      <c r="A252" s="28" t="s">
        <v>72</v>
      </c>
      <c r="B252" s="31">
        <v>911</v>
      </c>
      <c r="C252" s="24" t="s">
        <v>19</v>
      </c>
      <c r="D252" s="24" t="s">
        <v>14</v>
      </c>
      <c r="E252" s="24" t="s">
        <v>121</v>
      </c>
      <c r="F252" s="24" t="s">
        <v>73</v>
      </c>
      <c r="G252" s="25">
        <v>775.3</v>
      </c>
      <c r="H252" s="25">
        <v>775.3</v>
      </c>
      <c r="I252" s="25">
        <v>775.3</v>
      </c>
    </row>
    <row r="253" spans="1:17" s="21" customFormat="1" ht="76.5" x14ac:dyDescent="0.2">
      <c r="A253" s="18" t="s">
        <v>229</v>
      </c>
      <c r="B253" s="22">
        <v>911</v>
      </c>
      <c r="C253" s="19" t="s">
        <v>19</v>
      </c>
      <c r="D253" s="19" t="s">
        <v>14</v>
      </c>
      <c r="E253" s="19" t="s">
        <v>119</v>
      </c>
      <c r="F253" s="19"/>
      <c r="G253" s="20">
        <f>G256+G254+G255</f>
        <v>400168.9</v>
      </c>
      <c r="H253" s="20">
        <f>H256+H254+H255</f>
        <v>400168.9</v>
      </c>
      <c r="I253" s="20">
        <f>I256+I254+I255</f>
        <v>400168.9</v>
      </c>
    </row>
    <row r="254" spans="1:17" s="84" customFormat="1" ht="63.75" x14ac:dyDescent="0.2">
      <c r="A254" s="85" t="s">
        <v>66</v>
      </c>
      <c r="B254" s="86">
        <v>911</v>
      </c>
      <c r="C254" s="82" t="s">
        <v>19</v>
      </c>
      <c r="D254" s="82" t="s">
        <v>14</v>
      </c>
      <c r="E254" s="82" t="s">
        <v>119</v>
      </c>
      <c r="F254" s="83" t="s">
        <v>67</v>
      </c>
      <c r="G254" s="62">
        <f>69475.5+1458.3</f>
        <v>70933.8</v>
      </c>
      <c r="H254" s="62">
        <f>69475.5+1458.3</f>
        <v>70933.8</v>
      </c>
      <c r="I254" s="62">
        <f>69475.5+1458.3</f>
        <v>70933.8</v>
      </c>
    </row>
    <row r="255" spans="1:17" s="84" customFormat="1" ht="25.5" x14ac:dyDescent="0.2">
      <c r="A255" s="87" t="s">
        <v>76</v>
      </c>
      <c r="B255" s="86">
        <v>911</v>
      </c>
      <c r="C255" s="82" t="s">
        <v>19</v>
      </c>
      <c r="D255" s="82" t="s">
        <v>14</v>
      </c>
      <c r="E255" s="82" t="s">
        <v>119</v>
      </c>
      <c r="F255" s="83" t="s">
        <v>68</v>
      </c>
      <c r="G255" s="62">
        <f>1797.9+71.3</f>
        <v>1869.2</v>
      </c>
      <c r="H255" s="62">
        <f>1797.9+71.3</f>
        <v>1869.2</v>
      </c>
      <c r="I255" s="62">
        <f>1797.9+71.3</f>
        <v>1869.2</v>
      </c>
    </row>
    <row r="256" spans="1:17" s="84" customFormat="1" ht="25.5" x14ac:dyDescent="0.2">
      <c r="A256" s="87" t="s">
        <v>141</v>
      </c>
      <c r="B256" s="86">
        <v>911</v>
      </c>
      <c r="C256" s="82" t="s">
        <v>19</v>
      </c>
      <c r="D256" s="82" t="s">
        <v>14</v>
      </c>
      <c r="E256" s="82" t="s">
        <v>119</v>
      </c>
      <c r="F256" s="82" t="s">
        <v>65</v>
      </c>
      <c r="G256" s="62">
        <f>310315.9+17050</f>
        <v>327365.90000000002</v>
      </c>
      <c r="H256" s="62">
        <f>310315.9+17050</f>
        <v>327365.90000000002</v>
      </c>
      <c r="I256" s="62">
        <f>310315.9+17050</f>
        <v>327365.90000000002</v>
      </c>
    </row>
    <row r="257" spans="1:17" s="21" customFormat="1" ht="38.25" x14ac:dyDescent="0.2">
      <c r="A257" s="18" t="s">
        <v>230</v>
      </c>
      <c r="B257" s="22">
        <v>911</v>
      </c>
      <c r="C257" s="19" t="s">
        <v>19</v>
      </c>
      <c r="D257" s="19" t="s">
        <v>14</v>
      </c>
      <c r="E257" s="19" t="s">
        <v>120</v>
      </c>
      <c r="F257" s="19"/>
      <c r="G257" s="20">
        <f>G258</f>
        <v>3738</v>
      </c>
      <c r="H257" s="20">
        <f>H258</f>
        <v>3738</v>
      </c>
      <c r="I257" s="20">
        <f>I258</f>
        <v>3738</v>
      </c>
    </row>
    <row r="258" spans="1:17" s="26" customFormat="1" ht="25.5" x14ac:dyDescent="0.2">
      <c r="A258" s="28" t="s">
        <v>76</v>
      </c>
      <c r="B258" s="31">
        <v>911</v>
      </c>
      <c r="C258" s="24" t="s">
        <v>19</v>
      </c>
      <c r="D258" s="24" t="s">
        <v>14</v>
      </c>
      <c r="E258" s="24" t="s">
        <v>120</v>
      </c>
      <c r="F258" s="27" t="s">
        <v>68</v>
      </c>
      <c r="G258" s="25">
        <v>3738</v>
      </c>
      <c r="H258" s="25">
        <v>3738</v>
      </c>
      <c r="I258" s="25">
        <v>3738</v>
      </c>
    </row>
    <row r="259" spans="1:17" s="21" customFormat="1" ht="63.75" x14ac:dyDescent="0.2">
      <c r="A259" s="18" t="s">
        <v>344</v>
      </c>
      <c r="B259" s="22">
        <v>911</v>
      </c>
      <c r="C259" s="19" t="s">
        <v>19</v>
      </c>
      <c r="D259" s="19" t="s">
        <v>14</v>
      </c>
      <c r="E259" s="19" t="s">
        <v>232</v>
      </c>
      <c r="F259" s="19"/>
      <c r="G259" s="20">
        <f>G260</f>
        <v>48374.2</v>
      </c>
      <c r="H259" s="20">
        <f>H260</f>
        <v>51697.999999999993</v>
      </c>
      <c r="I259" s="20">
        <f>I260</f>
        <v>24586.399999999994</v>
      </c>
      <c r="J259" s="117"/>
      <c r="K259" s="117"/>
      <c r="L259" s="117"/>
      <c r="M259" s="117"/>
      <c r="N259" s="117"/>
      <c r="O259" s="117"/>
      <c r="P259" s="117"/>
      <c r="Q259" s="117"/>
    </row>
    <row r="260" spans="1:17" s="26" customFormat="1" ht="25.5" x14ac:dyDescent="0.2">
      <c r="A260" s="28" t="s">
        <v>141</v>
      </c>
      <c r="B260" s="31">
        <v>911</v>
      </c>
      <c r="C260" s="24" t="s">
        <v>19</v>
      </c>
      <c r="D260" s="24" t="s">
        <v>14</v>
      </c>
      <c r="E260" s="24" t="s">
        <v>232</v>
      </c>
      <c r="F260" s="24" t="s">
        <v>65</v>
      </c>
      <c r="G260" s="25">
        <f>53419.2-5045</f>
        <v>48374.2</v>
      </c>
      <c r="H260" s="25">
        <f>53419.2+3323.7+0.1-5045</f>
        <v>51697.999999999993</v>
      </c>
      <c r="I260" s="25">
        <f>45013.7+3323.7-5045-17368.5-1337.5</f>
        <v>24586.399999999994</v>
      </c>
      <c r="J260" s="118"/>
      <c r="K260" s="118"/>
      <c r="L260" s="118"/>
      <c r="M260" s="118"/>
      <c r="N260" s="118"/>
      <c r="O260" s="118"/>
      <c r="P260" s="118"/>
      <c r="Q260" s="118"/>
    </row>
    <row r="261" spans="1:17" ht="63.75" x14ac:dyDescent="0.2">
      <c r="A261" s="75" t="s">
        <v>235</v>
      </c>
      <c r="B261" s="76">
        <v>911</v>
      </c>
      <c r="C261" s="77" t="s">
        <v>19</v>
      </c>
      <c r="D261" s="77" t="s">
        <v>14</v>
      </c>
      <c r="E261" s="77" t="s">
        <v>234</v>
      </c>
      <c r="F261" s="77"/>
      <c r="G261" s="78">
        <f>G262+G263+G264</f>
        <v>6143.2000000000007</v>
      </c>
      <c r="H261" s="78">
        <f>H262+H263+H264</f>
        <v>6143.2000000000007</v>
      </c>
      <c r="I261" s="78">
        <f>I262+I263+I264</f>
        <v>5402.6</v>
      </c>
    </row>
    <row r="262" spans="1:17" s="84" customFormat="1" ht="54.75" customHeight="1" x14ac:dyDescent="0.2">
      <c r="A262" s="80" t="s">
        <v>66</v>
      </c>
      <c r="B262" s="81">
        <v>911</v>
      </c>
      <c r="C262" s="82" t="s">
        <v>19</v>
      </c>
      <c r="D262" s="82" t="s">
        <v>14</v>
      </c>
      <c r="E262" s="82" t="s">
        <v>234</v>
      </c>
      <c r="F262" s="83" t="s">
        <v>67</v>
      </c>
      <c r="G262" s="62">
        <v>3.3</v>
      </c>
      <c r="H262" s="62">
        <v>3.3</v>
      </c>
      <c r="I262" s="62">
        <v>3.3</v>
      </c>
    </row>
    <row r="263" spans="1:17" s="26" customFormat="1" ht="25.5" x14ac:dyDescent="0.2">
      <c r="A263" s="28" t="s">
        <v>76</v>
      </c>
      <c r="B263" s="32">
        <v>911</v>
      </c>
      <c r="C263" s="24" t="s">
        <v>19</v>
      </c>
      <c r="D263" s="24" t="s">
        <v>14</v>
      </c>
      <c r="E263" s="24" t="s">
        <v>234</v>
      </c>
      <c r="F263" s="27" t="s">
        <v>68</v>
      </c>
      <c r="G263" s="25">
        <f>5080.1-150</f>
        <v>4930.1000000000004</v>
      </c>
      <c r="H263" s="25">
        <f>5080.1-150</f>
        <v>4930.1000000000004</v>
      </c>
      <c r="I263" s="25">
        <f>4339.5-150</f>
        <v>4189.5</v>
      </c>
      <c r="J263" s="118"/>
      <c r="K263" s="118"/>
      <c r="L263" s="118"/>
      <c r="M263" s="118"/>
      <c r="N263" s="118"/>
      <c r="O263" s="118"/>
      <c r="P263" s="118"/>
      <c r="Q263" s="118"/>
    </row>
    <row r="264" spans="1:17" s="26" customFormat="1" x14ac:dyDescent="0.2">
      <c r="A264" s="28" t="s">
        <v>72</v>
      </c>
      <c r="B264" s="31">
        <v>911</v>
      </c>
      <c r="C264" s="24" t="s">
        <v>19</v>
      </c>
      <c r="D264" s="24" t="s">
        <v>14</v>
      </c>
      <c r="E264" s="24" t="s">
        <v>234</v>
      </c>
      <c r="F264" s="24" t="s">
        <v>73</v>
      </c>
      <c r="G264" s="25">
        <v>1209.8</v>
      </c>
      <c r="H264" s="25">
        <v>1209.8</v>
      </c>
      <c r="I264" s="25">
        <v>1209.8</v>
      </c>
      <c r="J264" s="118"/>
      <c r="K264" s="118"/>
      <c r="L264" s="118"/>
      <c r="M264" s="118"/>
      <c r="N264" s="118"/>
      <c r="O264" s="118"/>
      <c r="P264" s="118"/>
      <c r="Q264" s="118"/>
    </row>
    <row r="265" spans="1:17" s="21" customFormat="1" ht="63.75" x14ac:dyDescent="0.2">
      <c r="A265" s="18" t="s">
        <v>235</v>
      </c>
      <c r="B265" s="22">
        <v>911</v>
      </c>
      <c r="C265" s="19" t="s">
        <v>19</v>
      </c>
      <c r="D265" s="19" t="s">
        <v>14</v>
      </c>
      <c r="E265" s="19" t="s">
        <v>238</v>
      </c>
      <c r="F265" s="19"/>
      <c r="G265" s="20">
        <f>G266+G267</f>
        <v>759.8</v>
      </c>
      <c r="H265" s="20">
        <f>H266+H267</f>
        <v>759.8</v>
      </c>
      <c r="I265" s="20">
        <f>I266+I267</f>
        <v>707.5</v>
      </c>
    </row>
    <row r="266" spans="1:17" s="26" customFormat="1" ht="25.5" x14ac:dyDescent="0.2">
      <c r="A266" s="28" t="s">
        <v>76</v>
      </c>
      <c r="B266" s="32">
        <v>911</v>
      </c>
      <c r="C266" s="24" t="s">
        <v>19</v>
      </c>
      <c r="D266" s="24" t="s">
        <v>14</v>
      </c>
      <c r="E266" s="24" t="s">
        <v>238</v>
      </c>
      <c r="F266" s="27" t="s">
        <v>68</v>
      </c>
      <c r="G266" s="25">
        <f>759.8</f>
        <v>759.8</v>
      </c>
      <c r="H266" s="25">
        <f>759.8</f>
        <v>759.8</v>
      </c>
      <c r="I266" s="25">
        <v>707.5</v>
      </c>
    </row>
    <row r="267" spans="1:17" s="26" customFormat="1" x14ac:dyDescent="0.2">
      <c r="A267" s="28" t="s">
        <v>72</v>
      </c>
      <c r="B267" s="31">
        <v>911</v>
      </c>
      <c r="C267" s="24" t="s">
        <v>19</v>
      </c>
      <c r="D267" s="24" t="s">
        <v>14</v>
      </c>
      <c r="E267" s="24" t="s">
        <v>238</v>
      </c>
      <c r="F267" s="24" t="s">
        <v>73</v>
      </c>
      <c r="G267" s="25"/>
      <c r="H267" s="25"/>
      <c r="I267" s="25"/>
    </row>
    <row r="268" spans="1:17" s="21" customFormat="1" ht="25.5" x14ac:dyDescent="0.2">
      <c r="A268" s="18" t="s">
        <v>231</v>
      </c>
      <c r="B268" s="18">
        <v>911</v>
      </c>
      <c r="C268" s="19" t="s">
        <v>19</v>
      </c>
      <c r="D268" s="19" t="s">
        <v>14</v>
      </c>
      <c r="E268" s="19" t="s">
        <v>137</v>
      </c>
      <c r="F268" s="19"/>
      <c r="G268" s="20">
        <f>G270+G269</f>
        <v>249.7</v>
      </c>
      <c r="H268" s="20">
        <f t="shared" ref="H268:I268" si="42">H270+H269</f>
        <v>249.7</v>
      </c>
      <c r="I268" s="20">
        <f t="shared" si="42"/>
        <v>249.7</v>
      </c>
    </row>
    <row r="269" spans="1:17" s="26" customFormat="1" ht="25.5" x14ac:dyDescent="0.2">
      <c r="A269" s="28" t="s">
        <v>76</v>
      </c>
      <c r="B269" s="28">
        <v>911</v>
      </c>
      <c r="C269" s="24" t="s">
        <v>19</v>
      </c>
      <c r="D269" s="24" t="s">
        <v>14</v>
      </c>
      <c r="E269" s="24" t="s">
        <v>137</v>
      </c>
      <c r="F269" s="27" t="s">
        <v>68</v>
      </c>
      <c r="G269" s="25">
        <v>57.7</v>
      </c>
      <c r="H269" s="25">
        <v>57.7</v>
      </c>
      <c r="I269" s="25">
        <v>57.7</v>
      </c>
    </row>
    <row r="270" spans="1:17" s="21" customFormat="1" ht="25.5" x14ac:dyDescent="0.2">
      <c r="A270" s="28" t="s">
        <v>141</v>
      </c>
      <c r="B270" s="28">
        <v>911</v>
      </c>
      <c r="C270" s="24" t="s">
        <v>19</v>
      </c>
      <c r="D270" s="24" t="s">
        <v>14</v>
      </c>
      <c r="E270" s="24" t="s">
        <v>137</v>
      </c>
      <c r="F270" s="24" t="s">
        <v>65</v>
      </c>
      <c r="G270" s="25">
        <f>307.3-115.3</f>
        <v>192</v>
      </c>
      <c r="H270" s="25">
        <f>307.3-115.3</f>
        <v>192</v>
      </c>
      <c r="I270" s="25">
        <f>307.3-115.3</f>
        <v>192</v>
      </c>
    </row>
    <row r="271" spans="1:17" s="21" customFormat="1" ht="25.5" x14ac:dyDescent="0.2">
      <c r="A271" s="18" t="s">
        <v>236</v>
      </c>
      <c r="B271" s="18">
        <v>911</v>
      </c>
      <c r="C271" s="19" t="s">
        <v>19</v>
      </c>
      <c r="D271" s="19" t="s">
        <v>14</v>
      </c>
      <c r="E271" s="19" t="s">
        <v>138</v>
      </c>
      <c r="F271" s="19"/>
      <c r="G271" s="20">
        <f>G273+G272</f>
        <v>1209</v>
      </c>
      <c r="H271" s="20">
        <f>H273+H272</f>
        <v>1209</v>
      </c>
      <c r="I271" s="20">
        <f>I273+I272</f>
        <v>1209</v>
      </c>
    </row>
    <row r="272" spans="1:17" s="9" customFormat="1" x14ac:dyDescent="0.2">
      <c r="A272" s="28" t="s">
        <v>69</v>
      </c>
      <c r="B272" s="28">
        <v>911</v>
      </c>
      <c r="C272" s="24" t="s">
        <v>19</v>
      </c>
      <c r="D272" s="24" t="s">
        <v>14</v>
      </c>
      <c r="E272" s="19" t="s">
        <v>138</v>
      </c>
      <c r="F272" s="24" t="s">
        <v>70</v>
      </c>
      <c r="G272" s="25">
        <v>30</v>
      </c>
      <c r="H272" s="25">
        <v>30</v>
      </c>
      <c r="I272" s="25">
        <v>30</v>
      </c>
    </row>
    <row r="273" spans="1:17" s="21" customFormat="1" ht="25.5" x14ac:dyDescent="0.2">
      <c r="A273" s="28" t="s">
        <v>141</v>
      </c>
      <c r="B273" s="28">
        <v>911</v>
      </c>
      <c r="C273" s="24" t="s">
        <v>19</v>
      </c>
      <c r="D273" s="24" t="s">
        <v>14</v>
      </c>
      <c r="E273" s="19" t="s">
        <v>138</v>
      </c>
      <c r="F273" s="24" t="s">
        <v>65</v>
      </c>
      <c r="G273" s="25">
        <v>1179</v>
      </c>
      <c r="H273" s="25">
        <v>1179</v>
      </c>
      <c r="I273" s="25">
        <v>1179</v>
      </c>
    </row>
    <row r="274" spans="1:17" ht="25.5" x14ac:dyDescent="0.2">
      <c r="A274" s="75" t="s">
        <v>347</v>
      </c>
      <c r="B274" s="75">
        <v>911</v>
      </c>
      <c r="C274" s="77" t="s">
        <v>19</v>
      </c>
      <c r="D274" s="77" t="s">
        <v>14</v>
      </c>
      <c r="E274" s="77" t="s">
        <v>330</v>
      </c>
      <c r="F274" s="77"/>
      <c r="G274" s="78">
        <f>G276+G275</f>
        <v>250</v>
      </c>
      <c r="H274" s="78">
        <f>H276+H275</f>
        <v>250</v>
      </c>
      <c r="I274" s="78">
        <f>I276+I275</f>
        <v>250</v>
      </c>
    </row>
    <row r="275" spans="1:17" s="21" customFormat="1" x14ac:dyDescent="0.2">
      <c r="A275" s="28" t="s">
        <v>69</v>
      </c>
      <c r="B275" s="28">
        <v>911</v>
      </c>
      <c r="C275" s="24" t="s">
        <v>19</v>
      </c>
      <c r="D275" s="24" t="s">
        <v>14</v>
      </c>
      <c r="E275" s="19" t="s">
        <v>330</v>
      </c>
      <c r="F275" s="24" t="s">
        <v>70</v>
      </c>
      <c r="G275" s="25">
        <v>2</v>
      </c>
      <c r="H275" s="25">
        <v>2</v>
      </c>
      <c r="I275" s="25">
        <v>2</v>
      </c>
    </row>
    <row r="276" spans="1:17" ht="25.5" x14ac:dyDescent="0.2">
      <c r="A276" s="87" t="s">
        <v>141</v>
      </c>
      <c r="B276" s="87">
        <v>911</v>
      </c>
      <c r="C276" s="82" t="s">
        <v>19</v>
      </c>
      <c r="D276" s="82" t="s">
        <v>14</v>
      </c>
      <c r="E276" s="77" t="s">
        <v>330</v>
      </c>
      <c r="F276" s="82" t="s">
        <v>65</v>
      </c>
      <c r="G276" s="62">
        <v>248</v>
      </c>
      <c r="H276" s="62">
        <v>248</v>
      </c>
      <c r="I276" s="62">
        <v>248</v>
      </c>
    </row>
    <row r="277" spans="1:17" s="74" customFormat="1" x14ac:dyDescent="0.2">
      <c r="A277" s="70" t="s">
        <v>331</v>
      </c>
      <c r="B277" s="71">
        <v>911</v>
      </c>
      <c r="C277" s="72" t="s">
        <v>19</v>
      </c>
      <c r="D277" s="72" t="s">
        <v>16</v>
      </c>
      <c r="E277" s="72"/>
      <c r="F277" s="72"/>
      <c r="G277" s="73">
        <f>G284+G282+G280+G278</f>
        <v>127634.1</v>
      </c>
      <c r="H277" s="73">
        <f t="shared" ref="H277:I277" si="43">H284+H282+H280+H278</f>
        <v>127634.1</v>
      </c>
      <c r="I277" s="73">
        <f t="shared" si="43"/>
        <v>124875.3</v>
      </c>
    </row>
    <row r="278" spans="1:17" ht="25.5" x14ac:dyDescent="0.2">
      <c r="A278" s="89" t="s">
        <v>163</v>
      </c>
      <c r="B278" s="89">
        <v>911</v>
      </c>
      <c r="C278" s="77" t="s">
        <v>19</v>
      </c>
      <c r="D278" s="77" t="s">
        <v>16</v>
      </c>
      <c r="E278" s="77" t="s">
        <v>162</v>
      </c>
      <c r="F278" s="90"/>
      <c r="G278" s="91">
        <f>G279</f>
        <v>1968.7</v>
      </c>
      <c r="H278" s="91">
        <f t="shared" ref="H278:I278" si="44">H279</f>
        <v>1968.7</v>
      </c>
      <c r="I278" s="91">
        <f t="shared" si="44"/>
        <v>1968.7</v>
      </c>
    </row>
    <row r="279" spans="1:17" ht="25.5" x14ac:dyDescent="0.2">
      <c r="A279" s="87" t="s">
        <v>141</v>
      </c>
      <c r="B279" s="87">
        <v>911</v>
      </c>
      <c r="C279" s="82" t="s">
        <v>19</v>
      </c>
      <c r="D279" s="82" t="s">
        <v>16</v>
      </c>
      <c r="E279" s="82" t="s">
        <v>162</v>
      </c>
      <c r="F279" s="82" t="s">
        <v>65</v>
      </c>
      <c r="G279" s="62">
        <f>408.7+1560</f>
        <v>1968.7</v>
      </c>
      <c r="H279" s="62">
        <f>408.7+1560</f>
        <v>1968.7</v>
      </c>
      <c r="I279" s="62">
        <f>408.7+1560</f>
        <v>1968.7</v>
      </c>
    </row>
    <row r="280" spans="1:17" s="21" customFormat="1" ht="25.5" x14ac:dyDescent="0.2">
      <c r="A280" s="18" t="s">
        <v>231</v>
      </c>
      <c r="B280" s="18">
        <v>911</v>
      </c>
      <c r="C280" s="19" t="s">
        <v>19</v>
      </c>
      <c r="D280" s="19" t="s">
        <v>16</v>
      </c>
      <c r="E280" s="19" t="s">
        <v>137</v>
      </c>
      <c r="F280" s="19"/>
      <c r="G280" s="20">
        <f>G281</f>
        <v>115.3</v>
      </c>
      <c r="H280" s="20">
        <f t="shared" ref="H280:I282" si="45">H281</f>
        <v>115.3</v>
      </c>
      <c r="I280" s="20">
        <f t="shared" si="45"/>
        <v>115.3</v>
      </c>
    </row>
    <row r="281" spans="1:17" s="21" customFormat="1" ht="25.5" x14ac:dyDescent="0.2">
      <c r="A281" s="28" t="s">
        <v>141</v>
      </c>
      <c r="B281" s="28">
        <v>911</v>
      </c>
      <c r="C281" s="24" t="s">
        <v>19</v>
      </c>
      <c r="D281" s="24" t="s">
        <v>16</v>
      </c>
      <c r="E281" s="24" t="s">
        <v>137</v>
      </c>
      <c r="F281" s="24" t="s">
        <v>65</v>
      </c>
      <c r="G281" s="25">
        <v>115.3</v>
      </c>
      <c r="H281" s="25">
        <v>115.3</v>
      </c>
      <c r="I281" s="25">
        <v>115.3</v>
      </c>
    </row>
    <row r="282" spans="1:17" ht="51" x14ac:dyDescent="0.2">
      <c r="A282" s="75" t="s">
        <v>399</v>
      </c>
      <c r="B282" s="75">
        <v>911</v>
      </c>
      <c r="C282" s="77" t="s">
        <v>19</v>
      </c>
      <c r="D282" s="77" t="s">
        <v>16</v>
      </c>
      <c r="E282" s="77" t="s">
        <v>398</v>
      </c>
      <c r="F282" s="77"/>
      <c r="G282" s="78">
        <f>G283</f>
        <v>0</v>
      </c>
      <c r="H282" s="78">
        <f t="shared" si="45"/>
        <v>0</v>
      </c>
      <c r="I282" s="78">
        <f t="shared" si="45"/>
        <v>0</v>
      </c>
    </row>
    <row r="283" spans="1:17" ht="25.5" x14ac:dyDescent="0.2">
      <c r="A283" s="87" t="s">
        <v>141</v>
      </c>
      <c r="B283" s="87">
        <v>911</v>
      </c>
      <c r="C283" s="82" t="s">
        <v>19</v>
      </c>
      <c r="D283" s="82" t="s">
        <v>16</v>
      </c>
      <c r="E283" s="82" t="s">
        <v>398</v>
      </c>
      <c r="F283" s="82" t="s">
        <v>65</v>
      </c>
      <c r="G283" s="62"/>
      <c r="H283" s="62"/>
      <c r="I283" s="62"/>
    </row>
    <row r="284" spans="1:17" s="21" customFormat="1" ht="63.75" x14ac:dyDescent="0.2">
      <c r="A284" s="18" t="s">
        <v>344</v>
      </c>
      <c r="B284" s="22">
        <v>911</v>
      </c>
      <c r="C284" s="19" t="s">
        <v>19</v>
      </c>
      <c r="D284" s="19" t="s">
        <v>16</v>
      </c>
      <c r="E284" s="19" t="s">
        <v>233</v>
      </c>
      <c r="F284" s="19"/>
      <c r="G284" s="20">
        <f>G285</f>
        <v>125550.1</v>
      </c>
      <c r="H284" s="20">
        <f>H285</f>
        <v>125550.1</v>
      </c>
      <c r="I284" s="20">
        <f>I285</f>
        <v>122791.3</v>
      </c>
      <c r="J284" s="117"/>
      <c r="K284" s="117"/>
      <c r="L284" s="117"/>
      <c r="M284" s="117"/>
      <c r="N284" s="117"/>
      <c r="O284" s="117"/>
      <c r="P284" s="117"/>
      <c r="Q284" s="117"/>
    </row>
    <row r="285" spans="1:17" s="26" customFormat="1" ht="25.5" x14ac:dyDescent="0.2">
      <c r="A285" s="28" t="s">
        <v>141</v>
      </c>
      <c r="B285" s="31">
        <v>911</v>
      </c>
      <c r="C285" s="24" t="s">
        <v>19</v>
      </c>
      <c r="D285" s="24" t="s">
        <v>16</v>
      </c>
      <c r="E285" s="24" t="s">
        <v>233</v>
      </c>
      <c r="F285" s="24" t="s">
        <v>65</v>
      </c>
      <c r="G285" s="25">
        <f>126200.1-650</f>
        <v>125550.1</v>
      </c>
      <c r="H285" s="25">
        <f>126200.1-650</f>
        <v>125550.1</v>
      </c>
      <c r="I285" s="25">
        <f>123441.3-650</f>
        <v>122791.3</v>
      </c>
      <c r="J285" s="118"/>
      <c r="K285" s="118"/>
      <c r="L285" s="118"/>
      <c r="M285" s="118"/>
      <c r="N285" s="118"/>
      <c r="O285" s="118"/>
      <c r="P285" s="118"/>
      <c r="Q285" s="118"/>
    </row>
    <row r="286" spans="1:17" s="74" customFormat="1" x14ac:dyDescent="0.2">
      <c r="A286" s="70" t="s">
        <v>41</v>
      </c>
      <c r="B286" s="71">
        <v>911</v>
      </c>
      <c r="C286" s="72" t="s">
        <v>19</v>
      </c>
      <c r="D286" s="72" t="s">
        <v>26</v>
      </c>
      <c r="E286" s="72"/>
      <c r="F286" s="72"/>
      <c r="G286" s="73">
        <f>G295+G297+G300+G304+G307+G311+G314+G317+G319+G290+G292+G287</f>
        <v>73985.7</v>
      </c>
      <c r="H286" s="73">
        <f t="shared" ref="H286:I286" si="46">H295+H297+H300+H304+H307+H311+H314+H317+H319+H290+H292+H287</f>
        <v>73985.599999999991</v>
      </c>
      <c r="I286" s="73">
        <f t="shared" si="46"/>
        <v>72778</v>
      </c>
    </row>
    <row r="287" spans="1:17" ht="25.5" x14ac:dyDescent="0.2">
      <c r="A287" s="89" t="s">
        <v>163</v>
      </c>
      <c r="B287" s="89">
        <v>911</v>
      </c>
      <c r="C287" s="77" t="s">
        <v>19</v>
      </c>
      <c r="D287" s="77" t="s">
        <v>26</v>
      </c>
      <c r="E287" s="77" t="s">
        <v>162</v>
      </c>
      <c r="F287" s="90"/>
      <c r="G287" s="91">
        <f>G289+G288</f>
        <v>173.7</v>
      </c>
      <c r="H287" s="91">
        <f t="shared" ref="H287" si="47">H289+H288</f>
        <v>173.7</v>
      </c>
      <c r="I287" s="91">
        <f t="shared" ref="I287" si="48">I289+I288</f>
        <v>173.7</v>
      </c>
    </row>
    <row r="288" spans="1:17" ht="25.5" x14ac:dyDescent="0.2">
      <c r="A288" s="28" t="s">
        <v>76</v>
      </c>
      <c r="B288" s="87">
        <v>911</v>
      </c>
      <c r="C288" s="82" t="s">
        <v>19</v>
      </c>
      <c r="D288" s="82" t="s">
        <v>26</v>
      </c>
      <c r="E288" s="82" t="s">
        <v>162</v>
      </c>
      <c r="F288" s="82" t="s">
        <v>68</v>
      </c>
      <c r="G288" s="62">
        <v>110</v>
      </c>
      <c r="H288" s="62">
        <v>110</v>
      </c>
      <c r="I288" s="62">
        <v>110</v>
      </c>
    </row>
    <row r="289" spans="1:17" ht="25.5" x14ac:dyDescent="0.2">
      <c r="A289" s="87" t="s">
        <v>141</v>
      </c>
      <c r="B289" s="87">
        <v>911</v>
      </c>
      <c r="C289" s="82" t="s">
        <v>19</v>
      </c>
      <c r="D289" s="82" t="s">
        <v>26</v>
      </c>
      <c r="E289" s="82" t="s">
        <v>162</v>
      </c>
      <c r="F289" s="82" t="s">
        <v>65</v>
      </c>
      <c r="G289" s="62">
        <v>63.7</v>
      </c>
      <c r="H289" s="62">
        <v>63.7</v>
      </c>
      <c r="I289" s="62">
        <v>63.7</v>
      </c>
    </row>
    <row r="290" spans="1:17" x14ac:dyDescent="0.2">
      <c r="A290" s="75" t="s">
        <v>174</v>
      </c>
      <c r="B290" s="76">
        <v>911</v>
      </c>
      <c r="C290" s="77" t="s">
        <v>19</v>
      </c>
      <c r="D290" s="77" t="s">
        <v>26</v>
      </c>
      <c r="E290" s="82" t="s">
        <v>173</v>
      </c>
      <c r="F290" s="77"/>
      <c r="G290" s="78">
        <f>G291</f>
        <v>0</v>
      </c>
      <c r="H290" s="78">
        <f>H291</f>
        <v>0</v>
      </c>
      <c r="I290" s="78">
        <f>I291</f>
        <v>0</v>
      </c>
    </row>
    <row r="291" spans="1:17" s="84" customFormat="1" ht="25.5" x14ac:dyDescent="0.2">
      <c r="A291" s="87" t="s">
        <v>83</v>
      </c>
      <c r="B291" s="76">
        <v>911</v>
      </c>
      <c r="C291" s="77" t="s">
        <v>19</v>
      </c>
      <c r="D291" s="77" t="s">
        <v>26</v>
      </c>
      <c r="E291" s="82" t="s">
        <v>173</v>
      </c>
      <c r="F291" s="82" t="s">
        <v>71</v>
      </c>
      <c r="G291" s="62"/>
      <c r="H291" s="62"/>
      <c r="I291" s="62"/>
    </row>
    <row r="292" spans="1:17" s="21" customFormat="1" ht="25.5" x14ac:dyDescent="0.2">
      <c r="A292" s="18" t="s">
        <v>188</v>
      </c>
      <c r="B292" s="18">
        <v>911</v>
      </c>
      <c r="C292" s="19" t="s">
        <v>19</v>
      </c>
      <c r="D292" s="19" t="s">
        <v>26</v>
      </c>
      <c r="E292" s="19" t="s">
        <v>136</v>
      </c>
      <c r="F292" s="19"/>
      <c r="G292" s="20">
        <f>G294+G293</f>
        <v>3968</v>
      </c>
      <c r="H292" s="20">
        <f t="shared" ref="H292:I292" si="49">H294+H293</f>
        <v>3968</v>
      </c>
      <c r="I292" s="20">
        <f t="shared" si="49"/>
        <v>3968</v>
      </c>
    </row>
    <row r="293" spans="1:17" s="21" customFormat="1" ht="25.5" x14ac:dyDescent="0.2">
      <c r="A293" s="28" t="s">
        <v>76</v>
      </c>
      <c r="B293" s="28">
        <v>911</v>
      </c>
      <c r="C293" s="24" t="s">
        <v>19</v>
      </c>
      <c r="D293" s="24" t="s">
        <v>26</v>
      </c>
      <c r="E293" s="24" t="s">
        <v>136</v>
      </c>
      <c r="F293" s="24" t="s">
        <v>68</v>
      </c>
      <c r="G293" s="25">
        <v>67.5</v>
      </c>
      <c r="H293" s="25">
        <v>67.5</v>
      </c>
      <c r="I293" s="25">
        <v>67.5</v>
      </c>
    </row>
    <row r="294" spans="1:17" ht="25.5" x14ac:dyDescent="0.2">
      <c r="A294" s="87" t="s">
        <v>141</v>
      </c>
      <c r="B294" s="87">
        <v>911</v>
      </c>
      <c r="C294" s="82" t="s">
        <v>19</v>
      </c>
      <c r="D294" s="82" t="s">
        <v>26</v>
      </c>
      <c r="E294" s="82" t="s">
        <v>136</v>
      </c>
      <c r="F294" s="82" t="s">
        <v>65</v>
      </c>
      <c r="G294" s="62">
        <f>3600.5+300</f>
        <v>3900.5</v>
      </c>
      <c r="H294" s="62">
        <f>3600.5+300</f>
        <v>3900.5</v>
      </c>
      <c r="I294" s="62">
        <f>3600.5+300</f>
        <v>3900.5</v>
      </c>
    </row>
    <row r="295" spans="1:17" s="21" customFormat="1" ht="63.75" x14ac:dyDescent="0.2">
      <c r="A295" s="18" t="s">
        <v>235</v>
      </c>
      <c r="B295" s="22">
        <v>911</v>
      </c>
      <c r="C295" s="19" t="s">
        <v>19</v>
      </c>
      <c r="D295" s="19" t="s">
        <v>26</v>
      </c>
      <c r="E295" s="19" t="s">
        <v>239</v>
      </c>
      <c r="F295" s="19"/>
      <c r="G295" s="20">
        <f>G296</f>
        <v>0</v>
      </c>
      <c r="H295" s="20">
        <f>H296</f>
        <v>0</v>
      </c>
      <c r="I295" s="20">
        <f>I296</f>
        <v>0</v>
      </c>
      <c r="J295" s="117"/>
      <c r="K295" s="117"/>
      <c r="L295" s="117"/>
      <c r="M295" s="117"/>
      <c r="N295" s="117"/>
      <c r="O295" s="117"/>
      <c r="P295" s="117"/>
      <c r="Q295" s="117"/>
    </row>
    <row r="296" spans="1:17" s="26" customFormat="1" ht="25.5" x14ac:dyDescent="0.2">
      <c r="A296" s="28" t="s">
        <v>141</v>
      </c>
      <c r="B296" s="31">
        <v>911</v>
      </c>
      <c r="C296" s="24" t="s">
        <v>19</v>
      </c>
      <c r="D296" s="24" t="s">
        <v>26</v>
      </c>
      <c r="E296" s="24" t="s">
        <v>239</v>
      </c>
      <c r="F296" s="24" t="s">
        <v>65</v>
      </c>
      <c r="G296" s="25"/>
      <c r="H296" s="25"/>
      <c r="I296" s="25"/>
      <c r="J296" s="118"/>
      <c r="K296" s="118"/>
      <c r="L296" s="118"/>
      <c r="M296" s="118"/>
      <c r="N296" s="118"/>
      <c r="O296" s="118"/>
      <c r="P296" s="118"/>
      <c r="Q296" s="118"/>
    </row>
    <row r="297" spans="1:17" s="21" customFormat="1" ht="25.5" x14ac:dyDescent="0.2">
      <c r="A297" s="18" t="s">
        <v>345</v>
      </c>
      <c r="B297" s="22">
        <v>911</v>
      </c>
      <c r="C297" s="19" t="s">
        <v>19</v>
      </c>
      <c r="D297" s="19" t="s">
        <v>26</v>
      </c>
      <c r="E297" s="19" t="s">
        <v>240</v>
      </c>
      <c r="F297" s="19"/>
      <c r="G297" s="20">
        <f>G298+G299</f>
        <v>100</v>
      </c>
      <c r="H297" s="20">
        <f>H298+H299</f>
        <v>100</v>
      </c>
      <c r="I297" s="20">
        <f>I298+I299</f>
        <v>100</v>
      </c>
    </row>
    <row r="298" spans="1:17" s="26" customFormat="1" ht="25.5" x14ac:dyDescent="0.2">
      <c r="A298" s="28" t="s">
        <v>76</v>
      </c>
      <c r="B298" s="31">
        <v>911</v>
      </c>
      <c r="C298" s="24" t="s">
        <v>19</v>
      </c>
      <c r="D298" s="24" t="s">
        <v>26</v>
      </c>
      <c r="E298" s="24" t="s">
        <v>240</v>
      </c>
      <c r="F298" s="24" t="s">
        <v>68</v>
      </c>
      <c r="G298" s="25"/>
      <c r="H298" s="25"/>
      <c r="I298" s="25"/>
    </row>
    <row r="299" spans="1:17" s="26" customFormat="1" ht="25.5" x14ac:dyDescent="0.2">
      <c r="A299" s="28" t="s">
        <v>141</v>
      </c>
      <c r="B299" s="31">
        <v>911</v>
      </c>
      <c r="C299" s="24" t="s">
        <v>19</v>
      </c>
      <c r="D299" s="24" t="s">
        <v>26</v>
      </c>
      <c r="E299" s="24" t="s">
        <v>240</v>
      </c>
      <c r="F299" s="24" t="s">
        <v>65</v>
      </c>
      <c r="G299" s="25">
        <v>100</v>
      </c>
      <c r="H299" s="25">
        <v>100</v>
      </c>
      <c r="I299" s="25">
        <v>100</v>
      </c>
    </row>
    <row r="300" spans="1:17" ht="25.5" x14ac:dyDescent="0.2">
      <c r="A300" s="75" t="s">
        <v>345</v>
      </c>
      <c r="B300" s="76">
        <v>911</v>
      </c>
      <c r="C300" s="77" t="s">
        <v>19</v>
      </c>
      <c r="D300" s="77" t="s">
        <v>26</v>
      </c>
      <c r="E300" s="77" t="s">
        <v>189</v>
      </c>
      <c r="F300" s="77"/>
      <c r="G300" s="78">
        <f>G303+G302+G301</f>
        <v>390.7</v>
      </c>
      <c r="H300" s="78">
        <f>H303+H302+H301</f>
        <v>390.7</v>
      </c>
      <c r="I300" s="78">
        <f>I303+I302+I301</f>
        <v>390.7</v>
      </c>
    </row>
    <row r="301" spans="1:17" s="26" customFormat="1" ht="25.5" x14ac:dyDescent="0.2">
      <c r="A301" s="28" t="s">
        <v>76</v>
      </c>
      <c r="B301" s="31">
        <v>911</v>
      </c>
      <c r="C301" s="24" t="s">
        <v>19</v>
      </c>
      <c r="D301" s="24" t="s">
        <v>26</v>
      </c>
      <c r="E301" s="24" t="s">
        <v>189</v>
      </c>
      <c r="F301" s="24" t="s">
        <v>68</v>
      </c>
      <c r="G301" s="25">
        <v>4</v>
      </c>
      <c r="H301" s="25">
        <v>4</v>
      </c>
      <c r="I301" s="25">
        <v>4</v>
      </c>
    </row>
    <row r="302" spans="1:17" s="26" customFormat="1" x14ac:dyDescent="0.2">
      <c r="A302" s="28" t="s">
        <v>69</v>
      </c>
      <c r="B302" s="31">
        <v>911</v>
      </c>
      <c r="C302" s="24" t="s">
        <v>19</v>
      </c>
      <c r="D302" s="24" t="s">
        <v>26</v>
      </c>
      <c r="E302" s="24" t="s">
        <v>189</v>
      </c>
      <c r="F302" s="24" t="s">
        <v>70</v>
      </c>
      <c r="G302" s="25"/>
      <c r="H302" s="25"/>
      <c r="I302" s="25"/>
    </row>
    <row r="303" spans="1:17" s="84" customFormat="1" ht="25.5" x14ac:dyDescent="0.2">
      <c r="A303" s="87" t="s">
        <v>141</v>
      </c>
      <c r="B303" s="86">
        <v>911</v>
      </c>
      <c r="C303" s="82" t="s">
        <v>19</v>
      </c>
      <c r="D303" s="82" t="s">
        <v>26</v>
      </c>
      <c r="E303" s="82" t="s">
        <v>189</v>
      </c>
      <c r="F303" s="82" t="s">
        <v>65</v>
      </c>
      <c r="G303" s="62">
        <v>386.7</v>
      </c>
      <c r="H303" s="62">
        <v>386.7</v>
      </c>
      <c r="I303" s="62">
        <v>386.7</v>
      </c>
    </row>
    <row r="304" spans="1:17" s="21" customFormat="1" ht="51" x14ac:dyDescent="0.2">
      <c r="A304" s="18" t="s">
        <v>346</v>
      </c>
      <c r="B304" s="22">
        <v>911</v>
      </c>
      <c r="C304" s="19" t="s">
        <v>19</v>
      </c>
      <c r="D304" s="19" t="s">
        <v>26</v>
      </c>
      <c r="E304" s="19" t="s">
        <v>241</v>
      </c>
      <c r="F304" s="19"/>
      <c r="G304" s="20">
        <f>G305+G306</f>
        <v>714.19999999999993</v>
      </c>
      <c r="H304" s="20">
        <f>H305+H306</f>
        <v>714.19999999999993</v>
      </c>
      <c r="I304" s="20">
        <f>I305+I306</f>
        <v>714.19999999999993</v>
      </c>
    </row>
    <row r="305" spans="1:17" s="26" customFormat="1" ht="49.5" customHeight="1" x14ac:dyDescent="0.2">
      <c r="A305" s="30" t="s">
        <v>66</v>
      </c>
      <c r="B305" s="32">
        <v>911</v>
      </c>
      <c r="C305" s="24" t="s">
        <v>19</v>
      </c>
      <c r="D305" s="24" t="s">
        <v>26</v>
      </c>
      <c r="E305" s="24" t="s">
        <v>241</v>
      </c>
      <c r="F305" s="27" t="s">
        <v>67</v>
      </c>
      <c r="G305" s="25">
        <v>54.4</v>
      </c>
      <c r="H305" s="25">
        <v>54.4</v>
      </c>
      <c r="I305" s="25">
        <v>54.4</v>
      </c>
    </row>
    <row r="306" spans="1:17" s="26" customFormat="1" ht="25.5" x14ac:dyDescent="0.2">
      <c r="A306" s="28" t="s">
        <v>141</v>
      </c>
      <c r="B306" s="31">
        <v>911</v>
      </c>
      <c r="C306" s="24" t="s">
        <v>19</v>
      </c>
      <c r="D306" s="24" t="s">
        <v>26</v>
      </c>
      <c r="E306" s="24" t="s">
        <v>241</v>
      </c>
      <c r="F306" s="24" t="s">
        <v>65</v>
      </c>
      <c r="G306" s="25">
        <v>659.8</v>
      </c>
      <c r="H306" s="25">
        <v>659.8</v>
      </c>
      <c r="I306" s="25">
        <v>659.8</v>
      </c>
    </row>
    <row r="307" spans="1:17" ht="25.5" x14ac:dyDescent="0.2">
      <c r="A307" s="75" t="s">
        <v>243</v>
      </c>
      <c r="B307" s="76">
        <v>911</v>
      </c>
      <c r="C307" s="77" t="s">
        <v>19</v>
      </c>
      <c r="D307" s="77" t="s">
        <v>26</v>
      </c>
      <c r="E307" s="77" t="s">
        <v>242</v>
      </c>
      <c r="F307" s="77"/>
      <c r="G307" s="78">
        <f>G310+G309+G308</f>
        <v>643.4</v>
      </c>
      <c r="H307" s="78">
        <f t="shared" ref="H307:I307" si="50">H310+H309+H308</f>
        <v>643.4</v>
      </c>
      <c r="I307" s="78">
        <f t="shared" si="50"/>
        <v>643.4</v>
      </c>
    </row>
    <row r="308" spans="1:17" s="26" customFormat="1" ht="63.75" x14ac:dyDescent="0.2">
      <c r="A308" s="23" t="s">
        <v>66</v>
      </c>
      <c r="B308" s="31">
        <v>911</v>
      </c>
      <c r="C308" s="24" t="s">
        <v>19</v>
      </c>
      <c r="D308" s="24" t="s">
        <v>26</v>
      </c>
      <c r="E308" s="24" t="s">
        <v>242</v>
      </c>
      <c r="F308" s="24" t="s">
        <v>67</v>
      </c>
      <c r="G308" s="25">
        <v>22.6</v>
      </c>
      <c r="H308" s="25">
        <v>22.6</v>
      </c>
      <c r="I308" s="25">
        <v>22.6</v>
      </c>
      <c r="J308" s="118"/>
      <c r="K308" s="118"/>
      <c r="L308" s="118"/>
      <c r="M308" s="118"/>
      <c r="N308" s="118"/>
      <c r="O308" s="118"/>
      <c r="P308" s="118"/>
      <c r="Q308" s="118"/>
    </row>
    <row r="309" spans="1:17" s="26" customFormat="1" ht="25.5" x14ac:dyDescent="0.2">
      <c r="A309" s="28" t="s">
        <v>76</v>
      </c>
      <c r="B309" s="31">
        <v>911</v>
      </c>
      <c r="C309" s="24" t="s">
        <v>19</v>
      </c>
      <c r="D309" s="24" t="s">
        <v>26</v>
      </c>
      <c r="E309" s="24" t="s">
        <v>242</v>
      </c>
      <c r="F309" s="24" t="s">
        <v>68</v>
      </c>
      <c r="G309" s="25">
        <v>105</v>
      </c>
      <c r="H309" s="25">
        <v>105</v>
      </c>
      <c r="I309" s="25">
        <v>105</v>
      </c>
      <c r="J309" s="118"/>
      <c r="K309" s="118"/>
      <c r="L309" s="118"/>
      <c r="M309" s="118"/>
      <c r="N309" s="118"/>
      <c r="O309" s="118"/>
      <c r="P309" s="118"/>
      <c r="Q309" s="118"/>
    </row>
    <row r="310" spans="1:17" s="26" customFormat="1" ht="25.5" x14ac:dyDescent="0.2">
      <c r="A310" s="28" t="s">
        <v>141</v>
      </c>
      <c r="B310" s="31">
        <v>911</v>
      </c>
      <c r="C310" s="24" t="s">
        <v>19</v>
      </c>
      <c r="D310" s="24" t="s">
        <v>26</v>
      </c>
      <c r="E310" s="24" t="s">
        <v>242</v>
      </c>
      <c r="F310" s="24" t="s">
        <v>65</v>
      </c>
      <c r="G310" s="25">
        <v>515.79999999999995</v>
      </c>
      <c r="H310" s="25">
        <v>515.79999999999995</v>
      </c>
      <c r="I310" s="25">
        <v>515.79999999999995</v>
      </c>
      <c r="J310" s="118"/>
      <c r="K310" s="118"/>
      <c r="L310" s="118"/>
      <c r="M310" s="118"/>
      <c r="N310" s="118"/>
      <c r="O310" s="118"/>
      <c r="P310" s="118"/>
      <c r="Q310" s="118"/>
    </row>
    <row r="311" spans="1:17" s="21" customFormat="1" ht="114.75" x14ac:dyDescent="0.2">
      <c r="A311" s="18" t="s">
        <v>435</v>
      </c>
      <c r="B311" s="22">
        <v>911</v>
      </c>
      <c r="C311" s="5" t="s">
        <v>19</v>
      </c>
      <c r="D311" s="5" t="s">
        <v>26</v>
      </c>
      <c r="E311" s="5" t="s">
        <v>122</v>
      </c>
      <c r="F311" s="19"/>
      <c r="G311" s="20">
        <f>G312+G313</f>
        <v>3115.1</v>
      </c>
      <c r="H311" s="20">
        <f>H312+H313</f>
        <v>3115.1</v>
      </c>
      <c r="I311" s="20">
        <f>I312+I313</f>
        <v>3115.1</v>
      </c>
    </row>
    <row r="312" spans="1:17" s="26" customFormat="1" ht="51" customHeight="1" x14ac:dyDescent="0.2">
      <c r="A312" s="23" t="s">
        <v>66</v>
      </c>
      <c r="B312" s="31">
        <v>911</v>
      </c>
      <c r="C312" s="24" t="s">
        <v>19</v>
      </c>
      <c r="D312" s="24" t="s">
        <v>26</v>
      </c>
      <c r="E312" s="24" t="s">
        <v>122</v>
      </c>
      <c r="F312" s="27" t="s">
        <v>67</v>
      </c>
      <c r="G312" s="25">
        <f>2304+460.5</f>
        <v>2764.5</v>
      </c>
      <c r="H312" s="25">
        <f>2304+460.5</f>
        <v>2764.5</v>
      </c>
      <c r="I312" s="25">
        <f>2304+460.5</f>
        <v>2764.5</v>
      </c>
    </row>
    <row r="313" spans="1:17" s="26" customFormat="1" ht="25.5" x14ac:dyDescent="0.2">
      <c r="A313" s="28" t="s">
        <v>76</v>
      </c>
      <c r="B313" s="53">
        <v>911</v>
      </c>
      <c r="C313" s="24" t="s">
        <v>19</v>
      </c>
      <c r="D313" s="24" t="s">
        <v>26</v>
      </c>
      <c r="E313" s="24" t="s">
        <v>122</v>
      </c>
      <c r="F313" s="27" t="s">
        <v>68</v>
      </c>
      <c r="G313" s="25">
        <v>350.6</v>
      </c>
      <c r="H313" s="25">
        <v>350.6</v>
      </c>
      <c r="I313" s="25">
        <v>350.6</v>
      </c>
    </row>
    <row r="314" spans="1:17" ht="25.5" x14ac:dyDescent="0.2">
      <c r="A314" s="75" t="s">
        <v>348</v>
      </c>
      <c r="B314" s="76">
        <v>911</v>
      </c>
      <c r="C314" s="77" t="s">
        <v>19</v>
      </c>
      <c r="D314" s="77" t="s">
        <v>26</v>
      </c>
      <c r="E314" s="77" t="s">
        <v>244</v>
      </c>
      <c r="F314" s="77"/>
      <c r="G314" s="78">
        <f>G315+G316</f>
        <v>3681.4</v>
      </c>
      <c r="H314" s="78">
        <f>H315+H316</f>
        <v>3681.4</v>
      </c>
      <c r="I314" s="78">
        <f>I315+I316</f>
        <v>3681.4</v>
      </c>
    </row>
    <row r="315" spans="1:17" s="26" customFormat="1" ht="51" customHeight="1" x14ac:dyDescent="0.2">
      <c r="A315" s="23" t="s">
        <v>66</v>
      </c>
      <c r="B315" s="31">
        <v>911</v>
      </c>
      <c r="C315" s="24" t="s">
        <v>19</v>
      </c>
      <c r="D315" s="24" t="s">
        <v>26</v>
      </c>
      <c r="E315" s="24" t="s">
        <v>244</v>
      </c>
      <c r="F315" s="27" t="s">
        <v>67</v>
      </c>
      <c r="G315" s="25">
        <v>3641.4</v>
      </c>
      <c r="H315" s="25">
        <v>3641.4</v>
      </c>
      <c r="I315" s="25">
        <v>3641.4</v>
      </c>
    </row>
    <row r="316" spans="1:17" s="84" customFormat="1" ht="25.5" x14ac:dyDescent="0.2">
      <c r="A316" s="87" t="s">
        <v>76</v>
      </c>
      <c r="B316" s="86">
        <v>911</v>
      </c>
      <c r="C316" s="82" t="s">
        <v>19</v>
      </c>
      <c r="D316" s="82" t="s">
        <v>26</v>
      </c>
      <c r="E316" s="82" t="s">
        <v>244</v>
      </c>
      <c r="F316" s="83" t="s">
        <v>68</v>
      </c>
      <c r="G316" s="62">
        <v>40</v>
      </c>
      <c r="H316" s="62">
        <v>40</v>
      </c>
      <c r="I316" s="62">
        <v>40</v>
      </c>
    </row>
    <row r="317" spans="1:17" ht="25.5" x14ac:dyDescent="0.2">
      <c r="A317" s="75" t="s">
        <v>348</v>
      </c>
      <c r="B317" s="76">
        <v>911</v>
      </c>
      <c r="C317" s="77" t="s">
        <v>19</v>
      </c>
      <c r="D317" s="77" t="s">
        <v>26</v>
      </c>
      <c r="E317" s="77" t="s">
        <v>245</v>
      </c>
      <c r="F317" s="77"/>
      <c r="G317" s="78">
        <f>G318</f>
        <v>20310.8</v>
      </c>
      <c r="H317" s="78">
        <f>H318</f>
        <v>20310.8</v>
      </c>
      <c r="I317" s="78">
        <f>I318</f>
        <v>19969.7</v>
      </c>
    </row>
    <row r="318" spans="1:17" s="26" customFormat="1" ht="25.5" x14ac:dyDescent="0.2">
      <c r="A318" s="28" t="s">
        <v>141</v>
      </c>
      <c r="B318" s="31">
        <v>911</v>
      </c>
      <c r="C318" s="24" t="s">
        <v>19</v>
      </c>
      <c r="D318" s="24" t="s">
        <v>26</v>
      </c>
      <c r="E318" s="24" t="s">
        <v>245</v>
      </c>
      <c r="F318" s="24" t="s">
        <v>65</v>
      </c>
      <c r="G318" s="25">
        <f>20330.8-20</f>
        <v>20310.8</v>
      </c>
      <c r="H318" s="25">
        <f>20330.8-20</f>
        <v>20310.8</v>
      </c>
      <c r="I318" s="25">
        <f>19989.7-20</f>
        <v>19969.7</v>
      </c>
      <c r="J318" s="118"/>
      <c r="K318" s="118"/>
      <c r="L318" s="118"/>
      <c r="M318" s="118"/>
      <c r="N318" s="118"/>
      <c r="O318" s="118"/>
      <c r="P318" s="118"/>
      <c r="Q318" s="118"/>
    </row>
    <row r="319" spans="1:17" ht="25.5" x14ac:dyDescent="0.2">
      <c r="A319" s="75" t="s">
        <v>348</v>
      </c>
      <c r="B319" s="76">
        <v>911</v>
      </c>
      <c r="C319" s="77" t="s">
        <v>19</v>
      </c>
      <c r="D319" s="77" t="s">
        <v>26</v>
      </c>
      <c r="E319" s="77" t="s">
        <v>246</v>
      </c>
      <c r="F319" s="77"/>
      <c r="G319" s="78">
        <f>G320+G321+G322+G323</f>
        <v>40888.400000000001</v>
      </c>
      <c r="H319" s="78">
        <f>H320+H321+H322+H323</f>
        <v>40888.300000000003</v>
      </c>
      <c r="I319" s="78">
        <f>I320+I321+I322+I323</f>
        <v>40021.800000000003</v>
      </c>
    </row>
    <row r="320" spans="1:17" s="26" customFormat="1" ht="51.75" customHeight="1" x14ac:dyDescent="0.2">
      <c r="A320" s="30" t="s">
        <v>66</v>
      </c>
      <c r="B320" s="32">
        <v>911</v>
      </c>
      <c r="C320" s="24" t="s">
        <v>19</v>
      </c>
      <c r="D320" s="24" t="s">
        <v>26</v>
      </c>
      <c r="E320" s="24" t="s">
        <v>246</v>
      </c>
      <c r="F320" s="27" t="s">
        <v>67</v>
      </c>
      <c r="G320" s="25">
        <v>20676.400000000001</v>
      </c>
      <c r="H320" s="25">
        <v>20676.400000000001</v>
      </c>
      <c r="I320" s="25">
        <v>20676.400000000001</v>
      </c>
    </row>
    <row r="321" spans="1:17" s="26" customFormat="1" ht="25.5" x14ac:dyDescent="0.2">
      <c r="A321" s="28" t="s">
        <v>76</v>
      </c>
      <c r="B321" s="32">
        <v>911</v>
      </c>
      <c r="C321" s="24" t="s">
        <v>19</v>
      </c>
      <c r="D321" s="24" t="s">
        <v>26</v>
      </c>
      <c r="E321" s="24" t="s">
        <v>246</v>
      </c>
      <c r="F321" s="27" t="s">
        <v>68</v>
      </c>
      <c r="G321" s="25">
        <v>2835.6</v>
      </c>
      <c r="H321" s="25">
        <v>2835.6</v>
      </c>
      <c r="I321" s="25">
        <v>2240.8000000000002</v>
      </c>
      <c r="J321" s="118"/>
      <c r="K321" s="118"/>
      <c r="L321" s="118"/>
      <c r="M321" s="118"/>
      <c r="N321" s="118"/>
      <c r="O321" s="118"/>
      <c r="P321" s="118"/>
      <c r="Q321" s="118"/>
    </row>
    <row r="322" spans="1:17" s="26" customFormat="1" ht="25.5" x14ac:dyDescent="0.2">
      <c r="A322" s="28" t="s">
        <v>141</v>
      </c>
      <c r="B322" s="31">
        <v>911</v>
      </c>
      <c r="C322" s="24" t="s">
        <v>19</v>
      </c>
      <c r="D322" s="24" t="s">
        <v>26</v>
      </c>
      <c r="E322" s="24" t="s">
        <v>246</v>
      </c>
      <c r="F322" s="24" t="s">
        <v>65</v>
      </c>
      <c r="G322" s="25">
        <v>17304.900000000001</v>
      </c>
      <c r="H322" s="25">
        <f>17304.9-0.1</f>
        <v>17304.800000000003</v>
      </c>
      <c r="I322" s="25">
        <v>17033.099999999999</v>
      </c>
      <c r="J322" s="118"/>
      <c r="K322" s="118"/>
      <c r="L322" s="118"/>
      <c r="M322" s="118"/>
      <c r="N322" s="118"/>
      <c r="O322" s="118"/>
      <c r="P322" s="118"/>
      <c r="Q322" s="118"/>
    </row>
    <row r="323" spans="1:17" s="26" customFormat="1" x14ac:dyDescent="0.2">
      <c r="A323" s="28" t="s">
        <v>72</v>
      </c>
      <c r="B323" s="31">
        <v>911</v>
      </c>
      <c r="C323" s="24" t="s">
        <v>19</v>
      </c>
      <c r="D323" s="24" t="s">
        <v>26</v>
      </c>
      <c r="E323" s="24" t="s">
        <v>246</v>
      </c>
      <c r="F323" s="24" t="s">
        <v>73</v>
      </c>
      <c r="G323" s="25">
        <v>71.5</v>
      </c>
      <c r="H323" s="25">
        <v>71.5</v>
      </c>
      <c r="I323" s="25">
        <v>71.5</v>
      </c>
      <c r="J323" s="118"/>
      <c r="K323" s="118"/>
      <c r="L323" s="118"/>
      <c r="M323" s="118"/>
      <c r="N323" s="118"/>
      <c r="O323" s="118"/>
      <c r="P323" s="118"/>
      <c r="Q323" s="118"/>
    </row>
    <row r="324" spans="1:17" s="99" customFormat="1" x14ac:dyDescent="0.2">
      <c r="A324" s="98" t="s">
        <v>52</v>
      </c>
      <c r="B324" s="64">
        <v>911</v>
      </c>
      <c r="C324" s="65" t="s">
        <v>51</v>
      </c>
      <c r="D324" s="65"/>
      <c r="E324" s="65"/>
      <c r="F324" s="65"/>
      <c r="G324" s="68">
        <f>G325+G342</f>
        <v>60121.2</v>
      </c>
      <c r="H324" s="68">
        <f>H325+H342</f>
        <v>59838.2</v>
      </c>
      <c r="I324" s="68">
        <f>I325+I342</f>
        <v>57889.099999999991</v>
      </c>
    </row>
    <row r="325" spans="1:17" s="74" customFormat="1" x14ac:dyDescent="0.2">
      <c r="A325" s="70" t="s">
        <v>55</v>
      </c>
      <c r="B325" s="71">
        <v>911</v>
      </c>
      <c r="C325" s="72" t="s">
        <v>51</v>
      </c>
      <c r="D325" s="72" t="s">
        <v>16</v>
      </c>
      <c r="E325" s="72"/>
      <c r="F325" s="72"/>
      <c r="G325" s="73">
        <f>G326+G331+G333+G329+G338+G340+G335</f>
        <v>11473.8</v>
      </c>
      <c r="H325" s="73">
        <f>H326+H331+H333+H329+H338+H340+H335</f>
        <v>11473.8</v>
      </c>
      <c r="I325" s="73">
        <f>I326+I331+I333+I329+I338+I340+I335</f>
        <v>11473.8</v>
      </c>
    </row>
    <row r="326" spans="1:17" s="21" customFormat="1" ht="25.5" x14ac:dyDescent="0.2">
      <c r="A326" s="60" t="s">
        <v>361</v>
      </c>
      <c r="B326" s="22">
        <v>911</v>
      </c>
      <c r="C326" s="19" t="s">
        <v>51</v>
      </c>
      <c r="D326" s="19" t="s">
        <v>16</v>
      </c>
      <c r="E326" s="19" t="s">
        <v>85</v>
      </c>
      <c r="F326" s="19"/>
      <c r="G326" s="20">
        <f>G328+G327</f>
        <v>1396</v>
      </c>
      <c r="H326" s="20">
        <f>H328+H327</f>
        <v>1396</v>
      </c>
      <c r="I326" s="20">
        <f>I328+I327</f>
        <v>1396</v>
      </c>
    </row>
    <row r="327" spans="1:17" s="21" customFormat="1" x14ac:dyDescent="0.2">
      <c r="A327" s="59" t="s">
        <v>69</v>
      </c>
      <c r="B327" s="23">
        <v>911</v>
      </c>
      <c r="C327" s="24" t="s">
        <v>51</v>
      </c>
      <c r="D327" s="24" t="s">
        <v>16</v>
      </c>
      <c r="E327" s="24" t="s">
        <v>85</v>
      </c>
      <c r="F327" s="27" t="s">
        <v>70</v>
      </c>
      <c r="G327" s="25">
        <f>26.7</f>
        <v>26.7</v>
      </c>
      <c r="H327" s="25">
        <f>26.7</f>
        <v>26.7</v>
      </c>
      <c r="I327" s="25">
        <f>26.7</f>
        <v>26.7</v>
      </c>
    </row>
    <row r="328" spans="1:17" s="26" customFormat="1" ht="25.5" x14ac:dyDescent="0.2">
      <c r="A328" s="28" t="s">
        <v>141</v>
      </c>
      <c r="B328" s="31">
        <v>911</v>
      </c>
      <c r="C328" s="24" t="s">
        <v>51</v>
      </c>
      <c r="D328" s="24" t="s">
        <v>16</v>
      </c>
      <c r="E328" s="24" t="s">
        <v>85</v>
      </c>
      <c r="F328" s="24" t="s">
        <v>65</v>
      </c>
      <c r="G328" s="25">
        <f>1289.3+80</f>
        <v>1369.3</v>
      </c>
      <c r="H328" s="25">
        <f>1289.3+80</f>
        <v>1369.3</v>
      </c>
      <c r="I328" s="25">
        <f>1289.3+80</f>
        <v>1369.3</v>
      </c>
    </row>
    <row r="329" spans="1:17" s="21" customFormat="1" ht="51" x14ac:dyDescent="0.2">
      <c r="A329" s="18" t="s">
        <v>247</v>
      </c>
      <c r="B329" s="22">
        <v>911</v>
      </c>
      <c r="C329" s="19" t="s">
        <v>51</v>
      </c>
      <c r="D329" s="19" t="s">
        <v>16</v>
      </c>
      <c r="E329" s="19" t="s">
        <v>126</v>
      </c>
      <c r="F329" s="19"/>
      <c r="G329" s="20">
        <f>G330</f>
        <v>207</v>
      </c>
      <c r="H329" s="20">
        <f>H330</f>
        <v>207</v>
      </c>
      <c r="I329" s="20">
        <f>I330</f>
        <v>207</v>
      </c>
    </row>
    <row r="330" spans="1:17" s="26" customFormat="1" x14ac:dyDescent="0.2">
      <c r="A330" s="59" t="s">
        <v>69</v>
      </c>
      <c r="B330" s="31">
        <v>911</v>
      </c>
      <c r="C330" s="24" t="s">
        <v>51</v>
      </c>
      <c r="D330" s="24" t="s">
        <v>16</v>
      </c>
      <c r="E330" s="24" t="s">
        <v>126</v>
      </c>
      <c r="F330" s="29">
        <v>300</v>
      </c>
      <c r="G330" s="25">
        <v>207</v>
      </c>
      <c r="H330" s="25">
        <v>207</v>
      </c>
      <c r="I330" s="25">
        <v>207</v>
      </c>
    </row>
    <row r="331" spans="1:17" s="21" customFormat="1" ht="63.75" x14ac:dyDescent="0.2">
      <c r="A331" s="18" t="s">
        <v>248</v>
      </c>
      <c r="B331" s="22">
        <v>911</v>
      </c>
      <c r="C331" s="19" t="s">
        <v>51</v>
      </c>
      <c r="D331" s="19" t="s">
        <v>16</v>
      </c>
      <c r="E331" s="24" t="s">
        <v>125</v>
      </c>
      <c r="F331" s="19"/>
      <c r="G331" s="20">
        <f>G332</f>
        <v>0</v>
      </c>
      <c r="H331" s="20">
        <f>H332</f>
        <v>0</v>
      </c>
      <c r="I331" s="20">
        <f>I332</f>
        <v>0</v>
      </c>
    </row>
    <row r="332" spans="1:17" s="26" customFormat="1" x14ac:dyDescent="0.2">
      <c r="A332" s="59" t="s">
        <v>69</v>
      </c>
      <c r="B332" s="31">
        <v>911</v>
      </c>
      <c r="C332" s="24" t="s">
        <v>51</v>
      </c>
      <c r="D332" s="24" t="s">
        <v>16</v>
      </c>
      <c r="E332" s="24" t="s">
        <v>125</v>
      </c>
      <c r="F332" s="29">
        <v>300</v>
      </c>
      <c r="G332" s="25"/>
      <c r="H332" s="25"/>
      <c r="I332" s="25"/>
    </row>
    <row r="333" spans="1:17" s="21" customFormat="1" ht="38.25" x14ac:dyDescent="0.2">
      <c r="A333" s="47" t="s">
        <v>249</v>
      </c>
      <c r="B333" s="22">
        <v>911</v>
      </c>
      <c r="C333" s="19" t="s">
        <v>51</v>
      </c>
      <c r="D333" s="19" t="s">
        <v>16</v>
      </c>
      <c r="E333" s="19" t="s">
        <v>124</v>
      </c>
      <c r="F333" s="19"/>
      <c r="G333" s="20">
        <f>G334</f>
        <v>570</v>
      </c>
      <c r="H333" s="20">
        <f>H334</f>
        <v>570</v>
      </c>
      <c r="I333" s="20">
        <f>I334</f>
        <v>570</v>
      </c>
    </row>
    <row r="334" spans="1:17" s="26" customFormat="1" x14ac:dyDescent="0.2">
      <c r="A334" s="59" t="s">
        <v>69</v>
      </c>
      <c r="B334" s="31">
        <v>911</v>
      </c>
      <c r="C334" s="24" t="s">
        <v>51</v>
      </c>
      <c r="D334" s="24" t="s">
        <v>16</v>
      </c>
      <c r="E334" s="24" t="s">
        <v>124</v>
      </c>
      <c r="F334" s="24" t="s">
        <v>70</v>
      </c>
      <c r="G334" s="25">
        <v>570</v>
      </c>
      <c r="H334" s="25">
        <v>570</v>
      </c>
      <c r="I334" s="25">
        <v>570</v>
      </c>
    </row>
    <row r="335" spans="1:17" ht="25.5" x14ac:dyDescent="0.2">
      <c r="A335" s="106" t="s">
        <v>250</v>
      </c>
      <c r="B335" s="107" t="s">
        <v>131</v>
      </c>
      <c r="C335" s="77" t="s">
        <v>51</v>
      </c>
      <c r="D335" s="77" t="s">
        <v>16</v>
      </c>
      <c r="E335" s="77" t="s">
        <v>132</v>
      </c>
      <c r="F335" s="77"/>
      <c r="G335" s="78">
        <f>G337+G336</f>
        <v>636</v>
      </c>
      <c r="H335" s="78">
        <f>H337+H336</f>
        <v>636</v>
      </c>
      <c r="I335" s="78">
        <f>I337+I336</f>
        <v>636</v>
      </c>
    </row>
    <row r="336" spans="1:17" ht="25.5" x14ac:dyDescent="0.2">
      <c r="A336" s="87" t="s">
        <v>76</v>
      </c>
      <c r="B336" s="85">
        <v>911</v>
      </c>
      <c r="C336" s="82" t="s">
        <v>51</v>
      </c>
      <c r="D336" s="82" t="s">
        <v>16</v>
      </c>
      <c r="E336" s="82" t="s">
        <v>132</v>
      </c>
      <c r="F336" s="83" t="s">
        <v>68</v>
      </c>
      <c r="G336" s="62">
        <v>118.8</v>
      </c>
      <c r="H336" s="62">
        <v>118.8</v>
      </c>
      <c r="I336" s="62">
        <v>118.8</v>
      </c>
    </row>
    <row r="337" spans="1:9" ht="25.5" x14ac:dyDescent="0.2">
      <c r="A337" s="87" t="s">
        <v>141</v>
      </c>
      <c r="B337" s="87">
        <v>911</v>
      </c>
      <c r="C337" s="82" t="s">
        <v>51</v>
      </c>
      <c r="D337" s="82" t="s">
        <v>16</v>
      </c>
      <c r="E337" s="82" t="s">
        <v>132</v>
      </c>
      <c r="F337" s="82" t="s">
        <v>65</v>
      </c>
      <c r="G337" s="62">
        <f>483.6+33.6</f>
        <v>517.20000000000005</v>
      </c>
      <c r="H337" s="62">
        <f>483.6+33.6</f>
        <v>517.20000000000005</v>
      </c>
      <c r="I337" s="62">
        <f>483.6+33.6</f>
        <v>517.20000000000005</v>
      </c>
    </row>
    <row r="338" spans="1:9" s="21" customFormat="1" ht="76.5" x14ac:dyDescent="0.2">
      <c r="A338" s="18" t="s">
        <v>251</v>
      </c>
      <c r="B338" s="22">
        <v>911</v>
      </c>
      <c r="C338" s="19" t="s">
        <v>51</v>
      </c>
      <c r="D338" s="19" t="s">
        <v>16</v>
      </c>
      <c r="E338" s="19" t="s">
        <v>127</v>
      </c>
      <c r="F338" s="19"/>
      <c r="G338" s="20">
        <f>G339</f>
        <v>1000</v>
      </c>
      <c r="H338" s="20">
        <f>H339</f>
        <v>1000</v>
      </c>
      <c r="I338" s="20">
        <f>I339</f>
        <v>1000</v>
      </c>
    </row>
    <row r="339" spans="1:9" s="84" customFormat="1" x14ac:dyDescent="0.2">
      <c r="A339" s="87" t="s">
        <v>69</v>
      </c>
      <c r="B339" s="86">
        <v>911</v>
      </c>
      <c r="C339" s="82" t="s">
        <v>51</v>
      </c>
      <c r="D339" s="82" t="s">
        <v>16</v>
      </c>
      <c r="E339" s="82" t="s">
        <v>127</v>
      </c>
      <c r="F339" s="82" t="s">
        <v>70</v>
      </c>
      <c r="G339" s="62">
        <v>1000</v>
      </c>
      <c r="H339" s="62">
        <v>1000</v>
      </c>
      <c r="I339" s="62">
        <v>1000</v>
      </c>
    </row>
    <row r="340" spans="1:9" s="21" customFormat="1" ht="51" x14ac:dyDescent="0.2">
      <c r="A340" s="18" t="s">
        <v>252</v>
      </c>
      <c r="B340" s="22">
        <v>911</v>
      </c>
      <c r="C340" s="19" t="s">
        <v>51</v>
      </c>
      <c r="D340" s="19" t="s">
        <v>16</v>
      </c>
      <c r="E340" s="19" t="s">
        <v>108</v>
      </c>
      <c r="F340" s="19"/>
      <c r="G340" s="20">
        <f>G341</f>
        <v>7664.8</v>
      </c>
      <c r="H340" s="20">
        <f>H341</f>
        <v>7664.8</v>
      </c>
      <c r="I340" s="20">
        <f>I341</f>
        <v>7664.8</v>
      </c>
    </row>
    <row r="341" spans="1:9" s="26" customFormat="1" ht="25.5" x14ac:dyDescent="0.2">
      <c r="A341" s="28" t="s">
        <v>141</v>
      </c>
      <c r="B341" s="31">
        <v>911</v>
      </c>
      <c r="C341" s="24" t="s">
        <v>51</v>
      </c>
      <c r="D341" s="24" t="s">
        <v>16</v>
      </c>
      <c r="E341" s="24" t="s">
        <v>108</v>
      </c>
      <c r="F341" s="24" t="s">
        <v>65</v>
      </c>
      <c r="G341" s="25">
        <v>7664.8</v>
      </c>
      <c r="H341" s="25">
        <v>7664.8</v>
      </c>
      <c r="I341" s="25">
        <v>7664.8</v>
      </c>
    </row>
    <row r="342" spans="1:9" s="74" customFormat="1" x14ac:dyDescent="0.2">
      <c r="A342" s="70" t="s">
        <v>56</v>
      </c>
      <c r="B342" s="71">
        <v>911</v>
      </c>
      <c r="C342" s="72" t="s">
        <v>51</v>
      </c>
      <c r="D342" s="72" t="s">
        <v>18</v>
      </c>
      <c r="E342" s="72"/>
      <c r="F342" s="72"/>
      <c r="G342" s="73">
        <f>G343+G345+G351+G355+G357+G349+G353</f>
        <v>48647.399999999994</v>
      </c>
      <c r="H342" s="73">
        <f t="shared" ref="H342:I342" si="51">H343+H345+H351+H355+H357+H349+H353</f>
        <v>48364.399999999994</v>
      </c>
      <c r="I342" s="73">
        <f t="shared" si="51"/>
        <v>46415.299999999996</v>
      </c>
    </row>
    <row r="343" spans="1:9" s="21" customFormat="1" ht="38.25" x14ac:dyDescent="0.2">
      <c r="A343" s="18" t="s">
        <v>253</v>
      </c>
      <c r="B343" s="22">
        <v>911</v>
      </c>
      <c r="C343" s="19" t="s">
        <v>51</v>
      </c>
      <c r="D343" s="19" t="s">
        <v>18</v>
      </c>
      <c r="E343" s="19" t="s">
        <v>130</v>
      </c>
      <c r="F343" s="19"/>
      <c r="G343" s="20">
        <f>G344</f>
        <v>1288</v>
      </c>
      <c r="H343" s="20">
        <f>H344</f>
        <v>1000</v>
      </c>
      <c r="I343" s="20">
        <f>I344</f>
        <v>1300</v>
      </c>
    </row>
    <row r="344" spans="1:9" s="26" customFormat="1" x14ac:dyDescent="0.2">
      <c r="A344" s="28" t="s">
        <v>69</v>
      </c>
      <c r="B344" s="31">
        <v>911</v>
      </c>
      <c r="C344" s="24" t="s">
        <v>51</v>
      </c>
      <c r="D344" s="24" t="s">
        <v>18</v>
      </c>
      <c r="E344" s="24" t="s">
        <v>130</v>
      </c>
      <c r="F344" s="24" t="s">
        <v>70</v>
      </c>
      <c r="G344" s="25">
        <v>1288</v>
      </c>
      <c r="H344" s="25">
        <v>1000</v>
      </c>
      <c r="I344" s="25">
        <v>1300</v>
      </c>
    </row>
    <row r="345" spans="1:9" ht="38.25" customHeight="1" x14ac:dyDescent="0.2">
      <c r="A345" s="75" t="s">
        <v>254</v>
      </c>
      <c r="B345" s="76">
        <v>911</v>
      </c>
      <c r="C345" s="77" t="s">
        <v>51</v>
      </c>
      <c r="D345" s="77" t="s">
        <v>18</v>
      </c>
      <c r="E345" s="77" t="s">
        <v>128</v>
      </c>
      <c r="F345" s="77"/>
      <c r="G345" s="78">
        <f>G347+G348+G346</f>
        <v>3754</v>
      </c>
      <c r="H345" s="78">
        <f>H347+H348+H346</f>
        <v>3754</v>
      </c>
      <c r="I345" s="78">
        <f>I347+I348+I346</f>
        <v>3754</v>
      </c>
    </row>
    <row r="346" spans="1:9" s="84" customFormat="1" ht="25.5" x14ac:dyDescent="0.2">
      <c r="A346" s="87" t="s">
        <v>76</v>
      </c>
      <c r="B346" s="81">
        <v>911</v>
      </c>
      <c r="C346" s="82" t="s">
        <v>51</v>
      </c>
      <c r="D346" s="82" t="s">
        <v>18</v>
      </c>
      <c r="E346" s="82" t="s">
        <v>128</v>
      </c>
      <c r="F346" s="83" t="s">
        <v>68</v>
      </c>
      <c r="G346" s="62">
        <v>4.2</v>
      </c>
      <c r="H346" s="62">
        <v>4.2</v>
      </c>
      <c r="I346" s="62">
        <v>4.2</v>
      </c>
    </row>
    <row r="347" spans="1:9" s="84" customFormat="1" x14ac:dyDescent="0.2">
      <c r="A347" s="104" t="s">
        <v>69</v>
      </c>
      <c r="B347" s="86">
        <v>911</v>
      </c>
      <c r="C347" s="82" t="s">
        <v>51</v>
      </c>
      <c r="D347" s="82" t="s">
        <v>18</v>
      </c>
      <c r="E347" s="82" t="s">
        <v>128</v>
      </c>
      <c r="F347" s="105">
        <v>300</v>
      </c>
      <c r="G347" s="62">
        <v>419</v>
      </c>
      <c r="H347" s="62">
        <v>419</v>
      </c>
      <c r="I347" s="62">
        <v>419</v>
      </c>
    </row>
    <row r="348" spans="1:9" s="84" customFormat="1" ht="25.5" x14ac:dyDescent="0.2">
      <c r="A348" s="87" t="s">
        <v>141</v>
      </c>
      <c r="B348" s="86">
        <v>911</v>
      </c>
      <c r="C348" s="82" t="s">
        <v>51</v>
      </c>
      <c r="D348" s="82" t="s">
        <v>18</v>
      </c>
      <c r="E348" s="82" t="s">
        <v>128</v>
      </c>
      <c r="F348" s="82" t="s">
        <v>65</v>
      </c>
      <c r="G348" s="62">
        <v>3330.8</v>
      </c>
      <c r="H348" s="62">
        <v>3330.8</v>
      </c>
      <c r="I348" s="62">
        <v>3330.8</v>
      </c>
    </row>
    <row r="349" spans="1:9" s="21" customFormat="1" ht="29.25" customHeight="1" x14ac:dyDescent="0.2">
      <c r="A349" s="60" t="s">
        <v>448</v>
      </c>
      <c r="B349" s="22">
        <v>911</v>
      </c>
      <c r="C349" s="19" t="s">
        <v>51</v>
      </c>
      <c r="D349" s="19" t="s">
        <v>18</v>
      </c>
      <c r="E349" s="19" t="s">
        <v>447</v>
      </c>
      <c r="F349" s="19"/>
      <c r="G349" s="20">
        <f>G350</f>
        <v>0</v>
      </c>
      <c r="H349" s="20">
        <f>H350</f>
        <v>5</v>
      </c>
      <c r="I349" s="20">
        <f>I350</f>
        <v>0</v>
      </c>
    </row>
    <row r="350" spans="1:9" s="26" customFormat="1" x14ac:dyDescent="0.2">
      <c r="A350" s="28" t="s">
        <v>69</v>
      </c>
      <c r="B350" s="31">
        <v>911</v>
      </c>
      <c r="C350" s="24" t="s">
        <v>51</v>
      </c>
      <c r="D350" s="24" t="s">
        <v>18</v>
      </c>
      <c r="E350" s="24" t="s">
        <v>447</v>
      </c>
      <c r="F350" s="24" t="s">
        <v>70</v>
      </c>
      <c r="G350" s="25">
        <v>0</v>
      </c>
      <c r="H350" s="25">
        <v>5</v>
      </c>
      <c r="I350" s="25">
        <v>0</v>
      </c>
    </row>
    <row r="351" spans="1:9" s="21" customFormat="1" ht="112.5" customHeight="1" x14ac:dyDescent="0.2">
      <c r="A351" s="60" t="s">
        <v>436</v>
      </c>
      <c r="B351" s="22">
        <v>911</v>
      </c>
      <c r="C351" s="19" t="s">
        <v>51</v>
      </c>
      <c r="D351" s="19" t="s">
        <v>18</v>
      </c>
      <c r="E351" s="19" t="s">
        <v>129</v>
      </c>
      <c r="F351" s="19"/>
      <c r="G351" s="20">
        <f>G352</f>
        <v>38467</v>
      </c>
      <c r="H351" s="20">
        <f>H352</f>
        <v>38467</v>
      </c>
      <c r="I351" s="20">
        <f>I352</f>
        <v>38467</v>
      </c>
    </row>
    <row r="352" spans="1:9" s="26" customFormat="1" x14ac:dyDescent="0.2">
      <c r="A352" s="28" t="s">
        <v>69</v>
      </c>
      <c r="B352" s="31">
        <v>911</v>
      </c>
      <c r="C352" s="24" t="s">
        <v>51</v>
      </c>
      <c r="D352" s="24" t="s">
        <v>18</v>
      </c>
      <c r="E352" s="24" t="s">
        <v>129</v>
      </c>
      <c r="F352" s="24" t="s">
        <v>70</v>
      </c>
      <c r="G352" s="25">
        <f>38517-50</f>
        <v>38467</v>
      </c>
      <c r="H352" s="25">
        <f>38517-50</f>
        <v>38467</v>
      </c>
      <c r="I352" s="25">
        <f>38517-50</f>
        <v>38467</v>
      </c>
    </row>
    <row r="353" spans="1:9" s="21" customFormat="1" ht="112.5" customHeight="1" x14ac:dyDescent="0.2">
      <c r="A353" s="60" t="s">
        <v>450</v>
      </c>
      <c r="B353" s="22">
        <v>911</v>
      </c>
      <c r="C353" s="19" t="s">
        <v>51</v>
      </c>
      <c r="D353" s="19" t="s">
        <v>18</v>
      </c>
      <c r="E353" s="19" t="s">
        <v>449</v>
      </c>
      <c r="F353" s="19"/>
      <c r="G353" s="20">
        <f>G354</f>
        <v>50</v>
      </c>
      <c r="H353" s="20">
        <f>H354</f>
        <v>50</v>
      </c>
      <c r="I353" s="20">
        <f>I354</f>
        <v>50</v>
      </c>
    </row>
    <row r="354" spans="1:9" s="26" customFormat="1" x14ac:dyDescent="0.2">
      <c r="A354" s="28" t="s">
        <v>69</v>
      </c>
      <c r="B354" s="31">
        <v>911</v>
      </c>
      <c r="C354" s="24" t="s">
        <v>51</v>
      </c>
      <c r="D354" s="24" t="s">
        <v>18</v>
      </c>
      <c r="E354" s="24" t="s">
        <v>449</v>
      </c>
      <c r="F354" s="24" t="s">
        <v>70</v>
      </c>
      <c r="G354" s="25">
        <v>50</v>
      </c>
      <c r="H354" s="25">
        <v>50</v>
      </c>
      <c r="I354" s="25">
        <v>50</v>
      </c>
    </row>
    <row r="355" spans="1:9" s="21" customFormat="1" ht="38.25" x14ac:dyDescent="0.2">
      <c r="A355" s="18" t="s">
        <v>424</v>
      </c>
      <c r="B355" s="22">
        <v>911</v>
      </c>
      <c r="C355" s="19" t="s">
        <v>51</v>
      </c>
      <c r="D355" s="19" t="s">
        <v>18</v>
      </c>
      <c r="E355" s="19" t="s">
        <v>425</v>
      </c>
      <c r="F355" s="19"/>
      <c r="G355" s="20">
        <f>G356</f>
        <v>3643.2</v>
      </c>
      <c r="H355" s="20">
        <f>H356</f>
        <v>3643.2</v>
      </c>
      <c r="I355" s="20">
        <f>I356</f>
        <v>1399.0999999999997</v>
      </c>
    </row>
    <row r="356" spans="1:9" s="26" customFormat="1" ht="25.5" x14ac:dyDescent="0.2">
      <c r="A356" s="87" t="s">
        <v>141</v>
      </c>
      <c r="B356" s="31">
        <v>911</v>
      </c>
      <c r="C356" s="24" t="s">
        <v>51</v>
      </c>
      <c r="D356" s="24" t="s">
        <v>18</v>
      </c>
      <c r="E356" s="24" t="s">
        <v>425</v>
      </c>
      <c r="F356" s="24" t="s">
        <v>65</v>
      </c>
      <c r="G356" s="25">
        <v>3643.2</v>
      </c>
      <c r="H356" s="25">
        <v>3643.2</v>
      </c>
      <c r="I356" s="25">
        <f>3643.2-2099.8-144.3</f>
        <v>1399.0999999999997</v>
      </c>
    </row>
    <row r="357" spans="1:9" s="21" customFormat="1" ht="38.25" x14ac:dyDescent="0.2">
      <c r="A357" s="18" t="s">
        <v>423</v>
      </c>
      <c r="B357" s="22">
        <v>911</v>
      </c>
      <c r="C357" s="19" t="s">
        <v>51</v>
      </c>
      <c r="D357" s="19" t="s">
        <v>18</v>
      </c>
      <c r="E357" s="19" t="s">
        <v>422</v>
      </c>
      <c r="F357" s="19"/>
      <c r="G357" s="20">
        <f>G359+G358</f>
        <v>1445.2</v>
      </c>
      <c r="H357" s="20">
        <f t="shared" ref="H357:I357" si="52">H359+H358</f>
        <v>1445.2</v>
      </c>
      <c r="I357" s="20">
        <f t="shared" si="52"/>
        <v>1445.2</v>
      </c>
    </row>
    <row r="358" spans="1:9" s="26" customFormat="1" ht="25.5" x14ac:dyDescent="0.2">
      <c r="A358" s="87" t="s">
        <v>76</v>
      </c>
      <c r="B358" s="31">
        <v>911</v>
      </c>
      <c r="C358" s="24" t="s">
        <v>51</v>
      </c>
      <c r="D358" s="24" t="s">
        <v>18</v>
      </c>
      <c r="E358" s="24" t="s">
        <v>422</v>
      </c>
      <c r="F358" s="24" t="s">
        <v>68</v>
      </c>
      <c r="G358" s="25">
        <v>420</v>
      </c>
      <c r="H358" s="25">
        <v>420</v>
      </c>
      <c r="I358" s="25">
        <v>420</v>
      </c>
    </row>
    <row r="359" spans="1:9" s="26" customFormat="1" ht="25.5" x14ac:dyDescent="0.2">
      <c r="A359" s="87" t="s">
        <v>141</v>
      </c>
      <c r="B359" s="31">
        <v>911</v>
      </c>
      <c r="C359" s="24" t="s">
        <v>51</v>
      </c>
      <c r="D359" s="24" t="s">
        <v>18</v>
      </c>
      <c r="E359" s="24" t="s">
        <v>422</v>
      </c>
      <c r="F359" s="24" t="s">
        <v>65</v>
      </c>
      <c r="G359" s="25">
        <v>1025.2</v>
      </c>
      <c r="H359" s="25">
        <v>1025.2</v>
      </c>
      <c r="I359" s="25">
        <v>1025.2</v>
      </c>
    </row>
    <row r="360" spans="1:9" s="9" customFormat="1" ht="25.5" x14ac:dyDescent="0.2">
      <c r="A360" s="40" t="s">
        <v>7</v>
      </c>
      <c r="B360" s="37">
        <v>913</v>
      </c>
      <c r="C360" s="41"/>
      <c r="D360" s="41"/>
      <c r="E360" s="41"/>
      <c r="F360" s="41"/>
      <c r="G360" s="39">
        <f>G361+G375+G401</f>
        <v>149202.09999999998</v>
      </c>
      <c r="H360" s="39">
        <f>H361+H375+H401</f>
        <v>125130</v>
      </c>
      <c r="I360" s="39">
        <f>I361+I375+I401</f>
        <v>123523.6</v>
      </c>
    </row>
    <row r="361" spans="1:9" s="99" customFormat="1" x14ac:dyDescent="0.2">
      <c r="A361" s="98" t="s">
        <v>37</v>
      </c>
      <c r="B361" s="64">
        <v>913</v>
      </c>
      <c r="C361" s="65" t="s">
        <v>19</v>
      </c>
      <c r="D361" s="65"/>
      <c r="E361" s="65"/>
      <c r="F361" s="65"/>
      <c r="G361" s="68">
        <f>G362+G370</f>
        <v>44524.899999999994</v>
      </c>
      <c r="H361" s="68">
        <f>H362+H370</f>
        <v>27712.3</v>
      </c>
      <c r="I361" s="68">
        <f>I362+I370</f>
        <v>27509.7</v>
      </c>
    </row>
    <row r="362" spans="1:9" s="74" customFormat="1" x14ac:dyDescent="0.2">
      <c r="A362" s="70" t="s">
        <v>331</v>
      </c>
      <c r="B362" s="71">
        <v>913</v>
      </c>
      <c r="C362" s="72" t="s">
        <v>19</v>
      </c>
      <c r="D362" s="72" t="s">
        <v>16</v>
      </c>
      <c r="E362" s="72"/>
      <c r="F362" s="72"/>
      <c r="G362" s="73">
        <f>G367+G365+G363</f>
        <v>44457.899999999994</v>
      </c>
      <c r="H362" s="73">
        <f t="shared" ref="H362:I362" si="53">H367+H365+H363</f>
        <v>27645.3</v>
      </c>
      <c r="I362" s="73">
        <f t="shared" si="53"/>
        <v>27442.7</v>
      </c>
    </row>
    <row r="363" spans="1:9" s="12" customFormat="1" ht="25.5" x14ac:dyDescent="0.2">
      <c r="A363" s="17" t="s">
        <v>163</v>
      </c>
      <c r="B363" s="44">
        <v>913</v>
      </c>
      <c r="C363" s="19" t="s">
        <v>19</v>
      </c>
      <c r="D363" s="19" t="s">
        <v>16</v>
      </c>
      <c r="E363" s="19" t="s">
        <v>162</v>
      </c>
      <c r="F363" s="5"/>
      <c r="G363" s="6">
        <f>G364</f>
        <v>407</v>
      </c>
      <c r="H363" s="6">
        <f>H364</f>
        <v>407</v>
      </c>
      <c r="I363" s="6">
        <f>I364</f>
        <v>407</v>
      </c>
    </row>
    <row r="364" spans="1:9" s="26" customFormat="1" ht="25.5" x14ac:dyDescent="0.2">
      <c r="A364" s="28" t="s">
        <v>141</v>
      </c>
      <c r="B364" s="31">
        <v>913</v>
      </c>
      <c r="C364" s="24" t="s">
        <v>19</v>
      </c>
      <c r="D364" s="24" t="s">
        <v>16</v>
      </c>
      <c r="E364" s="24" t="s">
        <v>162</v>
      </c>
      <c r="F364" s="24" t="s">
        <v>65</v>
      </c>
      <c r="G364" s="25">
        <f>300+107</f>
        <v>407</v>
      </c>
      <c r="H364" s="25">
        <f>300+107</f>
        <v>407</v>
      </c>
      <c r="I364" s="25">
        <f>300+107</f>
        <v>407</v>
      </c>
    </row>
    <row r="365" spans="1:9" x14ac:dyDescent="0.2">
      <c r="A365" s="75" t="s">
        <v>172</v>
      </c>
      <c r="B365" s="76">
        <v>913</v>
      </c>
      <c r="C365" s="77" t="s">
        <v>19</v>
      </c>
      <c r="D365" s="77" t="s">
        <v>16</v>
      </c>
      <c r="E365" s="77" t="s">
        <v>171</v>
      </c>
      <c r="F365" s="77"/>
      <c r="G365" s="78">
        <f>G366</f>
        <v>16812.599999999999</v>
      </c>
      <c r="H365" s="78">
        <f t="shared" ref="H365:I365" si="54">H366</f>
        <v>0</v>
      </c>
      <c r="I365" s="78">
        <f t="shared" si="54"/>
        <v>0</v>
      </c>
    </row>
    <row r="366" spans="1:9" s="84" customFormat="1" ht="23.25" customHeight="1" x14ac:dyDescent="0.2">
      <c r="A366" s="87" t="s">
        <v>83</v>
      </c>
      <c r="B366" s="86">
        <v>913</v>
      </c>
      <c r="C366" s="82" t="s">
        <v>19</v>
      </c>
      <c r="D366" s="82" t="s">
        <v>16</v>
      </c>
      <c r="E366" s="82" t="s">
        <v>171</v>
      </c>
      <c r="F366" s="82" t="s">
        <v>71</v>
      </c>
      <c r="G366" s="62">
        <v>16812.599999999999</v>
      </c>
      <c r="H366" s="62"/>
      <c r="I366" s="62"/>
    </row>
    <row r="367" spans="1:9" ht="63.75" x14ac:dyDescent="0.2">
      <c r="A367" s="75" t="s">
        <v>344</v>
      </c>
      <c r="B367" s="76">
        <v>913</v>
      </c>
      <c r="C367" s="77" t="s">
        <v>19</v>
      </c>
      <c r="D367" s="77" t="s">
        <v>16</v>
      </c>
      <c r="E367" s="77" t="s">
        <v>233</v>
      </c>
      <c r="F367" s="77"/>
      <c r="G367" s="78">
        <f>G369+G368</f>
        <v>27238.3</v>
      </c>
      <c r="H367" s="78">
        <f t="shared" ref="H367:I367" si="55">H369+H368</f>
        <v>27238.3</v>
      </c>
      <c r="I367" s="78">
        <f t="shared" si="55"/>
        <v>27035.7</v>
      </c>
    </row>
    <row r="368" spans="1:9" s="26" customFormat="1" x14ac:dyDescent="0.2">
      <c r="A368" s="28" t="s">
        <v>69</v>
      </c>
      <c r="B368" s="31">
        <v>913</v>
      </c>
      <c r="C368" s="24" t="s">
        <v>19</v>
      </c>
      <c r="D368" s="24" t="s">
        <v>16</v>
      </c>
      <c r="E368" s="24" t="s">
        <v>233</v>
      </c>
      <c r="F368" s="27" t="s">
        <v>70</v>
      </c>
      <c r="G368" s="25">
        <v>30</v>
      </c>
      <c r="H368" s="25">
        <v>30</v>
      </c>
      <c r="I368" s="25">
        <v>30</v>
      </c>
    </row>
    <row r="369" spans="1:17" s="84" customFormat="1" ht="25.5" x14ac:dyDescent="0.2">
      <c r="A369" s="87" t="s">
        <v>141</v>
      </c>
      <c r="B369" s="87">
        <v>913</v>
      </c>
      <c r="C369" s="82" t="s">
        <v>19</v>
      </c>
      <c r="D369" s="82" t="s">
        <v>16</v>
      </c>
      <c r="E369" s="82" t="s">
        <v>233</v>
      </c>
      <c r="F369" s="82" t="s">
        <v>65</v>
      </c>
      <c r="G369" s="62">
        <f>27315.3-107</f>
        <v>27208.3</v>
      </c>
      <c r="H369" s="62">
        <f>27315.3-107</f>
        <v>27208.3</v>
      </c>
      <c r="I369" s="62">
        <f>27112.7-107</f>
        <v>27005.7</v>
      </c>
    </row>
    <row r="370" spans="1:17" s="74" customFormat="1" x14ac:dyDescent="0.2">
      <c r="A370" s="70" t="s">
        <v>41</v>
      </c>
      <c r="B370" s="71">
        <v>913</v>
      </c>
      <c r="C370" s="72" t="s">
        <v>19</v>
      </c>
      <c r="D370" s="72" t="s">
        <v>26</v>
      </c>
      <c r="E370" s="72"/>
      <c r="F370" s="72"/>
      <c r="G370" s="73">
        <f>G373+G371</f>
        <v>67</v>
      </c>
      <c r="H370" s="73">
        <f t="shared" ref="H370:I370" si="56">H373+H371</f>
        <v>67</v>
      </c>
      <c r="I370" s="73">
        <f t="shared" si="56"/>
        <v>67</v>
      </c>
    </row>
    <row r="371" spans="1:17" s="21" customFormat="1" ht="25.5" x14ac:dyDescent="0.2">
      <c r="A371" s="18" t="s">
        <v>188</v>
      </c>
      <c r="B371" s="18">
        <v>913</v>
      </c>
      <c r="C371" s="19" t="s">
        <v>19</v>
      </c>
      <c r="D371" s="19" t="s">
        <v>26</v>
      </c>
      <c r="E371" s="19" t="s">
        <v>136</v>
      </c>
      <c r="F371" s="19"/>
      <c r="G371" s="20">
        <f>G372</f>
        <v>54</v>
      </c>
      <c r="H371" s="20">
        <f>H372</f>
        <v>54</v>
      </c>
      <c r="I371" s="20">
        <f>I372</f>
        <v>54</v>
      </c>
    </row>
    <row r="372" spans="1:17" s="21" customFormat="1" ht="25.5" x14ac:dyDescent="0.2">
      <c r="A372" s="28" t="s">
        <v>141</v>
      </c>
      <c r="B372" s="28">
        <v>913</v>
      </c>
      <c r="C372" s="24" t="s">
        <v>19</v>
      </c>
      <c r="D372" s="24" t="s">
        <v>26</v>
      </c>
      <c r="E372" s="24" t="s">
        <v>136</v>
      </c>
      <c r="F372" s="24" t="s">
        <v>65</v>
      </c>
      <c r="G372" s="25">
        <v>54</v>
      </c>
      <c r="H372" s="25">
        <v>54</v>
      </c>
      <c r="I372" s="25">
        <v>54</v>
      </c>
    </row>
    <row r="373" spans="1:17" s="21" customFormat="1" ht="25.5" x14ac:dyDescent="0.2">
      <c r="A373" s="18" t="s">
        <v>345</v>
      </c>
      <c r="B373" s="22">
        <v>913</v>
      </c>
      <c r="C373" s="19" t="s">
        <v>19</v>
      </c>
      <c r="D373" s="19" t="s">
        <v>26</v>
      </c>
      <c r="E373" s="19" t="s">
        <v>189</v>
      </c>
      <c r="F373" s="19"/>
      <c r="G373" s="20">
        <f>G374</f>
        <v>13</v>
      </c>
      <c r="H373" s="20">
        <f>H374</f>
        <v>13</v>
      </c>
      <c r="I373" s="20">
        <f>I374</f>
        <v>13</v>
      </c>
    </row>
    <row r="374" spans="1:17" s="26" customFormat="1" ht="25.5" x14ac:dyDescent="0.2">
      <c r="A374" s="28" t="s">
        <v>141</v>
      </c>
      <c r="B374" s="31">
        <v>913</v>
      </c>
      <c r="C374" s="24" t="s">
        <v>19</v>
      </c>
      <c r="D374" s="24" t="s">
        <v>26</v>
      </c>
      <c r="E374" s="24" t="s">
        <v>189</v>
      </c>
      <c r="F374" s="24" t="s">
        <v>65</v>
      </c>
      <c r="G374" s="25">
        <v>13</v>
      </c>
      <c r="H374" s="25">
        <v>13</v>
      </c>
      <c r="I374" s="25">
        <v>13</v>
      </c>
    </row>
    <row r="375" spans="1:17" s="99" customFormat="1" ht="25.5" x14ac:dyDescent="0.2">
      <c r="A375" s="98" t="s">
        <v>42</v>
      </c>
      <c r="B375" s="64">
        <v>913</v>
      </c>
      <c r="C375" s="65" t="s">
        <v>43</v>
      </c>
      <c r="D375" s="65"/>
      <c r="E375" s="65"/>
      <c r="F375" s="65"/>
      <c r="G375" s="68">
        <f>G376+G393</f>
        <v>104473.2</v>
      </c>
      <c r="H375" s="68">
        <f>H376+H393</f>
        <v>97213.7</v>
      </c>
      <c r="I375" s="68">
        <f>I376+I393</f>
        <v>95809.900000000009</v>
      </c>
    </row>
    <row r="376" spans="1:17" s="74" customFormat="1" x14ac:dyDescent="0.2">
      <c r="A376" s="70" t="s">
        <v>44</v>
      </c>
      <c r="B376" s="71">
        <v>913</v>
      </c>
      <c r="C376" s="72" t="s">
        <v>43</v>
      </c>
      <c r="D376" s="72" t="s">
        <v>12</v>
      </c>
      <c r="E376" s="72"/>
      <c r="F376" s="72"/>
      <c r="G376" s="73">
        <f t="shared" ref="G376:Q376" si="57">G385+G388+G390+G379+G381+G383+G377</f>
        <v>84621.8</v>
      </c>
      <c r="H376" s="73">
        <f t="shared" si="57"/>
        <v>77362.3</v>
      </c>
      <c r="I376" s="73">
        <f t="shared" si="57"/>
        <v>75958.500000000015</v>
      </c>
      <c r="J376" s="73">
        <f t="shared" si="57"/>
        <v>0</v>
      </c>
      <c r="K376" s="73">
        <f t="shared" si="57"/>
        <v>0</v>
      </c>
      <c r="L376" s="73">
        <f t="shared" si="57"/>
        <v>0</v>
      </c>
      <c r="M376" s="73">
        <f t="shared" si="57"/>
        <v>0</v>
      </c>
      <c r="N376" s="73">
        <f t="shared" si="57"/>
        <v>0</v>
      </c>
      <c r="O376" s="73">
        <f t="shared" si="57"/>
        <v>0</v>
      </c>
      <c r="P376" s="73">
        <f t="shared" si="57"/>
        <v>0</v>
      </c>
      <c r="Q376" s="73">
        <f t="shared" si="57"/>
        <v>0</v>
      </c>
    </row>
    <row r="377" spans="1:17" s="12" customFormat="1" ht="25.5" x14ac:dyDescent="0.2">
      <c r="A377" s="17" t="s">
        <v>163</v>
      </c>
      <c r="B377" s="44">
        <v>913</v>
      </c>
      <c r="C377" s="19" t="s">
        <v>43</v>
      </c>
      <c r="D377" s="19" t="s">
        <v>12</v>
      </c>
      <c r="E377" s="19" t="s">
        <v>162</v>
      </c>
      <c r="F377" s="5"/>
      <c r="G377" s="6">
        <f>G378</f>
        <v>2295.8000000000002</v>
      </c>
      <c r="H377" s="6">
        <f>H378</f>
        <v>2295.8000000000002</v>
      </c>
      <c r="I377" s="6">
        <f>I378</f>
        <v>2295.8000000000002</v>
      </c>
    </row>
    <row r="378" spans="1:17" s="26" customFormat="1" ht="25.5" x14ac:dyDescent="0.2">
      <c r="A378" s="28" t="s">
        <v>141</v>
      </c>
      <c r="B378" s="31">
        <v>913</v>
      </c>
      <c r="C378" s="24" t="s">
        <v>43</v>
      </c>
      <c r="D378" s="24" t="s">
        <v>12</v>
      </c>
      <c r="E378" s="24" t="s">
        <v>162</v>
      </c>
      <c r="F378" s="24" t="s">
        <v>65</v>
      </c>
      <c r="G378" s="25">
        <f>1856.2+439.6</f>
        <v>2295.8000000000002</v>
      </c>
      <c r="H378" s="25">
        <f>1856.2+439.6</f>
        <v>2295.8000000000002</v>
      </c>
      <c r="I378" s="25">
        <f>1856.2+439.6</f>
        <v>2295.8000000000002</v>
      </c>
    </row>
    <row r="379" spans="1:17" x14ac:dyDescent="0.2">
      <c r="A379" s="75" t="s">
        <v>174</v>
      </c>
      <c r="B379" s="76">
        <v>913</v>
      </c>
      <c r="C379" s="77" t="s">
        <v>43</v>
      </c>
      <c r="D379" s="77" t="s">
        <v>12</v>
      </c>
      <c r="E379" s="82" t="s">
        <v>173</v>
      </c>
      <c r="F379" s="77"/>
      <c r="G379" s="78">
        <f>G380</f>
        <v>7259.5</v>
      </c>
      <c r="H379" s="78">
        <f t="shared" ref="H379:I379" si="58">H380</f>
        <v>0</v>
      </c>
      <c r="I379" s="78">
        <f t="shared" si="58"/>
        <v>0</v>
      </c>
    </row>
    <row r="380" spans="1:17" s="84" customFormat="1" ht="25.5" x14ac:dyDescent="0.2">
      <c r="A380" s="87" t="s">
        <v>76</v>
      </c>
      <c r="B380" s="76">
        <v>913</v>
      </c>
      <c r="C380" s="82" t="s">
        <v>43</v>
      </c>
      <c r="D380" s="82" t="s">
        <v>12</v>
      </c>
      <c r="E380" s="82" t="s">
        <v>173</v>
      </c>
      <c r="F380" s="82" t="s">
        <v>68</v>
      </c>
      <c r="G380" s="62">
        <v>7259.5</v>
      </c>
      <c r="H380" s="62"/>
      <c r="I380" s="62"/>
    </row>
    <row r="381" spans="1:17" s="21" customFormat="1" ht="38.25" x14ac:dyDescent="0.2">
      <c r="A381" s="18" t="s">
        <v>370</v>
      </c>
      <c r="B381" s="18">
        <v>913</v>
      </c>
      <c r="C381" s="19" t="s">
        <v>43</v>
      </c>
      <c r="D381" s="19" t="s">
        <v>12</v>
      </c>
      <c r="E381" s="19" t="s">
        <v>371</v>
      </c>
      <c r="F381" s="19"/>
      <c r="G381" s="20">
        <f>G382</f>
        <v>4564</v>
      </c>
      <c r="H381" s="20">
        <f>H382</f>
        <v>4564</v>
      </c>
      <c r="I381" s="20">
        <f>I382</f>
        <v>4564</v>
      </c>
    </row>
    <row r="382" spans="1:17" s="21" customFormat="1" ht="25.5" x14ac:dyDescent="0.2">
      <c r="A382" s="28" t="s">
        <v>141</v>
      </c>
      <c r="B382" s="28">
        <v>913</v>
      </c>
      <c r="C382" s="24" t="s">
        <v>43</v>
      </c>
      <c r="D382" s="24" t="s">
        <v>12</v>
      </c>
      <c r="E382" s="24" t="s">
        <v>371</v>
      </c>
      <c r="F382" s="24" t="s">
        <v>65</v>
      </c>
      <c r="G382" s="25">
        <v>4564</v>
      </c>
      <c r="H382" s="25">
        <v>4564</v>
      </c>
      <c r="I382" s="25">
        <v>4564</v>
      </c>
    </row>
    <row r="383" spans="1:17" s="21" customFormat="1" ht="25.5" x14ac:dyDescent="0.2">
      <c r="A383" s="18" t="s">
        <v>380</v>
      </c>
      <c r="B383" s="18">
        <v>913</v>
      </c>
      <c r="C383" s="19" t="s">
        <v>43</v>
      </c>
      <c r="D383" s="19" t="s">
        <v>12</v>
      </c>
      <c r="E383" s="19" t="s">
        <v>379</v>
      </c>
      <c r="F383" s="19"/>
      <c r="G383" s="20">
        <f>G384</f>
        <v>0</v>
      </c>
      <c r="H383" s="20">
        <f>H384</f>
        <v>0</v>
      </c>
      <c r="I383" s="20">
        <f>I384</f>
        <v>0</v>
      </c>
    </row>
    <row r="384" spans="1:17" s="21" customFormat="1" ht="25.5" x14ac:dyDescent="0.2">
      <c r="A384" s="28" t="s">
        <v>141</v>
      </c>
      <c r="B384" s="28">
        <v>913</v>
      </c>
      <c r="C384" s="24" t="s">
        <v>43</v>
      </c>
      <c r="D384" s="24" t="s">
        <v>12</v>
      </c>
      <c r="E384" s="24" t="s">
        <v>379</v>
      </c>
      <c r="F384" s="24" t="s">
        <v>65</v>
      </c>
      <c r="G384" s="25"/>
      <c r="H384" s="25"/>
      <c r="I384" s="25"/>
    </row>
    <row r="385" spans="1:17" x14ac:dyDescent="0.2">
      <c r="A385" s="75" t="s">
        <v>256</v>
      </c>
      <c r="B385" s="76">
        <v>913</v>
      </c>
      <c r="C385" s="77" t="s">
        <v>43</v>
      </c>
      <c r="D385" s="77" t="s">
        <v>12</v>
      </c>
      <c r="E385" s="77" t="s">
        <v>255</v>
      </c>
      <c r="F385" s="77"/>
      <c r="G385" s="78">
        <f>G387+G386</f>
        <v>49649.7</v>
      </c>
      <c r="H385" s="78">
        <f>H387+H386</f>
        <v>49649.7</v>
      </c>
      <c r="I385" s="78">
        <f>I387+I386</f>
        <v>48537.3</v>
      </c>
    </row>
    <row r="386" spans="1:17" s="26" customFormat="1" x14ac:dyDescent="0.2">
      <c r="A386" s="28" t="s">
        <v>69</v>
      </c>
      <c r="B386" s="28">
        <v>913</v>
      </c>
      <c r="C386" s="24" t="s">
        <v>43</v>
      </c>
      <c r="D386" s="24" t="s">
        <v>12</v>
      </c>
      <c r="E386" s="24" t="s">
        <v>255</v>
      </c>
      <c r="F386" s="27" t="s">
        <v>70</v>
      </c>
      <c r="G386" s="25">
        <v>15</v>
      </c>
      <c r="H386" s="25">
        <v>15</v>
      </c>
      <c r="I386" s="25">
        <v>15</v>
      </c>
    </row>
    <row r="387" spans="1:17" s="26" customFormat="1" ht="25.5" x14ac:dyDescent="0.2">
      <c r="A387" s="28" t="s">
        <v>141</v>
      </c>
      <c r="B387" s="31">
        <v>913</v>
      </c>
      <c r="C387" s="24" t="s">
        <v>43</v>
      </c>
      <c r="D387" s="24" t="s">
        <v>12</v>
      </c>
      <c r="E387" s="24" t="s">
        <v>255</v>
      </c>
      <c r="F387" s="24" t="s">
        <v>65</v>
      </c>
      <c r="G387" s="25">
        <f>49991.7-357</f>
        <v>49634.7</v>
      </c>
      <c r="H387" s="25">
        <f>49991.7-357</f>
        <v>49634.7</v>
      </c>
      <c r="I387" s="25">
        <f>48879.3-357</f>
        <v>48522.3</v>
      </c>
      <c r="J387" s="118"/>
      <c r="K387" s="118"/>
      <c r="L387" s="118"/>
      <c r="M387" s="118"/>
      <c r="N387" s="118"/>
      <c r="O387" s="118"/>
      <c r="P387" s="118"/>
      <c r="Q387" s="118"/>
    </row>
    <row r="388" spans="1:17" s="21" customFormat="1" x14ac:dyDescent="0.2">
      <c r="A388" s="18" t="s">
        <v>258</v>
      </c>
      <c r="B388" s="22">
        <v>913</v>
      </c>
      <c r="C388" s="19" t="s">
        <v>43</v>
      </c>
      <c r="D388" s="19" t="s">
        <v>12</v>
      </c>
      <c r="E388" s="19" t="s">
        <v>257</v>
      </c>
      <c r="F388" s="19"/>
      <c r="G388" s="20">
        <f>G389</f>
        <v>3721.4</v>
      </c>
      <c r="H388" s="20">
        <f>H389</f>
        <v>3721.4</v>
      </c>
      <c r="I388" s="20">
        <f>I389</f>
        <v>3673.4</v>
      </c>
      <c r="J388" s="117"/>
      <c r="K388" s="117"/>
      <c r="L388" s="117"/>
      <c r="M388" s="117"/>
      <c r="N388" s="117"/>
      <c r="O388" s="117"/>
      <c r="P388" s="117"/>
      <c r="Q388" s="117"/>
    </row>
    <row r="389" spans="1:17" s="26" customFormat="1" ht="25.5" x14ac:dyDescent="0.2">
      <c r="A389" s="28" t="s">
        <v>141</v>
      </c>
      <c r="B389" s="31">
        <v>913</v>
      </c>
      <c r="C389" s="24" t="s">
        <v>43</v>
      </c>
      <c r="D389" s="24" t="s">
        <v>12</v>
      </c>
      <c r="E389" s="24" t="s">
        <v>257</v>
      </c>
      <c r="F389" s="24" t="s">
        <v>65</v>
      </c>
      <c r="G389" s="25">
        <v>3721.4</v>
      </c>
      <c r="H389" s="25">
        <v>3721.4</v>
      </c>
      <c r="I389" s="25">
        <v>3673.4</v>
      </c>
      <c r="J389" s="118"/>
      <c r="K389" s="118"/>
      <c r="L389" s="118"/>
      <c r="M389" s="118"/>
      <c r="N389" s="118"/>
      <c r="O389" s="118"/>
      <c r="P389" s="118"/>
      <c r="Q389" s="118"/>
    </row>
    <row r="390" spans="1:17" s="21" customFormat="1" x14ac:dyDescent="0.2">
      <c r="A390" s="18" t="s">
        <v>260</v>
      </c>
      <c r="B390" s="22">
        <v>913</v>
      </c>
      <c r="C390" s="19" t="s">
        <v>43</v>
      </c>
      <c r="D390" s="19" t="s">
        <v>12</v>
      </c>
      <c r="E390" s="19" t="s">
        <v>259</v>
      </c>
      <c r="F390" s="19"/>
      <c r="G390" s="20">
        <f>G392+G391</f>
        <v>17131.400000000001</v>
      </c>
      <c r="H390" s="20">
        <f>H392+H391</f>
        <v>17131.400000000001</v>
      </c>
      <c r="I390" s="20">
        <f>I392+I391</f>
        <v>16888</v>
      </c>
      <c r="J390" s="117"/>
      <c r="K390" s="117"/>
      <c r="L390" s="117"/>
      <c r="M390" s="117"/>
      <c r="N390" s="117"/>
      <c r="O390" s="117"/>
      <c r="P390" s="117"/>
      <c r="Q390" s="117"/>
    </row>
    <row r="391" spans="1:17" s="26" customFormat="1" x14ac:dyDescent="0.2">
      <c r="A391" s="28" t="s">
        <v>69</v>
      </c>
      <c r="B391" s="28">
        <v>913</v>
      </c>
      <c r="C391" s="24" t="s">
        <v>43</v>
      </c>
      <c r="D391" s="24" t="s">
        <v>12</v>
      </c>
      <c r="E391" s="24" t="s">
        <v>259</v>
      </c>
      <c r="F391" s="27" t="s">
        <v>70</v>
      </c>
      <c r="G391" s="25">
        <v>15</v>
      </c>
      <c r="H391" s="25">
        <v>15</v>
      </c>
      <c r="I391" s="25">
        <v>15</v>
      </c>
    </row>
    <row r="392" spans="1:17" s="26" customFormat="1" ht="25.5" x14ac:dyDescent="0.2">
      <c r="A392" s="28" t="s">
        <v>141</v>
      </c>
      <c r="B392" s="31">
        <v>913</v>
      </c>
      <c r="C392" s="24" t="s">
        <v>43</v>
      </c>
      <c r="D392" s="24" t="s">
        <v>12</v>
      </c>
      <c r="E392" s="24" t="s">
        <v>259</v>
      </c>
      <c r="F392" s="24" t="s">
        <v>65</v>
      </c>
      <c r="G392" s="25">
        <f>17199-82.6</f>
        <v>17116.400000000001</v>
      </c>
      <c r="H392" s="25">
        <f>17199-82.6</f>
        <v>17116.400000000001</v>
      </c>
      <c r="I392" s="25">
        <f>16955.6-82.6</f>
        <v>16873</v>
      </c>
      <c r="J392" s="118"/>
      <c r="K392" s="118"/>
      <c r="L392" s="118"/>
      <c r="M392" s="118"/>
      <c r="N392" s="118"/>
      <c r="O392" s="118"/>
      <c r="P392" s="118"/>
      <c r="Q392" s="118"/>
    </row>
    <row r="393" spans="1:17" s="74" customFormat="1" ht="16.5" customHeight="1" x14ac:dyDescent="0.2">
      <c r="A393" s="70" t="s">
        <v>25</v>
      </c>
      <c r="B393" s="71">
        <v>913</v>
      </c>
      <c r="C393" s="72" t="s">
        <v>43</v>
      </c>
      <c r="D393" s="72" t="s">
        <v>18</v>
      </c>
      <c r="E393" s="72"/>
      <c r="F393" s="72"/>
      <c r="G393" s="73">
        <f>G394+G398</f>
        <v>19851.399999999998</v>
      </c>
      <c r="H393" s="73">
        <f>H394+H398</f>
        <v>19851.399999999998</v>
      </c>
      <c r="I393" s="73">
        <f>I394+I398</f>
        <v>19851.399999999998</v>
      </c>
    </row>
    <row r="394" spans="1:17" x14ac:dyDescent="0.2">
      <c r="A394" s="75" t="s">
        <v>349</v>
      </c>
      <c r="B394" s="76">
        <v>913</v>
      </c>
      <c r="C394" s="77" t="s">
        <v>43</v>
      </c>
      <c r="D394" s="77" t="s">
        <v>18</v>
      </c>
      <c r="E394" s="77" t="s">
        <v>261</v>
      </c>
      <c r="F394" s="77"/>
      <c r="G394" s="78">
        <f>G395+G396+G397</f>
        <v>1057.5</v>
      </c>
      <c r="H394" s="78">
        <f>H395+H396+H397</f>
        <v>1057.5</v>
      </c>
      <c r="I394" s="78">
        <f>I395+I396+I397</f>
        <v>1057.5</v>
      </c>
    </row>
    <row r="395" spans="1:17" s="84" customFormat="1" ht="51.75" customHeight="1" x14ac:dyDescent="0.2">
      <c r="A395" s="85" t="s">
        <v>66</v>
      </c>
      <c r="B395" s="86">
        <v>913</v>
      </c>
      <c r="C395" s="82" t="s">
        <v>43</v>
      </c>
      <c r="D395" s="82" t="s">
        <v>18</v>
      </c>
      <c r="E395" s="82" t="s">
        <v>261</v>
      </c>
      <c r="F395" s="83" t="s">
        <v>67</v>
      </c>
      <c r="G395" s="62">
        <v>968.5</v>
      </c>
      <c r="H395" s="62">
        <v>968.5</v>
      </c>
      <c r="I395" s="62">
        <v>968.5</v>
      </c>
    </row>
    <row r="396" spans="1:17" s="84" customFormat="1" ht="25.5" x14ac:dyDescent="0.2">
      <c r="A396" s="87" t="s">
        <v>76</v>
      </c>
      <c r="B396" s="86">
        <v>913</v>
      </c>
      <c r="C396" s="82" t="s">
        <v>43</v>
      </c>
      <c r="D396" s="82" t="s">
        <v>18</v>
      </c>
      <c r="E396" s="82" t="s">
        <v>261</v>
      </c>
      <c r="F396" s="83" t="s">
        <v>68</v>
      </c>
      <c r="G396" s="62">
        <v>80.5</v>
      </c>
      <c r="H396" s="62">
        <v>80.5</v>
      </c>
      <c r="I396" s="62">
        <v>80.5</v>
      </c>
    </row>
    <row r="397" spans="1:17" s="26" customFormat="1" x14ac:dyDescent="0.2">
      <c r="A397" s="28" t="s">
        <v>72</v>
      </c>
      <c r="B397" s="31">
        <v>913</v>
      </c>
      <c r="C397" s="24" t="s">
        <v>43</v>
      </c>
      <c r="D397" s="24" t="s">
        <v>18</v>
      </c>
      <c r="E397" s="24" t="s">
        <v>261</v>
      </c>
      <c r="F397" s="24" t="s">
        <v>73</v>
      </c>
      <c r="G397" s="25">
        <v>8.5</v>
      </c>
      <c r="H397" s="25">
        <v>8.5</v>
      </c>
      <c r="I397" s="25">
        <v>8.5</v>
      </c>
    </row>
    <row r="398" spans="1:17" x14ac:dyDescent="0.2">
      <c r="A398" s="75" t="s">
        <v>349</v>
      </c>
      <c r="B398" s="76">
        <v>913</v>
      </c>
      <c r="C398" s="77" t="s">
        <v>43</v>
      </c>
      <c r="D398" s="77" t="s">
        <v>18</v>
      </c>
      <c r="E398" s="77" t="s">
        <v>426</v>
      </c>
      <c r="F398" s="77"/>
      <c r="G398" s="78">
        <f>G399+G400</f>
        <v>18793.899999999998</v>
      </c>
      <c r="H398" s="78">
        <f t="shared" ref="H398:I398" si="59">H399+H400</f>
        <v>18793.899999999998</v>
      </c>
      <c r="I398" s="78">
        <f t="shared" si="59"/>
        <v>18793.899999999998</v>
      </c>
    </row>
    <row r="399" spans="1:17" s="84" customFormat="1" ht="52.5" customHeight="1" x14ac:dyDescent="0.2">
      <c r="A399" s="85" t="s">
        <v>66</v>
      </c>
      <c r="B399" s="86">
        <v>913</v>
      </c>
      <c r="C399" s="82" t="s">
        <v>43</v>
      </c>
      <c r="D399" s="82" t="s">
        <v>18</v>
      </c>
      <c r="E399" s="82" t="s">
        <v>426</v>
      </c>
      <c r="F399" s="83" t="s">
        <v>67</v>
      </c>
      <c r="G399" s="62">
        <v>18319.599999999999</v>
      </c>
      <c r="H399" s="62">
        <v>18319.599999999999</v>
      </c>
      <c r="I399" s="62">
        <v>18319.599999999999</v>
      </c>
    </row>
    <row r="400" spans="1:17" s="84" customFormat="1" ht="25.5" x14ac:dyDescent="0.2">
      <c r="A400" s="87" t="s">
        <v>76</v>
      </c>
      <c r="B400" s="86">
        <v>913</v>
      </c>
      <c r="C400" s="82" t="s">
        <v>43</v>
      </c>
      <c r="D400" s="82" t="s">
        <v>18</v>
      </c>
      <c r="E400" s="82" t="s">
        <v>426</v>
      </c>
      <c r="F400" s="83" t="s">
        <v>68</v>
      </c>
      <c r="G400" s="62">
        <v>474.3</v>
      </c>
      <c r="H400" s="62">
        <v>474.3</v>
      </c>
      <c r="I400" s="62">
        <v>474.3</v>
      </c>
    </row>
    <row r="401" spans="1:9" s="3" customFormat="1" x14ac:dyDescent="0.2">
      <c r="A401" s="13" t="s">
        <v>52</v>
      </c>
      <c r="B401" s="42">
        <v>913</v>
      </c>
      <c r="C401" s="1" t="s">
        <v>51</v>
      </c>
      <c r="D401" s="1"/>
      <c r="E401" s="1"/>
      <c r="F401" s="1"/>
      <c r="G401" s="2">
        <f>G402</f>
        <v>204</v>
      </c>
      <c r="H401" s="2">
        <f>H402</f>
        <v>204</v>
      </c>
      <c r="I401" s="2">
        <f>I402</f>
        <v>204</v>
      </c>
    </row>
    <row r="402" spans="1:9" s="9" customFormat="1" x14ac:dyDescent="0.2">
      <c r="A402" s="11" t="s">
        <v>55</v>
      </c>
      <c r="B402" s="14">
        <v>913</v>
      </c>
      <c r="C402" s="8" t="s">
        <v>51</v>
      </c>
      <c r="D402" s="8" t="s">
        <v>16</v>
      </c>
      <c r="E402" s="8"/>
      <c r="F402" s="8"/>
      <c r="G402" s="4">
        <f>SUM(G403)</f>
        <v>204</v>
      </c>
      <c r="H402" s="4">
        <f>SUM(H403)</f>
        <v>204</v>
      </c>
      <c r="I402" s="4">
        <f>SUM(I403)</f>
        <v>204</v>
      </c>
    </row>
    <row r="403" spans="1:9" s="21" customFormat="1" ht="25.5" customHeight="1" x14ac:dyDescent="0.2">
      <c r="A403" s="18" t="s">
        <v>359</v>
      </c>
      <c r="B403" s="22">
        <v>913</v>
      </c>
      <c r="C403" s="19">
        <v>10</v>
      </c>
      <c r="D403" s="19" t="s">
        <v>16</v>
      </c>
      <c r="E403" s="19" t="s">
        <v>85</v>
      </c>
      <c r="F403" s="19"/>
      <c r="G403" s="20">
        <f>G404</f>
        <v>204</v>
      </c>
      <c r="H403" s="20">
        <f>H404</f>
        <v>204</v>
      </c>
      <c r="I403" s="20">
        <f>I404</f>
        <v>204</v>
      </c>
    </row>
    <row r="404" spans="1:9" s="26" customFormat="1" x14ac:dyDescent="0.2">
      <c r="A404" s="59" t="s">
        <v>69</v>
      </c>
      <c r="B404" s="31">
        <v>913</v>
      </c>
      <c r="C404" s="24">
        <v>10</v>
      </c>
      <c r="D404" s="24" t="s">
        <v>16</v>
      </c>
      <c r="E404" s="24" t="s">
        <v>85</v>
      </c>
      <c r="F404" s="24" t="s">
        <v>70</v>
      </c>
      <c r="G404" s="25">
        <v>204</v>
      </c>
      <c r="H404" s="25">
        <v>204</v>
      </c>
      <c r="I404" s="25">
        <v>204</v>
      </c>
    </row>
    <row r="405" spans="1:9" s="9" customFormat="1" ht="29.25" customHeight="1" x14ac:dyDescent="0.2">
      <c r="A405" s="40" t="s">
        <v>49</v>
      </c>
      <c r="B405" s="37">
        <v>915</v>
      </c>
      <c r="C405" s="41"/>
      <c r="D405" s="41"/>
      <c r="E405" s="41"/>
      <c r="F405" s="41"/>
      <c r="G405" s="39">
        <f>G413+G406</f>
        <v>703874.3</v>
      </c>
      <c r="H405" s="39">
        <f t="shared" ref="H405:I405" si="60">H413+H406</f>
        <v>673385.1</v>
      </c>
      <c r="I405" s="39">
        <f t="shared" si="60"/>
        <v>677626.89999999991</v>
      </c>
    </row>
    <row r="406" spans="1:9" s="3" customFormat="1" x14ac:dyDescent="0.2">
      <c r="A406" s="13" t="s">
        <v>37</v>
      </c>
      <c r="B406" s="42">
        <v>915</v>
      </c>
      <c r="C406" s="1" t="s">
        <v>19</v>
      </c>
      <c r="D406" s="1"/>
      <c r="E406" s="1"/>
      <c r="F406" s="1"/>
      <c r="G406" s="2">
        <f t="shared" ref="G406:I411" si="61">G407</f>
        <v>225</v>
      </c>
      <c r="H406" s="2">
        <f t="shared" si="61"/>
        <v>225</v>
      </c>
      <c r="I406" s="2">
        <f t="shared" si="61"/>
        <v>225</v>
      </c>
    </row>
    <row r="407" spans="1:9" s="21" customFormat="1" x14ac:dyDescent="0.2">
      <c r="A407" s="11" t="s">
        <v>40</v>
      </c>
      <c r="B407" s="11">
        <v>915</v>
      </c>
      <c r="C407" s="8" t="s">
        <v>19</v>
      </c>
      <c r="D407" s="8" t="s">
        <v>19</v>
      </c>
      <c r="E407" s="8"/>
      <c r="F407" s="8"/>
      <c r="G407" s="4">
        <f>G411+G408</f>
        <v>225</v>
      </c>
      <c r="H407" s="4">
        <f t="shared" ref="H407:I407" si="62">H411+H408</f>
        <v>225</v>
      </c>
      <c r="I407" s="4">
        <f t="shared" si="62"/>
        <v>225</v>
      </c>
    </row>
    <row r="408" spans="1:9" s="21" customFormat="1" ht="25.5" x14ac:dyDescent="0.2">
      <c r="A408" s="18" t="s">
        <v>176</v>
      </c>
      <c r="B408" s="22">
        <v>915</v>
      </c>
      <c r="C408" s="19" t="s">
        <v>19</v>
      </c>
      <c r="D408" s="19" t="s">
        <v>19</v>
      </c>
      <c r="E408" s="19" t="s">
        <v>175</v>
      </c>
      <c r="F408" s="19"/>
      <c r="G408" s="20">
        <f>G410+G409</f>
        <v>32</v>
      </c>
      <c r="H408" s="20">
        <f t="shared" ref="H408:I408" si="63">H410+H409</f>
        <v>32</v>
      </c>
      <c r="I408" s="20">
        <f t="shared" si="63"/>
        <v>32</v>
      </c>
    </row>
    <row r="409" spans="1:9" s="26" customFormat="1" ht="25.5" x14ac:dyDescent="0.2">
      <c r="A409" s="28" t="s">
        <v>76</v>
      </c>
      <c r="B409" s="31">
        <v>915</v>
      </c>
      <c r="C409" s="24" t="s">
        <v>19</v>
      </c>
      <c r="D409" s="24" t="s">
        <v>19</v>
      </c>
      <c r="E409" s="24" t="s">
        <v>175</v>
      </c>
      <c r="F409" s="27" t="s">
        <v>67</v>
      </c>
      <c r="G409" s="25">
        <f>13+3.9</f>
        <v>16.899999999999999</v>
      </c>
      <c r="H409" s="25">
        <f>13+3.9</f>
        <v>16.899999999999999</v>
      </c>
      <c r="I409" s="25">
        <f>13+3.9</f>
        <v>16.899999999999999</v>
      </c>
    </row>
    <row r="410" spans="1:9" s="26" customFormat="1" ht="25.5" x14ac:dyDescent="0.2">
      <c r="A410" s="28" t="s">
        <v>76</v>
      </c>
      <c r="B410" s="31">
        <v>915</v>
      </c>
      <c r="C410" s="24" t="s">
        <v>19</v>
      </c>
      <c r="D410" s="24" t="s">
        <v>19</v>
      </c>
      <c r="E410" s="24" t="s">
        <v>175</v>
      </c>
      <c r="F410" s="27" t="s">
        <v>68</v>
      </c>
      <c r="G410" s="25">
        <v>15.1</v>
      </c>
      <c r="H410" s="25">
        <v>15.1</v>
      </c>
      <c r="I410" s="25">
        <v>15.1</v>
      </c>
    </row>
    <row r="411" spans="1:9" s="21" customFormat="1" ht="25.5" x14ac:dyDescent="0.2">
      <c r="A411" s="18" t="s">
        <v>262</v>
      </c>
      <c r="B411" s="18">
        <v>915</v>
      </c>
      <c r="C411" s="19" t="s">
        <v>19</v>
      </c>
      <c r="D411" s="19" t="s">
        <v>19</v>
      </c>
      <c r="E411" s="19" t="s">
        <v>139</v>
      </c>
      <c r="F411" s="19"/>
      <c r="G411" s="20">
        <f t="shared" si="61"/>
        <v>193</v>
      </c>
      <c r="H411" s="20">
        <f t="shared" si="61"/>
        <v>193</v>
      </c>
      <c r="I411" s="20">
        <f t="shared" si="61"/>
        <v>193</v>
      </c>
    </row>
    <row r="412" spans="1:9" s="21" customFormat="1" ht="51" customHeight="1" x14ac:dyDescent="0.2">
      <c r="A412" s="23" t="s">
        <v>66</v>
      </c>
      <c r="B412" s="23">
        <v>915</v>
      </c>
      <c r="C412" s="24" t="s">
        <v>19</v>
      </c>
      <c r="D412" s="24" t="s">
        <v>19</v>
      </c>
      <c r="E412" s="24" t="s">
        <v>139</v>
      </c>
      <c r="F412" s="27" t="s">
        <v>67</v>
      </c>
      <c r="G412" s="25">
        <v>193</v>
      </c>
      <c r="H412" s="25">
        <v>193</v>
      </c>
      <c r="I412" s="25">
        <v>193</v>
      </c>
    </row>
    <row r="413" spans="1:9" s="99" customFormat="1" x14ac:dyDescent="0.2">
      <c r="A413" s="98" t="s">
        <v>52</v>
      </c>
      <c r="B413" s="64">
        <v>915</v>
      </c>
      <c r="C413" s="65" t="s">
        <v>51</v>
      </c>
      <c r="D413" s="65"/>
      <c r="E413" s="65"/>
      <c r="F413" s="65"/>
      <c r="G413" s="68">
        <f>G414+G418+G430+G491+G508</f>
        <v>703649.3</v>
      </c>
      <c r="H413" s="68">
        <f>H414+H418+H430+H491+H508</f>
        <v>673160.1</v>
      </c>
      <c r="I413" s="68">
        <f>I414+I418+I430+I491+I508</f>
        <v>677401.89999999991</v>
      </c>
    </row>
    <row r="414" spans="1:9" s="74" customFormat="1" x14ac:dyDescent="0.2">
      <c r="A414" s="70" t="s">
        <v>53</v>
      </c>
      <c r="B414" s="71">
        <v>915</v>
      </c>
      <c r="C414" s="72" t="s">
        <v>51</v>
      </c>
      <c r="D414" s="72" t="s">
        <v>12</v>
      </c>
      <c r="E414" s="72"/>
      <c r="F414" s="72"/>
      <c r="G414" s="73">
        <f>G415</f>
        <v>7375.7</v>
      </c>
      <c r="H414" s="73">
        <f>H415</f>
        <v>7375.7</v>
      </c>
      <c r="I414" s="73">
        <f>I415</f>
        <v>7375.7</v>
      </c>
    </row>
    <row r="415" spans="1:9" ht="75" customHeight="1" x14ac:dyDescent="0.2">
      <c r="A415" s="75" t="s">
        <v>263</v>
      </c>
      <c r="B415" s="76">
        <v>915</v>
      </c>
      <c r="C415" s="77" t="s">
        <v>51</v>
      </c>
      <c r="D415" s="77" t="s">
        <v>12</v>
      </c>
      <c r="E415" s="77" t="s">
        <v>264</v>
      </c>
      <c r="F415" s="77"/>
      <c r="G415" s="78">
        <f>G417+G416</f>
        <v>7375.7</v>
      </c>
      <c r="H415" s="78">
        <f>H417+H416</f>
        <v>7375.7</v>
      </c>
      <c r="I415" s="78">
        <f>I417+I416</f>
        <v>7375.7</v>
      </c>
    </row>
    <row r="416" spans="1:9" ht="24.75" customHeight="1" x14ac:dyDescent="0.2">
      <c r="A416" s="87" t="s">
        <v>76</v>
      </c>
      <c r="B416" s="85">
        <v>915</v>
      </c>
      <c r="C416" s="82" t="s">
        <v>51</v>
      </c>
      <c r="D416" s="82" t="s">
        <v>12</v>
      </c>
      <c r="E416" s="82" t="s">
        <v>264</v>
      </c>
      <c r="F416" s="83" t="s">
        <v>68</v>
      </c>
      <c r="G416" s="62">
        <v>36.700000000000003</v>
      </c>
      <c r="H416" s="62">
        <v>36.700000000000003</v>
      </c>
      <c r="I416" s="62">
        <v>36.700000000000003</v>
      </c>
    </row>
    <row r="417" spans="1:17" s="84" customFormat="1" x14ac:dyDescent="0.2">
      <c r="A417" s="87" t="s">
        <v>69</v>
      </c>
      <c r="B417" s="86">
        <v>915</v>
      </c>
      <c r="C417" s="82" t="s">
        <v>51</v>
      </c>
      <c r="D417" s="82" t="s">
        <v>12</v>
      </c>
      <c r="E417" s="82" t="s">
        <v>264</v>
      </c>
      <c r="F417" s="82" t="s">
        <v>70</v>
      </c>
      <c r="G417" s="62">
        <v>7339</v>
      </c>
      <c r="H417" s="62">
        <v>7339</v>
      </c>
      <c r="I417" s="62">
        <v>7339</v>
      </c>
    </row>
    <row r="418" spans="1:17" s="74" customFormat="1" x14ac:dyDescent="0.2">
      <c r="A418" s="70" t="s">
        <v>54</v>
      </c>
      <c r="B418" s="71">
        <v>915</v>
      </c>
      <c r="C418" s="72" t="s">
        <v>51</v>
      </c>
      <c r="D418" s="72" t="s">
        <v>14</v>
      </c>
      <c r="E418" s="72"/>
      <c r="F418" s="72"/>
      <c r="G418" s="73">
        <f>G419+G421+G425+G428</f>
        <v>170188.5</v>
      </c>
      <c r="H418" s="73">
        <f>H419+H421+H425+H428</f>
        <v>170188.5</v>
      </c>
      <c r="I418" s="73">
        <f>I419+I421+I425+I428</f>
        <v>170188.5</v>
      </c>
    </row>
    <row r="419" spans="1:17" ht="51" x14ac:dyDescent="0.2">
      <c r="A419" s="75" t="s">
        <v>265</v>
      </c>
      <c r="B419" s="76">
        <v>915</v>
      </c>
      <c r="C419" s="77" t="s">
        <v>51</v>
      </c>
      <c r="D419" s="77" t="s">
        <v>14</v>
      </c>
      <c r="E419" s="77" t="s">
        <v>97</v>
      </c>
      <c r="F419" s="77"/>
      <c r="G419" s="78">
        <f>G420</f>
        <v>121742.5</v>
      </c>
      <c r="H419" s="78">
        <f>H420</f>
        <v>121742.5</v>
      </c>
      <c r="I419" s="78">
        <f>I420</f>
        <v>121742.5</v>
      </c>
    </row>
    <row r="420" spans="1:17" s="84" customFormat="1" ht="25.5" x14ac:dyDescent="0.2">
      <c r="A420" s="87" t="s">
        <v>141</v>
      </c>
      <c r="B420" s="86">
        <v>915</v>
      </c>
      <c r="C420" s="82" t="s">
        <v>51</v>
      </c>
      <c r="D420" s="82" t="s">
        <v>14</v>
      </c>
      <c r="E420" s="82" t="s">
        <v>98</v>
      </c>
      <c r="F420" s="82" t="s">
        <v>65</v>
      </c>
      <c r="G420" s="62">
        <f>116101.9+5640.6</f>
        <v>121742.5</v>
      </c>
      <c r="H420" s="62">
        <f>116101.9+5640.6</f>
        <v>121742.5</v>
      </c>
      <c r="I420" s="62">
        <f>116101.9+5640.6</f>
        <v>121742.5</v>
      </c>
    </row>
    <row r="421" spans="1:17" ht="62.25" customHeight="1" x14ac:dyDescent="0.2">
      <c r="A421" s="75" t="s">
        <v>266</v>
      </c>
      <c r="B421" s="76">
        <v>915</v>
      </c>
      <c r="C421" s="77" t="s">
        <v>51</v>
      </c>
      <c r="D421" s="77" t="s">
        <v>14</v>
      </c>
      <c r="E421" s="77" t="s">
        <v>100</v>
      </c>
      <c r="F421" s="77"/>
      <c r="G421" s="78">
        <f>G422+G424+G423</f>
        <v>48414</v>
      </c>
      <c r="H421" s="78">
        <f t="shared" ref="H421:Q421" si="64">H422+H424+H423</f>
        <v>48414</v>
      </c>
      <c r="I421" s="78">
        <f t="shared" si="64"/>
        <v>48414</v>
      </c>
      <c r="J421" s="78">
        <f t="shared" si="64"/>
        <v>0</v>
      </c>
      <c r="K421" s="78">
        <f t="shared" si="64"/>
        <v>0</v>
      </c>
      <c r="L421" s="78">
        <f t="shared" si="64"/>
        <v>0</v>
      </c>
      <c r="M421" s="78">
        <f t="shared" si="64"/>
        <v>0</v>
      </c>
      <c r="N421" s="78">
        <f t="shared" si="64"/>
        <v>0</v>
      </c>
      <c r="O421" s="78">
        <f t="shared" si="64"/>
        <v>0</v>
      </c>
      <c r="P421" s="78">
        <f t="shared" si="64"/>
        <v>0</v>
      </c>
      <c r="Q421" s="78">
        <f t="shared" si="64"/>
        <v>0</v>
      </c>
    </row>
    <row r="422" spans="1:17" s="84" customFormat="1" ht="54" customHeight="1" x14ac:dyDescent="0.2">
      <c r="A422" s="85" t="s">
        <v>66</v>
      </c>
      <c r="B422" s="86">
        <v>915</v>
      </c>
      <c r="C422" s="82" t="s">
        <v>51</v>
      </c>
      <c r="D422" s="82" t="s">
        <v>14</v>
      </c>
      <c r="E422" s="82" t="s">
        <v>100</v>
      </c>
      <c r="F422" s="83" t="s">
        <v>67</v>
      </c>
      <c r="G422" s="62">
        <f>40317.8+2015.7</f>
        <v>42333.5</v>
      </c>
      <c r="H422" s="62">
        <f>40317.8+2015.7</f>
        <v>42333.5</v>
      </c>
      <c r="I422" s="62">
        <f>40317.8+2015.7</f>
        <v>42333.5</v>
      </c>
    </row>
    <row r="423" spans="1:17" s="84" customFormat="1" ht="25.5" x14ac:dyDescent="0.2">
      <c r="A423" s="87" t="s">
        <v>76</v>
      </c>
      <c r="B423" s="86">
        <v>915</v>
      </c>
      <c r="C423" s="82" t="s">
        <v>51</v>
      </c>
      <c r="D423" s="82" t="s">
        <v>14</v>
      </c>
      <c r="E423" s="82" t="s">
        <v>100</v>
      </c>
      <c r="F423" s="83" t="s">
        <v>68</v>
      </c>
      <c r="G423" s="62">
        <f>190+5595.5</f>
        <v>5785.5</v>
      </c>
      <c r="H423" s="62">
        <f>190+5595.5</f>
        <v>5785.5</v>
      </c>
      <c r="I423" s="62">
        <f>190+5595.5</f>
        <v>5785.5</v>
      </c>
    </row>
    <row r="424" spans="1:17" s="84" customFormat="1" x14ac:dyDescent="0.2">
      <c r="A424" s="87" t="s">
        <v>72</v>
      </c>
      <c r="B424" s="86">
        <v>915</v>
      </c>
      <c r="C424" s="82" t="s">
        <v>51</v>
      </c>
      <c r="D424" s="82" t="s">
        <v>14</v>
      </c>
      <c r="E424" s="82" t="s">
        <v>100</v>
      </c>
      <c r="F424" s="82" t="s">
        <v>73</v>
      </c>
      <c r="G424" s="62">
        <v>295</v>
      </c>
      <c r="H424" s="62">
        <v>295</v>
      </c>
      <c r="I424" s="62">
        <v>295</v>
      </c>
    </row>
    <row r="425" spans="1:17" s="21" customFormat="1" ht="25.5" x14ac:dyDescent="0.2">
      <c r="A425" s="18" t="s">
        <v>267</v>
      </c>
      <c r="B425" s="22">
        <v>915</v>
      </c>
      <c r="C425" s="19" t="s">
        <v>51</v>
      </c>
      <c r="D425" s="19" t="s">
        <v>14</v>
      </c>
      <c r="E425" s="19" t="s">
        <v>340</v>
      </c>
      <c r="F425" s="19"/>
      <c r="G425" s="20">
        <f>G426+G427</f>
        <v>0</v>
      </c>
      <c r="H425" s="20">
        <f>H426+H427</f>
        <v>0</v>
      </c>
      <c r="I425" s="20">
        <f>I426+I427</f>
        <v>0</v>
      </c>
    </row>
    <row r="426" spans="1:17" s="26" customFormat="1" ht="51.75" customHeight="1" x14ac:dyDescent="0.2">
      <c r="A426" s="30" t="s">
        <v>66</v>
      </c>
      <c r="B426" s="32">
        <v>915</v>
      </c>
      <c r="C426" s="24" t="s">
        <v>51</v>
      </c>
      <c r="D426" s="24" t="s">
        <v>14</v>
      </c>
      <c r="E426" s="24" t="s">
        <v>340</v>
      </c>
      <c r="F426" s="27" t="s">
        <v>67</v>
      </c>
      <c r="G426" s="25"/>
      <c r="H426" s="25"/>
      <c r="I426" s="25"/>
    </row>
    <row r="427" spans="1:17" s="26" customFormat="1" ht="25.5" x14ac:dyDescent="0.2">
      <c r="A427" s="28" t="s">
        <v>76</v>
      </c>
      <c r="B427" s="31">
        <v>915</v>
      </c>
      <c r="C427" s="24" t="s">
        <v>51</v>
      </c>
      <c r="D427" s="24" t="s">
        <v>14</v>
      </c>
      <c r="E427" s="24" t="s">
        <v>340</v>
      </c>
      <c r="F427" s="27" t="s">
        <v>68</v>
      </c>
      <c r="G427" s="25"/>
      <c r="H427" s="25"/>
      <c r="I427" s="25"/>
    </row>
    <row r="428" spans="1:17" s="21" customFormat="1" ht="75" customHeight="1" x14ac:dyDescent="0.2">
      <c r="A428" s="18" t="s">
        <v>273</v>
      </c>
      <c r="B428" s="22">
        <v>915</v>
      </c>
      <c r="C428" s="19" t="s">
        <v>51</v>
      </c>
      <c r="D428" s="19" t="s">
        <v>14</v>
      </c>
      <c r="E428" s="19" t="s">
        <v>118</v>
      </c>
      <c r="F428" s="19"/>
      <c r="G428" s="20">
        <f>G429</f>
        <v>32</v>
      </c>
      <c r="H428" s="20">
        <f>H429</f>
        <v>32</v>
      </c>
      <c r="I428" s="20">
        <f>I429</f>
        <v>32</v>
      </c>
    </row>
    <row r="429" spans="1:17" s="84" customFormat="1" ht="50.25" customHeight="1" x14ac:dyDescent="0.2">
      <c r="A429" s="80" t="s">
        <v>66</v>
      </c>
      <c r="B429" s="86">
        <v>915</v>
      </c>
      <c r="C429" s="82" t="s">
        <v>51</v>
      </c>
      <c r="D429" s="82" t="s">
        <v>14</v>
      </c>
      <c r="E429" s="82" t="s">
        <v>118</v>
      </c>
      <c r="F429" s="82" t="s">
        <v>67</v>
      </c>
      <c r="G429" s="62">
        <v>32</v>
      </c>
      <c r="H429" s="62">
        <v>32</v>
      </c>
      <c r="I429" s="62">
        <v>32</v>
      </c>
    </row>
    <row r="430" spans="1:17" s="74" customFormat="1" x14ac:dyDescent="0.2">
      <c r="A430" s="70" t="s">
        <v>55</v>
      </c>
      <c r="B430" s="71">
        <v>915</v>
      </c>
      <c r="C430" s="72" t="s">
        <v>51</v>
      </c>
      <c r="D430" s="72" t="s">
        <v>16</v>
      </c>
      <c r="E430" s="72"/>
      <c r="F430" s="72"/>
      <c r="G430" s="73">
        <f>G434+G437+G440+G443+G446+G449+G452+G455+G458+G461+G464+G467+G469+G472+G475+G478+G481+G484+G487+G431</f>
        <v>338824.2</v>
      </c>
      <c r="H430" s="73">
        <f t="shared" ref="H430:I430" si="65">H434+H437+H440+H443+H446+H449+H452+H455+H458+H461+H464+H467+H469+H472+H475+H478+H481+H484+H487+H431</f>
        <v>339171.7</v>
      </c>
      <c r="I430" s="73">
        <f t="shared" si="65"/>
        <v>339568.5</v>
      </c>
    </row>
    <row r="431" spans="1:17" s="21" customFormat="1" ht="40.5" customHeight="1" x14ac:dyDescent="0.2">
      <c r="A431" s="18" t="s">
        <v>268</v>
      </c>
      <c r="B431" s="18">
        <v>915</v>
      </c>
      <c r="C431" s="19" t="s">
        <v>51</v>
      </c>
      <c r="D431" s="19" t="s">
        <v>16</v>
      </c>
      <c r="E431" s="19" t="s">
        <v>117</v>
      </c>
      <c r="F431" s="19"/>
      <c r="G431" s="20">
        <f>G433+G432</f>
        <v>494.4</v>
      </c>
      <c r="H431" s="20">
        <f>H433+H432</f>
        <v>548.90000000000009</v>
      </c>
      <c r="I431" s="20">
        <f>I433+I432</f>
        <v>582.69999999999993</v>
      </c>
    </row>
    <row r="432" spans="1:17" s="21" customFormat="1" ht="25.5" x14ac:dyDescent="0.2">
      <c r="A432" s="28" t="s">
        <v>76</v>
      </c>
      <c r="B432" s="23">
        <v>915</v>
      </c>
      <c r="C432" s="24" t="s">
        <v>51</v>
      </c>
      <c r="D432" s="24" t="s">
        <v>16</v>
      </c>
      <c r="E432" s="24" t="s">
        <v>117</v>
      </c>
      <c r="F432" s="27" t="s">
        <v>68</v>
      </c>
      <c r="G432" s="25">
        <v>2.5</v>
      </c>
      <c r="H432" s="25">
        <v>2.7</v>
      </c>
      <c r="I432" s="25">
        <v>2.9</v>
      </c>
    </row>
    <row r="433" spans="1:9" s="21" customFormat="1" x14ac:dyDescent="0.2">
      <c r="A433" s="28" t="s">
        <v>69</v>
      </c>
      <c r="B433" s="28">
        <v>915</v>
      </c>
      <c r="C433" s="24" t="s">
        <v>51</v>
      </c>
      <c r="D433" s="24" t="s">
        <v>16</v>
      </c>
      <c r="E433" s="24" t="s">
        <v>117</v>
      </c>
      <c r="F433" s="24" t="s">
        <v>70</v>
      </c>
      <c r="G433" s="25">
        <f>491.9</f>
        <v>491.9</v>
      </c>
      <c r="H433" s="25">
        <v>546.20000000000005</v>
      </c>
      <c r="I433" s="25">
        <v>579.79999999999995</v>
      </c>
    </row>
    <row r="434" spans="1:9" ht="38.25" x14ac:dyDescent="0.2">
      <c r="A434" s="75" t="s">
        <v>269</v>
      </c>
      <c r="B434" s="76">
        <v>915</v>
      </c>
      <c r="C434" s="77" t="s">
        <v>51</v>
      </c>
      <c r="D434" s="77" t="s">
        <v>16</v>
      </c>
      <c r="E434" s="77" t="s">
        <v>102</v>
      </c>
      <c r="F434" s="77"/>
      <c r="G434" s="78">
        <f>G436+G435</f>
        <v>8791</v>
      </c>
      <c r="H434" s="78">
        <f>H436+H435</f>
        <v>9084</v>
      </c>
      <c r="I434" s="78">
        <f>I436+I435</f>
        <v>9447</v>
      </c>
    </row>
    <row r="435" spans="1:9" s="84" customFormat="1" ht="25.5" x14ac:dyDescent="0.2">
      <c r="A435" s="87" t="s">
        <v>76</v>
      </c>
      <c r="B435" s="85">
        <v>915</v>
      </c>
      <c r="C435" s="82" t="s">
        <v>51</v>
      </c>
      <c r="D435" s="82" t="s">
        <v>16</v>
      </c>
      <c r="E435" s="82" t="s">
        <v>102</v>
      </c>
      <c r="F435" s="83" t="s">
        <v>68</v>
      </c>
      <c r="G435" s="62">
        <f>41.5+2.5</f>
        <v>44</v>
      </c>
      <c r="H435" s="62">
        <v>45.4</v>
      </c>
      <c r="I435" s="62">
        <v>47.2</v>
      </c>
    </row>
    <row r="436" spans="1:9" s="84" customFormat="1" x14ac:dyDescent="0.2">
      <c r="A436" s="87" t="s">
        <v>69</v>
      </c>
      <c r="B436" s="86">
        <v>915</v>
      </c>
      <c r="C436" s="82" t="s">
        <v>51</v>
      </c>
      <c r="D436" s="82" t="s">
        <v>16</v>
      </c>
      <c r="E436" s="82" t="s">
        <v>102</v>
      </c>
      <c r="F436" s="82" t="s">
        <v>70</v>
      </c>
      <c r="G436" s="62">
        <f>8254.5+492.5</f>
        <v>8747</v>
      </c>
      <c r="H436" s="62">
        <v>9038.6</v>
      </c>
      <c r="I436" s="62">
        <v>9399.7999999999993</v>
      </c>
    </row>
    <row r="437" spans="1:9" s="21" customFormat="1" ht="25.5" x14ac:dyDescent="0.2">
      <c r="A437" s="18" t="s">
        <v>270</v>
      </c>
      <c r="B437" s="22">
        <v>915</v>
      </c>
      <c r="C437" s="19" t="s">
        <v>51</v>
      </c>
      <c r="D437" s="19" t="s">
        <v>16</v>
      </c>
      <c r="E437" s="19" t="s">
        <v>104</v>
      </c>
      <c r="F437" s="19"/>
      <c r="G437" s="20">
        <f>G439+G438</f>
        <v>53744</v>
      </c>
      <c r="H437" s="20">
        <f>H439+H438</f>
        <v>53744</v>
      </c>
      <c r="I437" s="20">
        <f>I439+I438</f>
        <v>53744</v>
      </c>
    </row>
    <row r="438" spans="1:9" s="26" customFormat="1" ht="25.5" x14ac:dyDescent="0.2">
      <c r="A438" s="28" t="s">
        <v>76</v>
      </c>
      <c r="B438" s="23">
        <v>915</v>
      </c>
      <c r="C438" s="24" t="s">
        <v>51</v>
      </c>
      <c r="D438" s="24" t="s">
        <v>16</v>
      </c>
      <c r="E438" s="24" t="s">
        <v>104</v>
      </c>
      <c r="F438" s="27" t="s">
        <v>68</v>
      </c>
      <c r="G438" s="25">
        <f>561.5+149.5</f>
        <v>711</v>
      </c>
      <c r="H438" s="25">
        <f>561.5+149.5</f>
        <v>711</v>
      </c>
      <c r="I438" s="25">
        <f>561.5+149.5</f>
        <v>711</v>
      </c>
    </row>
    <row r="439" spans="1:9" s="26" customFormat="1" x14ac:dyDescent="0.2">
      <c r="A439" s="28" t="s">
        <v>69</v>
      </c>
      <c r="B439" s="31">
        <v>915</v>
      </c>
      <c r="C439" s="24" t="s">
        <v>51</v>
      </c>
      <c r="D439" s="24" t="s">
        <v>16</v>
      </c>
      <c r="E439" s="24" t="s">
        <v>104</v>
      </c>
      <c r="F439" s="24" t="s">
        <v>70</v>
      </c>
      <c r="G439" s="25">
        <v>53033</v>
      </c>
      <c r="H439" s="25">
        <v>53033</v>
      </c>
      <c r="I439" s="25">
        <v>53033</v>
      </c>
    </row>
    <row r="440" spans="1:9" s="21" customFormat="1" ht="77.25" customHeight="1" x14ac:dyDescent="0.2">
      <c r="A440" s="18" t="s">
        <v>271</v>
      </c>
      <c r="B440" s="22">
        <v>915</v>
      </c>
      <c r="C440" s="19" t="s">
        <v>51</v>
      </c>
      <c r="D440" s="19" t="s">
        <v>16</v>
      </c>
      <c r="E440" s="19" t="s">
        <v>103</v>
      </c>
      <c r="F440" s="19"/>
      <c r="G440" s="20">
        <f>G441+G442</f>
        <v>6</v>
      </c>
      <c r="H440" s="20">
        <f>H441+H442</f>
        <v>6</v>
      </c>
      <c r="I440" s="20">
        <f>I441+I442</f>
        <v>6</v>
      </c>
    </row>
    <row r="441" spans="1:9" s="84" customFormat="1" ht="25.5" x14ac:dyDescent="0.2">
      <c r="A441" s="87" t="s">
        <v>76</v>
      </c>
      <c r="B441" s="85">
        <v>915</v>
      </c>
      <c r="C441" s="82" t="s">
        <v>51</v>
      </c>
      <c r="D441" s="82" t="s">
        <v>16</v>
      </c>
      <c r="E441" s="82" t="s">
        <v>103</v>
      </c>
      <c r="F441" s="83" t="s">
        <v>68</v>
      </c>
      <c r="G441" s="62">
        <v>0.1</v>
      </c>
      <c r="H441" s="62">
        <v>0.1</v>
      </c>
      <c r="I441" s="62">
        <v>0.1</v>
      </c>
    </row>
    <row r="442" spans="1:9" s="84" customFormat="1" x14ac:dyDescent="0.2">
      <c r="A442" s="87" t="s">
        <v>69</v>
      </c>
      <c r="B442" s="86">
        <v>915</v>
      </c>
      <c r="C442" s="82" t="s">
        <v>51</v>
      </c>
      <c r="D442" s="82" t="s">
        <v>16</v>
      </c>
      <c r="E442" s="82" t="s">
        <v>103</v>
      </c>
      <c r="F442" s="82" t="s">
        <v>70</v>
      </c>
      <c r="G442" s="62">
        <v>5.9</v>
      </c>
      <c r="H442" s="62">
        <v>5.9</v>
      </c>
      <c r="I442" s="62">
        <v>5.9</v>
      </c>
    </row>
    <row r="443" spans="1:9" s="21" customFormat="1" ht="63.75" x14ac:dyDescent="0.2">
      <c r="A443" s="18" t="s">
        <v>180</v>
      </c>
      <c r="B443" s="22">
        <v>915</v>
      </c>
      <c r="C443" s="19" t="s">
        <v>51</v>
      </c>
      <c r="D443" s="19" t="s">
        <v>16</v>
      </c>
      <c r="E443" s="19" t="s">
        <v>92</v>
      </c>
      <c r="F443" s="19"/>
      <c r="G443" s="20">
        <f>G445+G444</f>
        <v>26410</v>
      </c>
      <c r="H443" s="20">
        <f>H445+H444</f>
        <v>26410</v>
      </c>
      <c r="I443" s="20">
        <f>I445+I444</f>
        <v>26410</v>
      </c>
    </row>
    <row r="444" spans="1:9" s="26" customFormat="1" ht="25.5" x14ac:dyDescent="0.2">
      <c r="A444" s="28" t="s">
        <v>76</v>
      </c>
      <c r="B444" s="23">
        <v>915</v>
      </c>
      <c r="C444" s="24" t="s">
        <v>51</v>
      </c>
      <c r="D444" s="24" t="s">
        <v>16</v>
      </c>
      <c r="E444" s="24" t="s">
        <v>92</v>
      </c>
      <c r="F444" s="27" t="s">
        <v>68</v>
      </c>
      <c r="G444" s="25">
        <f>185.1+75.2</f>
        <v>260.3</v>
      </c>
      <c r="H444" s="25">
        <f>185.1+75.2</f>
        <v>260.3</v>
      </c>
      <c r="I444" s="25">
        <f>185.1+75.2</f>
        <v>260.3</v>
      </c>
    </row>
    <row r="445" spans="1:9" s="26" customFormat="1" x14ac:dyDescent="0.2">
      <c r="A445" s="28" t="s">
        <v>69</v>
      </c>
      <c r="B445" s="31">
        <v>915</v>
      </c>
      <c r="C445" s="24" t="s">
        <v>51</v>
      </c>
      <c r="D445" s="24" t="s">
        <v>16</v>
      </c>
      <c r="E445" s="24" t="s">
        <v>92</v>
      </c>
      <c r="F445" s="24" t="s">
        <v>70</v>
      </c>
      <c r="G445" s="25">
        <f>24429.7+1720</f>
        <v>26149.7</v>
      </c>
      <c r="H445" s="25">
        <f>24429.7+1720</f>
        <v>26149.7</v>
      </c>
      <c r="I445" s="25">
        <f>24429.7+1720</f>
        <v>26149.7</v>
      </c>
    </row>
    <row r="446" spans="1:9" s="21" customFormat="1" ht="140.25" x14ac:dyDescent="0.2">
      <c r="A446" s="18" t="s">
        <v>332</v>
      </c>
      <c r="B446" s="22">
        <v>915</v>
      </c>
      <c r="C446" s="19" t="s">
        <v>51</v>
      </c>
      <c r="D446" s="19" t="s">
        <v>16</v>
      </c>
      <c r="E446" s="19" t="s">
        <v>93</v>
      </c>
      <c r="F446" s="19"/>
      <c r="G446" s="20">
        <f>G448+G447</f>
        <v>1523</v>
      </c>
      <c r="H446" s="20">
        <f>H448+H447</f>
        <v>1523</v>
      </c>
      <c r="I446" s="20">
        <f>I448+I447</f>
        <v>1523</v>
      </c>
    </row>
    <row r="447" spans="1:9" s="26" customFormat="1" ht="25.5" x14ac:dyDescent="0.2">
      <c r="A447" s="28" t="s">
        <v>76</v>
      </c>
      <c r="B447" s="31">
        <v>915</v>
      </c>
      <c r="C447" s="24" t="s">
        <v>51</v>
      </c>
      <c r="D447" s="24" t="s">
        <v>16</v>
      </c>
      <c r="E447" s="24" t="s">
        <v>93</v>
      </c>
      <c r="F447" s="27" t="s">
        <v>68</v>
      </c>
      <c r="G447" s="25">
        <f>28+1.6</f>
        <v>29.6</v>
      </c>
      <c r="H447" s="25">
        <f>28+1.6</f>
        <v>29.6</v>
      </c>
      <c r="I447" s="25">
        <f>28+1.6</f>
        <v>29.6</v>
      </c>
    </row>
    <row r="448" spans="1:9" s="84" customFormat="1" x14ac:dyDescent="0.2">
      <c r="A448" s="87" t="s">
        <v>69</v>
      </c>
      <c r="B448" s="86">
        <v>915</v>
      </c>
      <c r="C448" s="82" t="s">
        <v>51</v>
      </c>
      <c r="D448" s="82" t="s">
        <v>16</v>
      </c>
      <c r="E448" s="82" t="s">
        <v>93</v>
      </c>
      <c r="F448" s="82" t="s">
        <v>70</v>
      </c>
      <c r="G448" s="62">
        <f>1463.4+30</f>
        <v>1493.4</v>
      </c>
      <c r="H448" s="62">
        <f>1463.4+30</f>
        <v>1493.4</v>
      </c>
      <c r="I448" s="62">
        <f>1463.4+30</f>
        <v>1493.4</v>
      </c>
    </row>
    <row r="449" spans="1:9" s="21" customFormat="1" ht="76.5" customHeight="1" x14ac:dyDescent="0.2">
      <c r="A449" s="18" t="s">
        <v>181</v>
      </c>
      <c r="B449" s="22">
        <v>915</v>
      </c>
      <c r="C449" s="19" t="s">
        <v>51</v>
      </c>
      <c r="D449" s="19" t="s">
        <v>16</v>
      </c>
      <c r="E449" s="19" t="s">
        <v>94</v>
      </c>
      <c r="F449" s="19"/>
      <c r="G449" s="20">
        <f>G451+G450</f>
        <v>8604</v>
      </c>
      <c r="H449" s="20">
        <f>H451+H450</f>
        <v>8604</v>
      </c>
      <c r="I449" s="20">
        <f>I451+I450</f>
        <v>8604</v>
      </c>
    </row>
    <row r="450" spans="1:9" s="26" customFormat="1" ht="25.5" x14ac:dyDescent="0.2">
      <c r="A450" s="28" t="s">
        <v>76</v>
      </c>
      <c r="B450" s="23">
        <v>915</v>
      </c>
      <c r="C450" s="24" t="s">
        <v>51</v>
      </c>
      <c r="D450" s="24" t="s">
        <v>16</v>
      </c>
      <c r="E450" s="24" t="s">
        <v>94</v>
      </c>
      <c r="F450" s="27" t="s">
        <v>68</v>
      </c>
      <c r="G450" s="25">
        <f>87.5+19.8</f>
        <v>107.3</v>
      </c>
      <c r="H450" s="25">
        <f>87.5+19.8</f>
        <v>107.3</v>
      </c>
      <c r="I450" s="25">
        <f>87.5+19.8</f>
        <v>107.3</v>
      </c>
    </row>
    <row r="451" spans="1:9" s="84" customFormat="1" x14ac:dyDescent="0.2">
      <c r="A451" s="87" t="s">
        <v>69</v>
      </c>
      <c r="B451" s="86">
        <v>915</v>
      </c>
      <c r="C451" s="82" t="s">
        <v>51</v>
      </c>
      <c r="D451" s="82" t="s">
        <v>16</v>
      </c>
      <c r="E451" s="82" t="s">
        <v>94</v>
      </c>
      <c r="F451" s="82" t="s">
        <v>70</v>
      </c>
      <c r="G451" s="62">
        <f>8280.7+216</f>
        <v>8496.7000000000007</v>
      </c>
      <c r="H451" s="62">
        <f>8280.7+216</f>
        <v>8496.7000000000007</v>
      </c>
      <c r="I451" s="62">
        <f>8280.7+216</f>
        <v>8496.7000000000007</v>
      </c>
    </row>
    <row r="452" spans="1:9" s="21" customFormat="1" ht="51" x14ac:dyDescent="0.2">
      <c r="A452" s="18" t="s">
        <v>252</v>
      </c>
      <c r="B452" s="22">
        <v>915</v>
      </c>
      <c r="C452" s="19" t="s">
        <v>51</v>
      </c>
      <c r="D452" s="19" t="s">
        <v>16</v>
      </c>
      <c r="E452" s="19" t="s">
        <v>108</v>
      </c>
      <c r="F452" s="19"/>
      <c r="G452" s="20">
        <f>G454+G453</f>
        <v>12767.199999999999</v>
      </c>
      <c r="H452" s="20">
        <f>H454+H453</f>
        <v>12767.199999999999</v>
      </c>
      <c r="I452" s="20">
        <f>I454+I453</f>
        <v>12767.199999999999</v>
      </c>
    </row>
    <row r="453" spans="1:9" s="26" customFormat="1" ht="25.5" x14ac:dyDescent="0.2">
      <c r="A453" s="28" t="s">
        <v>76</v>
      </c>
      <c r="B453" s="23">
        <v>915</v>
      </c>
      <c r="C453" s="24" t="s">
        <v>51</v>
      </c>
      <c r="D453" s="24" t="s">
        <v>16</v>
      </c>
      <c r="E453" s="24" t="s">
        <v>108</v>
      </c>
      <c r="F453" s="27" t="s">
        <v>68</v>
      </c>
      <c r="G453" s="25">
        <f>1+62.9</f>
        <v>63.9</v>
      </c>
      <c r="H453" s="25">
        <f>1+62.9</f>
        <v>63.9</v>
      </c>
      <c r="I453" s="25">
        <f>1+62.9</f>
        <v>63.9</v>
      </c>
    </row>
    <row r="454" spans="1:9" s="26" customFormat="1" x14ac:dyDescent="0.2">
      <c r="A454" s="28" t="s">
        <v>69</v>
      </c>
      <c r="B454" s="31">
        <v>915</v>
      </c>
      <c r="C454" s="24" t="s">
        <v>51</v>
      </c>
      <c r="D454" s="24" t="s">
        <v>16</v>
      </c>
      <c r="E454" s="24" t="s">
        <v>108</v>
      </c>
      <c r="F454" s="24" t="s">
        <v>70</v>
      </c>
      <c r="G454" s="25">
        <f>50+12653.3</f>
        <v>12703.3</v>
      </c>
      <c r="H454" s="25">
        <f>50+12653.3</f>
        <v>12703.3</v>
      </c>
      <c r="I454" s="25">
        <f>50+12653.3</f>
        <v>12703.3</v>
      </c>
    </row>
    <row r="455" spans="1:9" s="21" customFormat="1" ht="63.75" x14ac:dyDescent="0.2">
      <c r="A455" s="18" t="s">
        <v>182</v>
      </c>
      <c r="B455" s="22">
        <v>915</v>
      </c>
      <c r="C455" s="19" t="s">
        <v>51</v>
      </c>
      <c r="D455" s="19" t="s">
        <v>16</v>
      </c>
      <c r="E455" s="19" t="s">
        <v>95</v>
      </c>
      <c r="F455" s="19"/>
      <c r="G455" s="20">
        <f>G457+G456</f>
        <v>502.59999999999997</v>
      </c>
      <c r="H455" s="20">
        <f>H457+H456</f>
        <v>502.59999999999997</v>
      </c>
      <c r="I455" s="20">
        <f>I457+I456</f>
        <v>502.59999999999997</v>
      </c>
    </row>
    <row r="456" spans="1:9" s="26" customFormat="1" ht="25.5" x14ac:dyDescent="0.2">
      <c r="A456" s="28" t="s">
        <v>76</v>
      </c>
      <c r="B456" s="23">
        <v>915</v>
      </c>
      <c r="C456" s="24" t="s">
        <v>51</v>
      </c>
      <c r="D456" s="24" t="s">
        <v>16</v>
      </c>
      <c r="E456" s="24" t="s">
        <v>95</v>
      </c>
      <c r="F456" s="27" t="s">
        <v>68</v>
      </c>
      <c r="G456" s="25">
        <f>3.1+1.8</f>
        <v>4.9000000000000004</v>
      </c>
      <c r="H456" s="25">
        <f>3.1+1.8</f>
        <v>4.9000000000000004</v>
      </c>
      <c r="I456" s="25">
        <f>3.1+1.8</f>
        <v>4.9000000000000004</v>
      </c>
    </row>
    <row r="457" spans="1:9" s="84" customFormat="1" x14ac:dyDescent="0.2">
      <c r="A457" s="87" t="s">
        <v>69</v>
      </c>
      <c r="B457" s="86">
        <v>915</v>
      </c>
      <c r="C457" s="82" t="s">
        <v>51</v>
      </c>
      <c r="D457" s="82" t="s">
        <v>16</v>
      </c>
      <c r="E457" s="82" t="s">
        <v>95</v>
      </c>
      <c r="F457" s="82" t="s">
        <v>70</v>
      </c>
      <c r="G457" s="62">
        <f>477.7+20</f>
        <v>497.7</v>
      </c>
      <c r="H457" s="62">
        <f>477.7+20</f>
        <v>497.7</v>
      </c>
      <c r="I457" s="62">
        <f>477.7+20</f>
        <v>497.7</v>
      </c>
    </row>
    <row r="458" spans="1:9" s="21" customFormat="1" ht="63.75" x14ac:dyDescent="0.2">
      <c r="A458" s="18" t="s">
        <v>333</v>
      </c>
      <c r="B458" s="49">
        <v>915</v>
      </c>
      <c r="C458" s="19" t="s">
        <v>51</v>
      </c>
      <c r="D458" s="19" t="s">
        <v>16</v>
      </c>
      <c r="E458" s="19" t="s">
        <v>111</v>
      </c>
      <c r="F458" s="19"/>
      <c r="G458" s="20">
        <f>G460+G459</f>
        <v>9.9</v>
      </c>
      <c r="H458" s="20">
        <f>H460+H459</f>
        <v>9.9</v>
      </c>
      <c r="I458" s="20">
        <f>I460+I459</f>
        <v>9.9</v>
      </c>
    </row>
    <row r="459" spans="1:9" s="26" customFormat="1" ht="25.5" x14ac:dyDescent="0.2">
      <c r="A459" s="28" t="s">
        <v>76</v>
      </c>
      <c r="B459" s="23">
        <v>915</v>
      </c>
      <c r="C459" s="24" t="s">
        <v>51</v>
      </c>
      <c r="D459" s="24" t="s">
        <v>16</v>
      </c>
      <c r="E459" s="24" t="s">
        <v>111</v>
      </c>
      <c r="F459" s="27" t="s">
        <v>68</v>
      </c>
      <c r="G459" s="25">
        <v>0.1</v>
      </c>
      <c r="H459" s="25">
        <v>0.1</v>
      </c>
      <c r="I459" s="25">
        <v>0.1</v>
      </c>
    </row>
    <row r="460" spans="1:9" s="26" customFormat="1" x14ac:dyDescent="0.2">
      <c r="A460" s="28" t="s">
        <v>69</v>
      </c>
      <c r="B460" s="31">
        <v>915</v>
      </c>
      <c r="C460" s="24" t="s">
        <v>51</v>
      </c>
      <c r="D460" s="24" t="s">
        <v>16</v>
      </c>
      <c r="E460" s="24" t="s">
        <v>111</v>
      </c>
      <c r="F460" s="24" t="s">
        <v>70</v>
      </c>
      <c r="G460" s="25">
        <v>9.8000000000000007</v>
      </c>
      <c r="H460" s="25">
        <v>9.8000000000000007</v>
      </c>
      <c r="I460" s="25">
        <v>9.8000000000000007</v>
      </c>
    </row>
    <row r="461" spans="1:9" s="21" customFormat="1" ht="51" x14ac:dyDescent="0.2">
      <c r="A461" s="18" t="s">
        <v>183</v>
      </c>
      <c r="B461" s="22">
        <v>915</v>
      </c>
      <c r="C461" s="19" t="s">
        <v>51</v>
      </c>
      <c r="D461" s="19" t="s">
        <v>16</v>
      </c>
      <c r="E461" s="19" t="s">
        <v>96</v>
      </c>
      <c r="F461" s="19"/>
      <c r="G461" s="20">
        <f>G463+G462</f>
        <v>409.9</v>
      </c>
      <c r="H461" s="20">
        <f>H463+H462</f>
        <v>409.9</v>
      </c>
      <c r="I461" s="20">
        <f>I463+I462</f>
        <v>409.9</v>
      </c>
    </row>
    <row r="462" spans="1:9" s="26" customFormat="1" ht="25.5" x14ac:dyDescent="0.2">
      <c r="A462" s="28" t="s">
        <v>76</v>
      </c>
      <c r="B462" s="23">
        <v>915</v>
      </c>
      <c r="C462" s="24" t="s">
        <v>51</v>
      </c>
      <c r="D462" s="24" t="s">
        <v>16</v>
      </c>
      <c r="E462" s="24" t="s">
        <v>96</v>
      </c>
      <c r="F462" s="27" t="s">
        <v>68</v>
      </c>
      <c r="G462" s="25">
        <f>4+1.5</f>
        <v>5.5</v>
      </c>
      <c r="H462" s="25">
        <f>4+1.5</f>
        <v>5.5</v>
      </c>
      <c r="I462" s="25">
        <f>4+1.5</f>
        <v>5.5</v>
      </c>
    </row>
    <row r="463" spans="1:9" s="84" customFormat="1" x14ac:dyDescent="0.2">
      <c r="A463" s="87" t="s">
        <v>69</v>
      </c>
      <c r="B463" s="86">
        <v>915</v>
      </c>
      <c r="C463" s="82" t="s">
        <v>51</v>
      </c>
      <c r="D463" s="82" t="s">
        <v>16</v>
      </c>
      <c r="E463" s="82" t="s">
        <v>96</v>
      </c>
      <c r="F463" s="82" t="s">
        <v>70</v>
      </c>
      <c r="G463" s="62">
        <f>354.4+50</f>
        <v>404.4</v>
      </c>
      <c r="H463" s="62">
        <f>354.4+50</f>
        <v>404.4</v>
      </c>
      <c r="I463" s="62">
        <f>354.4+50</f>
        <v>404.4</v>
      </c>
    </row>
    <row r="464" spans="1:9" s="21" customFormat="1" ht="25.5" x14ac:dyDescent="0.2">
      <c r="A464" s="18" t="s">
        <v>272</v>
      </c>
      <c r="B464" s="22">
        <v>915</v>
      </c>
      <c r="C464" s="19" t="s">
        <v>51</v>
      </c>
      <c r="D464" s="19" t="s">
        <v>16</v>
      </c>
      <c r="E464" s="19" t="s">
        <v>106</v>
      </c>
      <c r="F464" s="19"/>
      <c r="G464" s="20">
        <f>G466+G465</f>
        <v>94204</v>
      </c>
      <c r="H464" s="20">
        <f>H466+H465</f>
        <v>94204</v>
      </c>
      <c r="I464" s="20">
        <f>I466+I465</f>
        <v>94204</v>
      </c>
    </row>
    <row r="465" spans="1:9" s="26" customFormat="1" ht="25.5" x14ac:dyDescent="0.2">
      <c r="A465" s="28" t="s">
        <v>76</v>
      </c>
      <c r="B465" s="23">
        <v>915</v>
      </c>
      <c r="C465" s="24" t="s">
        <v>51</v>
      </c>
      <c r="D465" s="24" t="s">
        <v>16</v>
      </c>
      <c r="E465" s="24" t="s">
        <v>106</v>
      </c>
      <c r="F465" s="27" t="s">
        <v>68</v>
      </c>
      <c r="G465" s="25">
        <f>75+470</f>
        <v>545</v>
      </c>
      <c r="H465" s="25">
        <f>75+470</f>
        <v>545</v>
      </c>
      <c r="I465" s="25">
        <f>75+470</f>
        <v>545</v>
      </c>
    </row>
    <row r="466" spans="1:9" s="84" customFormat="1" x14ac:dyDescent="0.2">
      <c r="A466" s="87" t="s">
        <v>69</v>
      </c>
      <c r="B466" s="86">
        <v>915</v>
      </c>
      <c r="C466" s="82" t="s">
        <v>51</v>
      </c>
      <c r="D466" s="82" t="s">
        <v>16</v>
      </c>
      <c r="E466" s="82" t="s">
        <v>106</v>
      </c>
      <c r="F466" s="82" t="s">
        <v>70</v>
      </c>
      <c r="G466" s="62">
        <v>93659</v>
      </c>
      <c r="H466" s="62">
        <v>93659</v>
      </c>
      <c r="I466" s="62">
        <v>93659</v>
      </c>
    </row>
    <row r="467" spans="1:9" s="21" customFormat="1" ht="127.5" x14ac:dyDescent="0.2">
      <c r="A467" s="18" t="s">
        <v>334</v>
      </c>
      <c r="B467" s="22">
        <v>915</v>
      </c>
      <c r="C467" s="19" t="s">
        <v>51</v>
      </c>
      <c r="D467" s="19" t="s">
        <v>16</v>
      </c>
      <c r="E467" s="19" t="s">
        <v>112</v>
      </c>
      <c r="F467" s="19"/>
      <c r="G467" s="20">
        <f>G468</f>
        <v>1.2</v>
      </c>
      <c r="H467" s="20">
        <f>H468</f>
        <v>1.2</v>
      </c>
      <c r="I467" s="20">
        <f>I468</f>
        <v>1.2</v>
      </c>
    </row>
    <row r="468" spans="1:9" s="26" customFormat="1" x14ac:dyDescent="0.2">
      <c r="A468" s="28" t="s">
        <v>69</v>
      </c>
      <c r="B468" s="31">
        <v>915</v>
      </c>
      <c r="C468" s="24" t="s">
        <v>51</v>
      </c>
      <c r="D468" s="24" t="s">
        <v>16</v>
      </c>
      <c r="E468" s="24" t="s">
        <v>112</v>
      </c>
      <c r="F468" s="24" t="s">
        <v>70</v>
      </c>
      <c r="G468" s="25">
        <v>1.2</v>
      </c>
      <c r="H468" s="25">
        <v>1.2</v>
      </c>
      <c r="I468" s="25">
        <v>1.2</v>
      </c>
    </row>
    <row r="469" spans="1:9" ht="51" customHeight="1" x14ac:dyDescent="0.2">
      <c r="A469" s="75" t="s">
        <v>274</v>
      </c>
      <c r="B469" s="76">
        <v>915</v>
      </c>
      <c r="C469" s="77" t="s">
        <v>51</v>
      </c>
      <c r="D469" s="77" t="s">
        <v>16</v>
      </c>
      <c r="E469" s="77" t="s">
        <v>109</v>
      </c>
      <c r="F469" s="77"/>
      <c r="G469" s="78">
        <f>G471+G470</f>
        <v>9129</v>
      </c>
      <c r="H469" s="78">
        <f>H471+H470</f>
        <v>9129</v>
      </c>
      <c r="I469" s="78">
        <f>I471+I470</f>
        <v>9129</v>
      </c>
    </row>
    <row r="470" spans="1:9" s="84" customFormat="1" ht="25.5" x14ac:dyDescent="0.2">
      <c r="A470" s="87" t="s">
        <v>76</v>
      </c>
      <c r="B470" s="85">
        <v>915</v>
      </c>
      <c r="C470" s="82" t="s">
        <v>51</v>
      </c>
      <c r="D470" s="82" t="s">
        <v>16</v>
      </c>
      <c r="E470" s="82" t="s">
        <v>109</v>
      </c>
      <c r="F470" s="83" t="s">
        <v>68</v>
      </c>
      <c r="G470" s="62">
        <v>3.3</v>
      </c>
      <c r="H470" s="62">
        <v>3.3</v>
      </c>
      <c r="I470" s="62">
        <v>3.3</v>
      </c>
    </row>
    <row r="471" spans="1:9" s="84" customFormat="1" x14ac:dyDescent="0.2">
      <c r="A471" s="87" t="s">
        <v>69</v>
      </c>
      <c r="B471" s="86">
        <v>915</v>
      </c>
      <c r="C471" s="82" t="s">
        <v>51</v>
      </c>
      <c r="D471" s="82" t="s">
        <v>16</v>
      </c>
      <c r="E471" s="82" t="s">
        <v>109</v>
      </c>
      <c r="F471" s="82" t="s">
        <v>70</v>
      </c>
      <c r="G471" s="62">
        <f>7140.7+1985</f>
        <v>9125.7000000000007</v>
      </c>
      <c r="H471" s="62">
        <f>7140.7+1985</f>
        <v>9125.7000000000007</v>
      </c>
      <c r="I471" s="62">
        <f>7140.7+1985</f>
        <v>9125.7000000000007</v>
      </c>
    </row>
    <row r="472" spans="1:9" ht="51" x14ac:dyDescent="0.2">
      <c r="A472" s="75" t="s">
        <v>335</v>
      </c>
      <c r="B472" s="76">
        <v>915</v>
      </c>
      <c r="C472" s="77" t="s">
        <v>51</v>
      </c>
      <c r="D472" s="77" t="s">
        <v>16</v>
      </c>
      <c r="E472" s="77" t="s">
        <v>115</v>
      </c>
      <c r="F472" s="77"/>
      <c r="G472" s="78">
        <f>G474+G473</f>
        <v>19730</v>
      </c>
      <c r="H472" s="78">
        <f>H474+H473</f>
        <v>19730</v>
      </c>
      <c r="I472" s="78">
        <f>I474+I473</f>
        <v>19730</v>
      </c>
    </row>
    <row r="473" spans="1:9" s="26" customFormat="1" ht="25.5" x14ac:dyDescent="0.2">
      <c r="A473" s="28" t="s">
        <v>76</v>
      </c>
      <c r="B473" s="23">
        <v>915</v>
      </c>
      <c r="C473" s="24" t="s">
        <v>51</v>
      </c>
      <c r="D473" s="24" t="s">
        <v>16</v>
      </c>
      <c r="E473" s="24" t="s">
        <v>115</v>
      </c>
      <c r="F473" s="27" t="s">
        <v>68</v>
      </c>
      <c r="G473" s="25">
        <f>245+42</f>
        <v>287</v>
      </c>
      <c r="H473" s="25">
        <f>245+42</f>
        <v>287</v>
      </c>
      <c r="I473" s="25">
        <f>245+42</f>
        <v>287</v>
      </c>
    </row>
    <row r="474" spans="1:9" s="84" customFormat="1" x14ac:dyDescent="0.2">
      <c r="A474" s="87" t="s">
        <v>69</v>
      </c>
      <c r="B474" s="86">
        <v>915</v>
      </c>
      <c r="C474" s="82" t="s">
        <v>51</v>
      </c>
      <c r="D474" s="82" t="s">
        <v>16</v>
      </c>
      <c r="E474" s="82" t="s">
        <v>115</v>
      </c>
      <c r="F474" s="82" t="s">
        <v>70</v>
      </c>
      <c r="G474" s="62">
        <v>19443</v>
      </c>
      <c r="H474" s="62">
        <v>19443</v>
      </c>
      <c r="I474" s="62">
        <v>19443</v>
      </c>
    </row>
    <row r="475" spans="1:9" s="21" customFormat="1" ht="51" x14ac:dyDescent="0.2">
      <c r="A475" s="18" t="s">
        <v>275</v>
      </c>
      <c r="B475" s="22">
        <v>915</v>
      </c>
      <c r="C475" s="19" t="s">
        <v>51</v>
      </c>
      <c r="D475" s="19" t="s">
        <v>16</v>
      </c>
      <c r="E475" s="19" t="s">
        <v>110</v>
      </c>
      <c r="F475" s="19"/>
      <c r="G475" s="20">
        <f>G477+G476</f>
        <v>86</v>
      </c>
      <c r="H475" s="20">
        <f>H477+H476</f>
        <v>86</v>
      </c>
      <c r="I475" s="20">
        <f>I477+I476</f>
        <v>86</v>
      </c>
    </row>
    <row r="476" spans="1:9" s="26" customFormat="1" ht="25.5" x14ac:dyDescent="0.2">
      <c r="A476" s="28" t="s">
        <v>76</v>
      </c>
      <c r="B476" s="23">
        <v>915</v>
      </c>
      <c r="C476" s="24" t="s">
        <v>51</v>
      </c>
      <c r="D476" s="24" t="s">
        <v>16</v>
      </c>
      <c r="E476" s="24" t="s">
        <v>110</v>
      </c>
      <c r="F476" s="27" t="s">
        <v>68</v>
      </c>
      <c r="G476" s="25">
        <v>1.3</v>
      </c>
      <c r="H476" s="25">
        <v>1.3</v>
      </c>
      <c r="I476" s="25">
        <v>1.3</v>
      </c>
    </row>
    <row r="477" spans="1:9" s="26" customFormat="1" x14ac:dyDescent="0.2">
      <c r="A477" s="28" t="s">
        <v>69</v>
      </c>
      <c r="B477" s="31">
        <v>915</v>
      </c>
      <c r="C477" s="24" t="s">
        <v>51</v>
      </c>
      <c r="D477" s="24" t="s">
        <v>16</v>
      </c>
      <c r="E477" s="24" t="s">
        <v>110</v>
      </c>
      <c r="F477" s="24" t="s">
        <v>70</v>
      </c>
      <c r="G477" s="25">
        <v>84.7</v>
      </c>
      <c r="H477" s="25">
        <v>84.7</v>
      </c>
      <c r="I477" s="25">
        <v>84.7</v>
      </c>
    </row>
    <row r="478" spans="1:9" s="21" customFormat="1" ht="76.5" x14ac:dyDescent="0.2">
      <c r="A478" s="18" t="s">
        <v>342</v>
      </c>
      <c r="B478" s="22">
        <v>915</v>
      </c>
      <c r="C478" s="19" t="s">
        <v>51</v>
      </c>
      <c r="D478" s="19" t="s">
        <v>16</v>
      </c>
      <c r="E478" s="19" t="s">
        <v>113</v>
      </c>
      <c r="F478" s="19"/>
      <c r="G478" s="20">
        <f>G480+G479</f>
        <v>1153</v>
      </c>
      <c r="H478" s="20">
        <f>H480+H479</f>
        <v>1153</v>
      </c>
      <c r="I478" s="20">
        <f>I480+I479</f>
        <v>1153</v>
      </c>
    </row>
    <row r="479" spans="1:9" s="26" customFormat="1" ht="25.5" x14ac:dyDescent="0.2">
      <c r="A479" s="28" t="s">
        <v>76</v>
      </c>
      <c r="B479" s="23">
        <v>915</v>
      </c>
      <c r="C479" s="24" t="s">
        <v>51</v>
      </c>
      <c r="D479" s="24" t="s">
        <v>16</v>
      </c>
      <c r="E479" s="24" t="s">
        <v>113</v>
      </c>
      <c r="F479" s="27" t="s">
        <v>68</v>
      </c>
      <c r="G479" s="25">
        <v>6.5</v>
      </c>
      <c r="H479" s="25">
        <v>6.5</v>
      </c>
      <c r="I479" s="25">
        <v>6.5</v>
      </c>
    </row>
    <row r="480" spans="1:9" s="26" customFormat="1" x14ac:dyDescent="0.2">
      <c r="A480" s="28" t="s">
        <v>69</v>
      </c>
      <c r="B480" s="31">
        <v>915</v>
      </c>
      <c r="C480" s="24" t="s">
        <v>51</v>
      </c>
      <c r="D480" s="24" t="s">
        <v>16</v>
      </c>
      <c r="E480" s="24" t="s">
        <v>113</v>
      </c>
      <c r="F480" s="24" t="s">
        <v>70</v>
      </c>
      <c r="G480" s="25">
        <v>1146.5</v>
      </c>
      <c r="H480" s="25">
        <v>1146.5</v>
      </c>
      <c r="I480" s="25">
        <v>1146.5</v>
      </c>
    </row>
    <row r="481" spans="1:17" ht="51" x14ac:dyDescent="0.2">
      <c r="A481" s="75" t="s">
        <v>276</v>
      </c>
      <c r="B481" s="76">
        <v>915</v>
      </c>
      <c r="C481" s="77" t="s">
        <v>51</v>
      </c>
      <c r="D481" s="77" t="s">
        <v>16</v>
      </c>
      <c r="E481" s="77" t="s">
        <v>114</v>
      </c>
      <c r="F481" s="77"/>
      <c r="G481" s="78">
        <f>G483+G482</f>
        <v>392</v>
      </c>
      <c r="H481" s="78">
        <f>H483+H482</f>
        <v>392</v>
      </c>
      <c r="I481" s="78">
        <f>I483+I482</f>
        <v>392</v>
      </c>
    </row>
    <row r="482" spans="1:17" s="84" customFormat="1" ht="25.5" x14ac:dyDescent="0.2">
      <c r="A482" s="87" t="s">
        <v>76</v>
      </c>
      <c r="B482" s="85">
        <v>915</v>
      </c>
      <c r="C482" s="82" t="s">
        <v>51</v>
      </c>
      <c r="D482" s="82" t="s">
        <v>16</v>
      </c>
      <c r="E482" s="82" t="s">
        <v>114</v>
      </c>
      <c r="F482" s="83" t="s">
        <v>68</v>
      </c>
      <c r="G482" s="62">
        <v>7.4</v>
      </c>
      <c r="H482" s="62">
        <v>7.4</v>
      </c>
      <c r="I482" s="62">
        <v>7.4</v>
      </c>
    </row>
    <row r="483" spans="1:17" s="84" customFormat="1" x14ac:dyDescent="0.2">
      <c r="A483" s="87" t="s">
        <v>69</v>
      </c>
      <c r="B483" s="86">
        <v>915</v>
      </c>
      <c r="C483" s="82" t="s">
        <v>51</v>
      </c>
      <c r="D483" s="82" t="s">
        <v>16</v>
      </c>
      <c r="E483" s="82" t="s">
        <v>114</v>
      </c>
      <c r="F483" s="82" t="s">
        <v>70</v>
      </c>
      <c r="G483" s="62">
        <v>384.6</v>
      </c>
      <c r="H483" s="62">
        <v>384.6</v>
      </c>
      <c r="I483" s="62">
        <v>384.6</v>
      </c>
    </row>
    <row r="484" spans="1:17" s="21" customFormat="1" ht="89.25" customHeight="1" x14ac:dyDescent="0.2">
      <c r="A484" s="18" t="s">
        <v>337</v>
      </c>
      <c r="B484" s="22">
        <v>915</v>
      </c>
      <c r="C484" s="19" t="s">
        <v>51</v>
      </c>
      <c r="D484" s="19" t="s">
        <v>16</v>
      </c>
      <c r="E484" s="19" t="s">
        <v>116</v>
      </c>
      <c r="F484" s="19"/>
      <c r="G484" s="20">
        <f>G486+G485</f>
        <v>99211</v>
      </c>
      <c r="H484" s="20">
        <f>H486+H485</f>
        <v>99211</v>
      </c>
      <c r="I484" s="20">
        <f>I486+I485</f>
        <v>99211</v>
      </c>
    </row>
    <row r="485" spans="1:17" s="26" customFormat="1" ht="25.5" x14ac:dyDescent="0.2">
      <c r="A485" s="28" t="s">
        <v>76</v>
      </c>
      <c r="B485" s="23">
        <v>915</v>
      </c>
      <c r="C485" s="24" t="s">
        <v>51</v>
      </c>
      <c r="D485" s="24" t="s">
        <v>16</v>
      </c>
      <c r="E485" s="24" t="s">
        <v>116</v>
      </c>
      <c r="F485" s="27" t="s">
        <v>68</v>
      </c>
      <c r="G485" s="25">
        <f>318+192+110+34+55+30+130+60+1+1</f>
        <v>931</v>
      </c>
      <c r="H485" s="25">
        <f>318+192+110+34+55+30+130+60+1+1</f>
        <v>931</v>
      </c>
      <c r="I485" s="25">
        <f>318+192+110+34+55+30+130+60+1+1</f>
        <v>931</v>
      </c>
    </row>
    <row r="486" spans="1:17" s="84" customFormat="1" x14ac:dyDescent="0.2">
      <c r="A486" s="87" t="s">
        <v>69</v>
      </c>
      <c r="B486" s="86">
        <v>915</v>
      </c>
      <c r="C486" s="82" t="s">
        <v>51</v>
      </c>
      <c r="D486" s="82" t="s">
        <v>16</v>
      </c>
      <c r="E486" s="82" t="s">
        <v>116</v>
      </c>
      <c r="F486" s="82" t="s">
        <v>70</v>
      </c>
      <c r="G486" s="62">
        <f>56640+13930+8400+19100+210</f>
        <v>98280</v>
      </c>
      <c r="H486" s="62">
        <f>56640+13930+8400+19100+210</f>
        <v>98280</v>
      </c>
      <c r="I486" s="62">
        <f>56640+13930+8400+19100+210</f>
        <v>98280</v>
      </c>
    </row>
    <row r="487" spans="1:17" s="21" customFormat="1" ht="76.5" x14ac:dyDescent="0.2">
      <c r="A487" s="18" t="s">
        <v>452</v>
      </c>
      <c r="B487" s="22">
        <v>915</v>
      </c>
      <c r="C487" s="19" t="s">
        <v>51</v>
      </c>
      <c r="D487" s="19" t="s">
        <v>16</v>
      </c>
      <c r="E487" s="19" t="s">
        <v>91</v>
      </c>
      <c r="F487" s="19"/>
      <c r="G487" s="20">
        <f>G489+G488+G490</f>
        <v>1656</v>
      </c>
      <c r="H487" s="20">
        <f t="shared" ref="H487:I487" si="66">H489+H488+H490</f>
        <v>1656</v>
      </c>
      <c r="I487" s="20">
        <f t="shared" si="66"/>
        <v>1656</v>
      </c>
    </row>
    <row r="488" spans="1:17" s="26" customFormat="1" ht="25.5" x14ac:dyDescent="0.2">
      <c r="A488" s="28" t="s">
        <v>76</v>
      </c>
      <c r="B488" s="23">
        <v>915</v>
      </c>
      <c r="C488" s="24" t="s">
        <v>51</v>
      </c>
      <c r="D488" s="24" t="s">
        <v>16</v>
      </c>
      <c r="E488" s="24" t="s">
        <v>91</v>
      </c>
      <c r="F488" s="27" t="s">
        <v>68</v>
      </c>
      <c r="G488" s="25">
        <v>25</v>
      </c>
      <c r="H488" s="25">
        <v>25</v>
      </c>
      <c r="I488" s="25">
        <v>25</v>
      </c>
    </row>
    <row r="489" spans="1:17" s="26" customFormat="1" x14ac:dyDescent="0.2">
      <c r="A489" s="28" t="s">
        <v>69</v>
      </c>
      <c r="B489" s="31">
        <v>915</v>
      </c>
      <c r="C489" s="24" t="s">
        <v>51</v>
      </c>
      <c r="D489" s="24" t="s">
        <v>16</v>
      </c>
      <c r="E489" s="24" t="s">
        <v>91</v>
      </c>
      <c r="F489" s="24" t="s">
        <v>70</v>
      </c>
      <c r="G489" s="25">
        <f>1364.4</f>
        <v>1364.4</v>
      </c>
      <c r="H489" s="25">
        <v>1364.4</v>
      </c>
      <c r="I489" s="25">
        <v>1364.4</v>
      </c>
    </row>
    <row r="490" spans="1:17" s="84" customFormat="1" x14ac:dyDescent="0.2">
      <c r="A490" s="87" t="s">
        <v>72</v>
      </c>
      <c r="B490" s="86">
        <v>915</v>
      </c>
      <c r="C490" s="82" t="s">
        <v>51</v>
      </c>
      <c r="D490" s="82" t="s">
        <v>16</v>
      </c>
      <c r="E490" s="77" t="s">
        <v>91</v>
      </c>
      <c r="F490" s="82" t="s">
        <v>73</v>
      </c>
      <c r="G490" s="62">
        <v>266.60000000000002</v>
      </c>
      <c r="H490" s="62">
        <v>266.60000000000002</v>
      </c>
      <c r="I490" s="62">
        <v>266.60000000000002</v>
      </c>
    </row>
    <row r="491" spans="1:17" s="74" customFormat="1" x14ac:dyDescent="0.2">
      <c r="A491" s="70" t="s">
        <v>56</v>
      </c>
      <c r="B491" s="71">
        <v>915</v>
      </c>
      <c r="C491" s="72" t="s">
        <v>51</v>
      </c>
      <c r="D491" s="72" t="s">
        <v>18</v>
      </c>
      <c r="E491" s="72"/>
      <c r="F491" s="72"/>
      <c r="G491" s="73">
        <f>G492+G505+G500+G503+G498</f>
        <v>156996</v>
      </c>
      <c r="H491" s="73">
        <f t="shared" ref="H491:I491" si="67">H492+H505+H500+H503+H498</f>
        <v>129414</v>
      </c>
      <c r="I491" s="73">
        <f t="shared" si="67"/>
        <v>133259</v>
      </c>
    </row>
    <row r="492" spans="1:17" ht="25.5" x14ac:dyDescent="0.2">
      <c r="A492" s="75" t="s">
        <v>432</v>
      </c>
      <c r="B492" s="76">
        <v>915</v>
      </c>
      <c r="C492" s="77" t="s">
        <v>51</v>
      </c>
      <c r="D492" s="77" t="s">
        <v>18</v>
      </c>
      <c r="E492" s="77" t="s">
        <v>433</v>
      </c>
      <c r="F492" s="77"/>
      <c r="G492" s="78">
        <f>G493+G496</f>
        <v>71060</v>
      </c>
      <c r="H492" s="78">
        <f t="shared" ref="H492:Q492" si="68">H493+H496</f>
        <v>41105</v>
      </c>
      <c r="I492" s="78">
        <f t="shared" si="68"/>
        <v>42698</v>
      </c>
      <c r="J492" s="78">
        <f t="shared" si="68"/>
        <v>0</v>
      </c>
      <c r="K492" s="78">
        <f t="shared" si="68"/>
        <v>0</v>
      </c>
      <c r="L492" s="78">
        <f t="shared" si="68"/>
        <v>0</v>
      </c>
      <c r="M492" s="78">
        <f t="shared" si="68"/>
        <v>0</v>
      </c>
      <c r="N492" s="78">
        <f t="shared" si="68"/>
        <v>0</v>
      </c>
      <c r="O492" s="78">
        <f t="shared" si="68"/>
        <v>0</v>
      </c>
      <c r="P492" s="78">
        <f t="shared" si="68"/>
        <v>0</v>
      </c>
      <c r="Q492" s="78">
        <f t="shared" si="68"/>
        <v>0</v>
      </c>
    </row>
    <row r="493" spans="1:17" ht="25.5" x14ac:dyDescent="0.2">
      <c r="A493" s="75" t="s">
        <v>437</v>
      </c>
      <c r="B493" s="76">
        <v>915</v>
      </c>
      <c r="C493" s="77" t="s">
        <v>51</v>
      </c>
      <c r="D493" s="77" t="s">
        <v>18</v>
      </c>
      <c r="E493" s="77" t="s">
        <v>431</v>
      </c>
      <c r="F493" s="77"/>
      <c r="G493" s="78">
        <f>G495+G494</f>
        <v>30130</v>
      </c>
      <c r="H493" s="78">
        <f t="shared" ref="H493:I493" si="69">H495+H494</f>
        <v>33866</v>
      </c>
      <c r="I493" s="78">
        <f t="shared" si="69"/>
        <v>35170</v>
      </c>
    </row>
    <row r="494" spans="1:17" s="84" customFormat="1" ht="25.5" x14ac:dyDescent="0.2">
      <c r="A494" s="87" t="s">
        <v>76</v>
      </c>
      <c r="B494" s="86">
        <v>915</v>
      </c>
      <c r="C494" s="82" t="s">
        <v>51</v>
      </c>
      <c r="D494" s="82" t="s">
        <v>18</v>
      </c>
      <c r="E494" s="82" t="s">
        <v>431</v>
      </c>
      <c r="F494" s="82" t="s">
        <v>68</v>
      </c>
      <c r="G494" s="62">
        <v>150.69999999999999</v>
      </c>
      <c r="H494" s="62">
        <v>169.3</v>
      </c>
      <c r="I494" s="62">
        <v>175.9</v>
      </c>
    </row>
    <row r="495" spans="1:17" s="84" customFormat="1" x14ac:dyDescent="0.2">
      <c r="A495" s="87" t="s">
        <v>69</v>
      </c>
      <c r="B495" s="86">
        <v>915</v>
      </c>
      <c r="C495" s="82" t="s">
        <v>51</v>
      </c>
      <c r="D495" s="82" t="s">
        <v>18</v>
      </c>
      <c r="E495" s="82" t="s">
        <v>431</v>
      </c>
      <c r="F495" s="82" t="s">
        <v>70</v>
      </c>
      <c r="G495" s="62">
        <v>29979.3</v>
      </c>
      <c r="H495" s="62">
        <v>33696.699999999997</v>
      </c>
      <c r="I495" s="62">
        <v>34994.1</v>
      </c>
    </row>
    <row r="496" spans="1:17" s="21" customFormat="1" ht="51" x14ac:dyDescent="0.2">
      <c r="A496" s="54" t="s">
        <v>434</v>
      </c>
      <c r="B496" s="49">
        <v>915</v>
      </c>
      <c r="C496" s="19" t="s">
        <v>51</v>
      </c>
      <c r="D496" s="19" t="s">
        <v>18</v>
      </c>
      <c r="E496" s="19" t="s">
        <v>430</v>
      </c>
      <c r="F496" s="19"/>
      <c r="G496" s="20">
        <f>G497</f>
        <v>40930</v>
      </c>
      <c r="H496" s="20">
        <f t="shared" ref="H496:I496" si="70">H497</f>
        <v>7239</v>
      </c>
      <c r="I496" s="20">
        <f t="shared" si="70"/>
        <v>7528</v>
      </c>
    </row>
    <row r="497" spans="1:17" s="21" customFormat="1" x14ac:dyDescent="0.2">
      <c r="A497" s="28" t="s">
        <v>69</v>
      </c>
      <c r="B497" s="22">
        <v>915</v>
      </c>
      <c r="C497" s="24" t="s">
        <v>51</v>
      </c>
      <c r="D497" s="24" t="s">
        <v>18</v>
      </c>
      <c r="E497" s="19" t="s">
        <v>430</v>
      </c>
      <c r="F497" s="24" t="s">
        <v>70</v>
      </c>
      <c r="G497" s="25">
        <f>6958+33972</f>
        <v>40930</v>
      </c>
      <c r="H497" s="25">
        <v>7239</v>
      </c>
      <c r="I497" s="25">
        <v>7528</v>
      </c>
    </row>
    <row r="498" spans="1:17" s="21" customFormat="1" ht="89.25" x14ac:dyDescent="0.2">
      <c r="A498" s="18" t="s">
        <v>278</v>
      </c>
      <c r="B498" s="22">
        <v>915</v>
      </c>
      <c r="C498" s="19" t="s">
        <v>51</v>
      </c>
      <c r="D498" s="19" t="s">
        <v>18</v>
      </c>
      <c r="E498" s="19" t="s">
        <v>101</v>
      </c>
      <c r="F498" s="19"/>
      <c r="G498" s="20">
        <f>G499</f>
        <v>299</v>
      </c>
      <c r="H498" s="20">
        <f>H499</f>
        <v>309</v>
      </c>
      <c r="I498" s="20">
        <f>I499</f>
        <v>321</v>
      </c>
    </row>
    <row r="499" spans="1:17" s="26" customFormat="1" x14ac:dyDescent="0.2">
      <c r="A499" s="28" t="s">
        <v>69</v>
      </c>
      <c r="B499" s="31">
        <v>915</v>
      </c>
      <c r="C499" s="24" t="s">
        <v>51</v>
      </c>
      <c r="D499" s="24" t="s">
        <v>18</v>
      </c>
      <c r="E499" s="24" t="s">
        <v>101</v>
      </c>
      <c r="F499" s="24" t="s">
        <v>70</v>
      </c>
      <c r="G499" s="25">
        <f>299</f>
        <v>299</v>
      </c>
      <c r="H499" s="25">
        <v>309</v>
      </c>
      <c r="I499" s="25">
        <v>321</v>
      </c>
    </row>
    <row r="500" spans="1:17" s="21" customFormat="1" ht="102" x14ac:dyDescent="0.2">
      <c r="A500" s="18" t="s">
        <v>279</v>
      </c>
      <c r="B500" s="22">
        <v>915</v>
      </c>
      <c r="C500" s="19" t="s">
        <v>51</v>
      </c>
      <c r="D500" s="19" t="s">
        <v>18</v>
      </c>
      <c r="E500" s="19" t="s">
        <v>105</v>
      </c>
      <c r="F500" s="19"/>
      <c r="G500" s="20">
        <f>G502+G501</f>
        <v>55748</v>
      </c>
      <c r="H500" s="20">
        <f>H502+H501</f>
        <v>58103</v>
      </c>
      <c r="I500" s="20">
        <f>I502+I501</f>
        <v>60334</v>
      </c>
    </row>
    <row r="501" spans="1:17" s="26" customFormat="1" ht="25.5" x14ac:dyDescent="0.2">
      <c r="A501" s="28" t="s">
        <v>76</v>
      </c>
      <c r="B501" s="23">
        <v>915</v>
      </c>
      <c r="C501" s="24" t="s">
        <v>51</v>
      </c>
      <c r="D501" s="24" t="s">
        <v>18</v>
      </c>
      <c r="E501" s="19" t="s">
        <v>105</v>
      </c>
      <c r="F501" s="27" t="s">
        <v>68</v>
      </c>
      <c r="G501" s="25">
        <v>1</v>
      </c>
      <c r="H501" s="25">
        <v>1</v>
      </c>
      <c r="I501" s="25">
        <v>1</v>
      </c>
    </row>
    <row r="502" spans="1:17" s="26" customFormat="1" x14ac:dyDescent="0.2">
      <c r="A502" s="28" t="s">
        <v>69</v>
      </c>
      <c r="B502" s="31">
        <v>915</v>
      </c>
      <c r="C502" s="24" t="s">
        <v>51</v>
      </c>
      <c r="D502" s="24" t="s">
        <v>18</v>
      </c>
      <c r="E502" s="19" t="s">
        <v>105</v>
      </c>
      <c r="F502" s="24" t="s">
        <v>70</v>
      </c>
      <c r="G502" s="25">
        <f>55747</f>
        <v>55747</v>
      </c>
      <c r="H502" s="25">
        <v>58102</v>
      </c>
      <c r="I502" s="25">
        <v>60333</v>
      </c>
    </row>
    <row r="503" spans="1:17" s="21" customFormat="1" ht="38.25" x14ac:dyDescent="0.2">
      <c r="A503" s="54" t="s">
        <v>338</v>
      </c>
      <c r="B503" s="49">
        <v>915</v>
      </c>
      <c r="C503" s="19" t="s">
        <v>51</v>
      </c>
      <c r="D503" s="19" t="s">
        <v>18</v>
      </c>
      <c r="E503" s="19" t="s">
        <v>374</v>
      </c>
      <c r="F503" s="19"/>
      <c r="G503" s="20">
        <f>G504</f>
        <v>205</v>
      </c>
      <c r="H503" s="20">
        <f t="shared" ref="H503:I503" si="71">H504</f>
        <v>213</v>
      </c>
      <c r="I503" s="20">
        <f t="shared" si="71"/>
        <v>222</v>
      </c>
    </row>
    <row r="504" spans="1:17" s="26" customFormat="1" ht="25.5" x14ac:dyDescent="0.2">
      <c r="A504" s="28" t="s">
        <v>76</v>
      </c>
      <c r="B504" s="23">
        <v>915</v>
      </c>
      <c r="C504" s="24" t="s">
        <v>51</v>
      </c>
      <c r="D504" s="24" t="s">
        <v>18</v>
      </c>
      <c r="E504" s="24" t="s">
        <v>374</v>
      </c>
      <c r="F504" s="27" t="s">
        <v>68</v>
      </c>
      <c r="G504" s="25">
        <v>205</v>
      </c>
      <c r="H504" s="25">
        <v>213</v>
      </c>
      <c r="I504" s="25">
        <v>222</v>
      </c>
    </row>
    <row r="505" spans="1:17" s="21" customFormat="1" ht="39" customHeight="1" x14ac:dyDescent="0.2">
      <c r="A505" s="18" t="s">
        <v>336</v>
      </c>
      <c r="B505" s="22">
        <v>915</v>
      </c>
      <c r="C505" s="19" t="s">
        <v>51</v>
      </c>
      <c r="D505" s="19" t="s">
        <v>18</v>
      </c>
      <c r="E505" s="19" t="s">
        <v>107</v>
      </c>
      <c r="F505" s="19"/>
      <c r="G505" s="20">
        <f>G507+G506</f>
        <v>29684</v>
      </c>
      <c r="H505" s="20">
        <f>H507+H506</f>
        <v>29684</v>
      </c>
      <c r="I505" s="20">
        <f>I507+I506</f>
        <v>29684</v>
      </c>
    </row>
    <row r="506" spans="1:17" s="26" customFormat="1" ht="25.5" x14ac:dyDescent="0.2">
      <c r="A506" s="28" t="s">
        <v>76</v>
      </c>
      <c r="B506" s="23">
        <v>915</v>
      </c>
      <c r="C506" s="24" t="s">
        <v>51</v>
      </c>
      <c r="D506" s="24" t="s">
        <v>18</v>
      </c>
      <c r="E506" s="24" t="s">
        <v>107</v>
      </c>
      <c r="F506" s="27" t="s">
        <v>68</v>
      </c>
      <c r="G506" s="25">
        <v>1</v>
      </c>
      <c r="H506" s="25">
        <v>1</v>
      </c>
      <c r="I506" s="25">
        <v>1</v>
      </c>
    </row>
    <row r="507" spans="1:17" s="26" customFormat="1" x14ac:dyDescent="0.2">
      <c r="A507" s="28" t="s">
        <v>69</v>
      </c>
      <c r="B507" s="31">
        <v>915</v>
      </c>
      <c r="C507" s="24" t="s">
        <v>51</v>
      </c>
      <c r="D507" s="24" t="s">
        <v>18</v>
      </c>
      <c r="E507" s="24" t="s">
        <v>107</v>
      </c>
      <c r="F507" s="24" t="s">
        <v>70</v>
      </c>
      <c r="G507" s="25">
        <v>29683</v>
      </c>
      <c r="H507" s="25">
        <v>29683</v>
      </c>
      <c r="I507" s="25">
        <v>29683</v>
      </c>
    </row>
    <row r="508" spans="1:17" s="74" customFormat="1" x14ac:dyDescent="0.2">
      <c r="A508" s="70" t="s">
        <v>57</v>
      </c>
      <c r="B508" s="71">
        <v>915</v>
      </c>
      <c r="C508" s="72" t="s">
        <v>51</v>
      </c>
      <c r="D508" s="72" t="s">
        <v>50</v>
      </c>
      <c r="E508" s="72"/>
      <c r="F508" s="72"/>
      <c r="G508" s="73">
        <f>G509+G512+G518+G516+G525+G514+G522</f>
        <v>30264.899999999998</v>
      </c>
      <c r="H508" s="73">
        <f t="shared" ref="H508:I508" si="72">H509+H512+H518+H516+H525+H514+H522</f>
        <v>27010.199999999997</v>
      </c>
      <c r="I508" s="73">
        <f t="shared" si="72"/>
        <v>27010.199999999997</v>
      </c>
    </row>
    <row r="509" spans="1:17" s="21" customFormat="1" x14ac:dyDescent="0.2">
      <c r="A509" s="18" t="s">
        <v>280</v>
      </c>
      <c r="B509" s="22">
        <v>915</v>
      </c>
      <c r="C509" s="19" t="s">
        <v>51</v>
      </c>
      <c r="D509" s="19" t="s">
        <v>50</v>
      </c>
      <c r="E509" s="19" t="s">
        <v>281</v>
      </c>
      <c r="F509" s="19"/>
      <c r="G509" s="20">
        <f>G510+G511</f>
        <v>1639.7</v>
      </c>
      <c r="H509" s="20">
        <f>H510+H511</f>
        <v>0</v>
      </c>
      <c r="I509" s="20">
        <f>I510+I511</f>
        <v>0</v>
      </c>
      <c r="J509" s="117"/>
      <c r="K509" s="117"/>
      <c r="L509" s="117"/>
      <c r="M509" s="117"/>
      <c r="N509" s="117"/>
      <c r="O509" s="117"/>
      <c r="P509" s="117"/>
      <c r="Q509" s="117"/>
    </row>
    <row r="510" spans="1:17" s="26" customFormat="1" ht="25.5" x14ac:dyDescent="0.2">
      <c r="A510" s="28" t="s">
        <v>76</v>
      </c>
      <c r="B510" s="31">
        <v>915</v>
      </c>
      <c r="C510" s="24" t="s">
        <v>51</v>
      </c>
      <c r="D510" s="24" t="s">
        <v>50</v>
      </c>
      <c r="E510" s="24" t="s">
        <v>281</v>
      </c>
      <c r="F510" s="24" t="s">
        <v>68</v>
      </c>
      <c r="G510" s="25">
        <f>2.5+60+5+681.2+400+5</f>
        <v>1153.7</v>
      </c>
      <c r="H510" s="25"/>
      <c r="I510" s="25"/>
      <c r="J510" s="118"/>
      <c r="K510" s="118"/>
      <c r="L510" s="118"/>
      <c r="M510" s="118"/>
      <c r="N510" s="118"/>
      <c r="O510" s="118"/>
      <c r="P510" s="118"/>
      <c r="Q510" s="118"/>
    </row>
    <row r="511" spans="1:17" x14ac:dyDescent="0.2">
      <c r="A511" s="87" t="s">
        <v>69</v>
      </c>
      <c r="B511" s="85">
        <v>915</v>
      </c>
      <c r="C511" s="82" t="s">
        <v>51</v>
      </c>
      <c r="D511" s="82" t="s">
        <v>50</v>
      </c>
      <c r="E511" s="82" t="s">
        <v>281</v>
      </c>
      <c r="F511" s="83" t="s">
        <v>70</v>
      </c>
      <c r="G511" s="62">
        <f>418+68</f>
        <v>486</v>
      </c>
      <c r="H511" s="62"/>
      <c r="I511" s="62"/>
    </row>
    <row r="512" spans="1:17" s="21" customFormat="1" x14ac:dyDescent="0.2">
      <c r="A512" s="18" t="s">
        <v>282</v>
      </c>
      <c r="B512" s="22">
        <v>915</v>
      </c>
      <c r="C512" s="19" t="s">
        <v>51</v>
      </c>
      <c r="D512" s="19" t="s">
        <v>50</v>
      </c>
      <c r="E512" s="19" t="s">
        <v>283</v>
      </c>
      <c r="F512" s="19"/>
      <c r="G512" s="20">
        <f>G513</f>
        <v>976.2</v>
      </c>
      <c r="H512" s="20">
        <f>H513</f>
        <v>0</v>
      </c>
      <c r="I512" s="20">
        <f>I513</f>
        <v>0</v>
      </c>
      <c r="J512" s="117"/>
      <c r="K512" s="117"/>
      <c r="L512" s="117"/>
      <c r="M512" s="117"/>
      <c r="N512" s="117"/>
      <c r="O512" s="117"/>
      <c r="P512" s="117"/>
      <c r="Q512" s="117"/>
    </row>
    <row r="513" spans="1:17" s="26" customFormat="1" ht="25.5" x14ac:dyDescent="0.2">
      <c r="A513" s="28" t="s">
        <v>141</v>
      </c>
      <c r="B513" s="31">
        <v>915</v>
      </c>
      <c r="C513" s="24" t="s">
        <v>51</v>
      </c>
      <c r="D513" s="24" t="s">
        <v>50</v>
      </c>
      <c r="E513" s="24" t="s">
        <v>283</v>
      </c>
      <c r="F513" s="24" t="s">
        <v>65</v>
      </c>
      <c r="G513" s="25">
        <v>976.2</v>
      </c>
      <c r="H513" s="25"/>
      <c r="I513" s="25"/>
      <c r="J513" s="118"/>
      <c r="K513" s="118"/>
      <c r="L513" s="118"/>
      <c r="M513" s="118"/>
      <c r="N513" s="118"/>
      <c r="O513" s="118"/>
      <c r="P513" s="118"/>
      <c r="Q513" s="118"/>
    </row>
    <row r="514" spans="1:17" x14ac:dyDescent="0.2">
      <c r="A514" s="75" t="s">
        <v>322</v>
      </c>
      <c r="B514" s="76">
        <v>915</v>
      </c>
      <c r="C514" s="77" t="s">
        <v>51</v>
      </c>
      <c r="D514" s="77" t="s">
        <v>50</v>
      </c>
      <c r="E514" s="77" t="s">
        <v>323</v>
      </c>
      <c r="F514" s="77"/>
      <c r="G514" s="78">
        <f>G515</f>
        <v>300</v>
      </c>
      <c r="H514" s="78">
        <f>H515</f>
        <v>0</v>
      </c>
      <c r="I514" s="78">
        <f>I515</f>
        <v>0</v>
      </c>
    </row>
    <row r="515" spans="1:17" s="84" customFormat="1" x14ac:dyDescent="0.2">
      <c r="A515" s="87" t="s">
        <v>72</v>
      </c>
      <c r="B515" s="86">
        <v>915</v>
      </c>
      <c r="C515" s="82" t="s">
        <v>51</v>
      </c>
      <c r="D515" s="82" t="s">
        <v>50</v>
      </c>
      <c r="E515" s="82" t="s">
        <v>323</v>
      </c>
      <c r="F515" s="82" t="s">
        <v>73</v>
      </c>
      <c r="G515" s="62">
        <v>300</v>
      </c>
      <c r="H515" s="62"/>
      <c r="I515" s="62"/>
    </row>
    <row r="516" spans="1:17" ht="25.5" x14ac:dyDescent="0.2">
      <c r="A516" s="75" t="s">
        <v>417</v>
      </c>
      <c r="B516" s="76">
        <v>915</v>
      </c>
      <c r="C516" s="77" t="s">
        <v>51</v>
      </c>
      <c r="D516" s="77" t="s">
        <v>50</v>
      </c>
      <c r="E516" s="77" t="s">
        <v>416</v>
      </c>
      <c r="F516" s="77"/>
      <c r="G516" s="78">
        <f>G517</f>
        <v>17.8</v>
      </c>
      <c r="H516" s="78">
        <f>H517</f>
        <v>0</v>
      </c>
      <c r="I516" s="78">
        <f>I517</f>
        <v>0</v>
      </c>
    </row>
    <row r="517" spans="1:17" s="84" customFormat="1" ht="25.5" x14ac:dyDescent="0.2">
      <c r="A517" s="28" t="s">
        <v>76</v>
      </c>
      <c r="B517" s="86">
        <v>915</v>
      </c>
      <c r="C517" s="82" t="s">
        <v>51</v>
      </c>
      <c r="D517" s="82" t="s">
        <v>50</v>
      </c>
      <c r="E517" s="82" t="s">
        <v>416</v>
      </c>
      <c r="F517" s="82" t="s">
        <v>68</v>
      </c>
      <c r="G517" s="62">
        <v>17.8</v>
      </c>
      <c r="H517" s="62"/>
      <c r="I517" s="62"/>
    </row>
    <row r="518" spans="1:17" ht="38.25" x14ac:dyDescent="0.2">
      <c r="A518" s="75" t="s">
        <v>284</v>
      </c>
      <c r="B518" s="76">
        <v>915</v>
      </c>
      <c r="C518" s="77" t="s">
        <v>51</v>
      </c>
      <c r="D518" s="77" t="s">
        <v>50</v>
      </c>
      <c r="E518" s="77" t="s">
        <v>99</v>
      </c>
      <c r="F518" s="77"/>
      <c r="G518" s="78">
        <f>G519+G520+G521</f>
        <v>27010.199999999997</v>
      </c>
      <c r="H518" s="78">
        <f>H519+H520+H521</f>
        <v>27010.199999999997</v>
      </c>
      <c r="I518" s="78">
        <f>I519+I520+I521</f>
        <v>27010.199999999997</v>
      </c>
    </row>
    <row r="519" spans="1:17" s="26" customFormat="1" ht="51.75" customHeight="1" x14ac:dyDescent="0.2">
      <c r="A519" s="23" t="s">
        <v>66</v>
      </c>
      <c r="B519" s="31">
        <v>915</v>
      </c>
      <c r="C519" s="24" t="s">
        <v>51</v>
      </c>
      <c r="D519" s="24" t="s">
        <v>50</v>
      </c>
      <c r="E519" s="24" t="s">
        <v>99</v>
      </c>
      <c r="F519" s="27" t="s">
        <v>67</v>
      </c>
      <c r="G519" s="25">
        <f>21625.3+4288.9</f>
        <v>25914.199999999997</v>
      </c>
      <c r="H519" s="25">
        <f>21625.3+4288.9</f>
        <v>25914.199999999997</v>
      </c>
      <c r="I519" s="25">
        <f>21625.3+4288.9</f>
        <v>25914.199999999997</v>
      </c>
    </row>
    <row r="520" spans="1:17" s="26" customFormat="1" ht="25.5" x14ac:dyDescent="0.2">
      <c r="A520" s="28" t="s">
        <v>76</v>
      </c>
      <c r="B520" s="31">
        <v>915</v>
      </c>
      <c r="C520" s="24" t="s">
        <v>51</v>
      </c>
      <c r="D520" s="24" t="s">
        <v>50</v>
      </c>
      <c r="E520" s="24" t="s">
        <v>99</v>
      </c>
      <c r="F520" s="27" t="s">
        <v>68</v>
      </c>
      <c r="G520" s="25">
        <v>1088.4000000000001</v>
      </c>
      <c r="H520" s="25">
        <v>1088.4000000000001</v>
      </c>
      <c r="I520" s="25">
        <v>1088.4000000000001</v>
      </c>
      <c r="J520" s="84"/>
      <c r="K520" s="84"/>
      <c r="L520" s="84"/>
      <c r="M520" s="84"/>
      <c r="N520" s="84"/>
      <c r="O520" s="84"/>
      <c r="P520" s="84"/>
      <c r="Q520" s="84"/>
    </row>
    <row r="521" spans="1:17" s="84" customFormat="1" x14ac:dyDescent="0.2">
      <c r="A521" s="87" t="s">
        <v>72</v>
      </c>
      <c r="B521" s="86">
        <v>915</v>
      </c>
      <c r="C521" s="82" t="s">
        <v>51</v>
      </c>
      <c r="D521" s="82" t="s">
        <v>50</v>
      </c>
      <c r="E521" s="82" t="s">
        <v>99</v>
      </c>
      <c r="F521" s="82" t="s">
        <v>73</v>
      </c>
      <c r="G521" s="62">
        <v>7.6</v>
      </c>
      <c r="H521" s="62">
        <v>7.6</v>
      </c>
      <c r="I521" s="62">
        <v>7.6</v>
      </c>
    </row>
    <row r="522" spans="1:17" x14ac:dyDescent="0.2">
      <c r="A522" s="75" t="s">
        <v>177</v>
      </c>
      <c r="B522" s="75">
        <v>915</v>
      </c>
      <c r="C522" s="77" t="s">
        <v>51</v>
      </c>
      <c r="D522" s="77" t="s">
        <v>50</v>
      </c>
      <c r="E522" s="111" t="s">
        <v>178</v>
      </c>
      <c r="F522" s="77"/>
      <c r="G522" s="73">
        <f>G523+G524</f>
        <v>291</v>
      </c>
      <c r="H522" s="73">
        <f>H523+H524</f>
        <v>0</v>
      </c>
      <c r="I522" s="73">
        <f>I523+I524</f>
        <v>0</v>
      </c>
    </row>
    <row r="523" spans="1:17" s="21" customFormat="1" ht="25.5" x14ac:dyDescent="0.2">
      <c r="A523" s="28" t="s">
        <v>76</v>
      </c>
      <c r="B523" s="18">
        <v>915</v>
      </c>
      <c r="C523" s="24" t="s">
        <v>51</v>
      </c>
      <c r="D523" s="24" t="s">
        <v>50</v>
      </c>
      <c r="E523" s="24" t="s">
        <v>178</v>
      </c>
      <c r="F523" s="24" t="s">
        <v>68</v>
      </c>
      <c r="G523" s="20">
        <f>118.5+30-30</f>
        <v>118.5</v>
      </c>
      <c r="H523" s="20"/>
      <c r="I523" s="20"/>
    </row>
    <row r="524" spans="1:17" x14ac:dyDescent="0.2">
      <c r="A524" s="87" t="s">
        <v>69</v>
      </c>
      <c r="B524" s="75">
        <v>915</v>
      </c>
      <c r="C524" s="82" t="s">
        <v>51</v>
      </c>
      <c r="D524" s="82" t="s">
        <v>50</v>
      </c>
      <c r="E524" s="82" t="s">
        <v>178</v>
      </c>
      <c r="F524" s="82" t="s">
        <v>70</v>
      </c>
      <c r="G524" s="78">
        <v>172.5</v>
      </c>
      <c r="H524" s="78"/>
      <c r="I524" s="78"/>
    </row>
    <row r="525" spans="1:17" x14ac:dyDescent="0.2">
      <c r="A525" s="75" t="s">
        <v>429</v>
      </c>
      <c r="B525" s="75">
        <v>915</v>
      </c>
      <c r="C525" s="77" t="s">
        <v>51</v>
      </c>
      <c r="D525" s="77" t="s">
        <v>50</v>
      </c>
      <c r="E525" s="111" t="s">
        <v>428</v>
      </c>
      <c r="F525" s="77"/>
      <c r="G525" s="73">
        <f>G526</f>
        <v>30</v>
      </c>
      <c r="H525" s="73">
        <f t="shared" ref="H525:I525" si="73">H526</f>
        <v>0</v>
      </c>
      <c r="I525" s="73">
        <f t="shared" si="73"/>
        <v>0</v>
      </c>
    </row>
    <row r="526" spans="1:17" s="21" customFormat="1" ht="25.5" x14ac:dyDescent="0.2">
      <c r="A526" s="28" t="s">
        <v>76</v>
      </c>
      <c r="B526" s="18">
        <v>915</v>
      </c>
      <c r="C526" s="24" t="s">
        <v>51</v>
      </c>
      <c r="D526" s="24" t="s">
        <v>50</v>
      </c>
      <c r="E526" s="24" t="s">
        <v>428</v>
      </c>
      <c r="F526" s="24" t="s">
        <v>68</v>
      </c>
      <c r="G526" s="20">
        <v>30</v>
      </c>
      <c r="H526" s="20"/>
      <c r="I526" s="20"/>
    </row>
    <row r="527" spans="1:17" s="9" customFormat="1" ht="30.75" customHeight="1" x14ac:dyDescent="0.2">
      <c r="A527" s="40" t="s">
        <v>48</v>
      </c>
      <c r="B527" s="37">
        <v>919</v>
      </c>
      <c r="C527" s="41"/>
      <c r="D527" s="41"/>
      <c r="E527" s="41"/>
      <c r="F527" s="41"/>
      <c r="G527" s="39">
        <f>G536+G551+G612+G532+G528</f>
        <v>379357.33999999997</v>
      </c>
      <c r="H527" s="39">
        <f>H536+H551+H612+H532+H528</f>
        <v>52797.46</v>
      </c>
      <c r="I527" s="39">
        <f>I536+I551+I612+I532+I528</f>
        <v>49630.6</v>
      </c>
    </row>
    <row r="528" spans="1:17" s="69" customFormat="1" x14ac:dyDescent="0.2">
      <c r="A528" s="63" t="s">
        <v>60</v>
      </c>
      <c r="B528" s="64">
        <v>919</v>
      </c>
      <c r="C528" s="65" t="s">
        <v>12</v>
      </c>
      <c r="D528" s="66"/>
      <c r="E528" s="66"/>
      <c r="F528" s="67"/>
      <c r="G528" s="68">
        <f>G529</f>
        <v>0</v>
      </c>
      <c r="H528" s="68">
        <f t="shared" ref="H528:I530" si="74">H529</f>
        <v>0</v>
      </c>
      <c r="I528" s="68">
        <f t="shared" si="74"/>
        <v>0</v>
      </c>
    </row>
    <row r="529" spans="1:9" s="74" customFormat="1" x14ac:dyDescent="0.2">
      <c r="A529" s="70" t="s">
        <v>24</v>
      </c>
      <c r="B529" s="71">
        <v>919</v>
      </c>
      <c r="C529" s="72" t="s">
        <v>12</v>
      </c>
      <c r="D529" s="72" t="s">
        <v>61</v>
      </c>
      <c r="E529" s="72"/>
      <c r="F529" s="72"/>
      <c r="G529" s="73">
        <f>G530</f>
        <v>0</v>
      </c>
      <c r="H529" s="73">
        <f t="shared" si="74"/>
        <v>0</v>
      </c>
      <c r="I529" s="73">
        <f t="shared" si="74"/>
        <v>0</v>
      </c>
    </row>
    <row r="530" spans="1:9" x14ac:dyDescent="0.2">
      <c r="A530" s="75" t="s">
        <v>203</v>
      </c>
      <c r="B530" s="76">
        <v>919</v>
      </c>
      <c r="C530" s="77" t="s">
        <v>12</v>
      </c>
      <c r="D530" s="77" t="s">
        <v>61</v>
      </c>
      <c r="E530" s="90" t="s">
        <v>204</v>
      </c>
      <c r="F530" s="90"/>
      <c r="G530" s="91">
        <f>G531</f>
        <v>0</v>
      </c>
      <c r="H530" s="91">
        <f t="shared" si="74"/>
        <v>0</v>
      </c>
      <c r="I530" s="91">
        <f t="shared" si="74"/>
        <v>0</v>
      </c>
    </row>
    <row r="531" spans="1:9" s="26" customFormat="1" x14ac:dyDescent="0.2">
      <c r="A531" s="28" t="s">
        <v>72</v>
      </c>
      <c r="B531" s="32">
        <v>919</v>
      </c>
      <c r="C531" s="24" t="s">
        <v>12</v>
      </c>
      <c r="D531" s="24" t="s">
        <v>61</v>
      </c>
      <c r="E531" s="24" t="s">
        <v>204</v>
      </c>
      <c r="F531" s="27" t="s">
        <v>73</v>
      </c>
      <c r="G531" s="25"/>
      <c r="H531" s="25"/>
      <c r="I531" s="25"/>
    </row>
    <row r="532" spans="1:9" s="3" customFormat="1" ht="25.5" x14ac:dyDescent="0.2">
      <c r="A532" s="13" t="s">
        <v>5</v>
      </c>
      <c r="B532" s="42">
        <v>919</v>
      </c>
      <c r="C532" s="1" t="s">
        <v>16</v>
      </c>
      <c r="D532" s="1"/>
      <c r="E532" s="1"/>
      <c r="F532" s="1"/>
      <c r="G532" s="2">
        <f t="shared" ref="G532:I534" si="75">G533</f>
        <v>3774.6</v>
      </c>
      <c r="H532" s="2">
        <f t="shared" si="75"/>
        <v>3774.6</v>
      </c>
      <c r="I532" s="2">
        <f t="shared" si="75"/>
        <v>3761.9</v>
      </c>
    </row>
    <row r="533" spans="1:9" s="9" customFormat="1" ht="38.25" x14ac:dyDescent="0.2">
      <c r="A533" s="11" t="s">
        <v>81</v>
      </c>
      <c r="B533" s="14">
        <v>919</v>
      </c>
      <c r="C533" s="8" t="s">
        <v>16</v>
      </c>
      <c r="D533" s="8" t="s">
        <v>26</v>
      </c>
      <c r="E533" s="8"/>
      <c r="F533" s="8"/>
      <c r="G533" s="4">
        <f t="shared" si="75"/>
        <v>3774.6</v>
      </c>
      <c r="H533" s="4">
        <f t="shared" si="75"/>
        <v>3774.6</v>
      </c>
      <c r="I533" s="4">
        <f t="shared" si="75"/>
        <v>3761.9</v>
      </c>
    </row>
    <row r="534" spans="1:9" s="26" customFormat="1" x14ac:dyDescent="0.2">
      <c r="A534" s="51" t="s">
        <v>160</v>
      </c>
      <c r="B534" s="51">
        <v>919</v>
      </c>
      <c r="C534" s="19" t="s">
        <v>16</v>
      </c>
      <c r="D534" s="19" t="s">
        <v>26</v>
      </c>
      <c r="E534" s="19" t="s">
        <v>161</v>
      </c>
      <c r="F534" s="19"/>
      <c r="G534" s="20">
        <f t="shared" si="75"/>
        <v>3774.6</v>
      </c>
      <c r="H534" s="20">
        <f t="shared" si="75"/>
        <v>3774.6</v>
      </c>
      <c r="I534" s="20">
        <f t="shared" si="75"/>
        <v>3761.9</v>
      </c>
    </row>
    <row r="535" spans="1:9" s="26" customFormat="1" ht="25.5" x14ac:dyDescent="0.2">
      <c r="A535" s="28" t="s">
        <v>141</v>
      </c>
      <c r="B535" s="23">
        <v>919</v>
      </c>
      <c r="C535" s="24" t="s">
        <v>16</v>
      </c>
      <c r="D535" s="24" t="s">
        <v>26</v>
      </c>
      <c r="E535" s="24" t="s">
        <v>161</v>
      </c>
      <c r="F535" s="27" t="s">
        <v>65</v>
      </c>
      <c r="G535" s="25">
        <v>3774.6</v>
      </c>
      <c r="H535" s="25">
        <v>3774.6</v>
      </c>
      <c r="I535" s="25">
        <v>3761.9</v>
      </c>
    </row>
    <row r="536" spans="1:9" s="3" customFormat="1" x14ac:dyDescent="0.2">
      <c r="A536" s="13" t="s">
        <v>27</v>
      </c>
      <c r="B536" s="42">
        <v>919</v>
      </c>
      <c r="C536" s="1" t="s">
        <v>18</v>
      </c>
      <c r="D536" s="1"/>
      <c r="E536" s="1"/>
      <c r="F536" s="1"/>
      <c r="G536" s="2">
        <f>G537+G540</f>
        <v>202213.7</v>
      </c>
      <c r="H536" s="2">
        <f>H537+H540</f>
        <v>17273</v>
      </c>
      <c r="I536" s="2">
        <f>I537+I540</f>
        <v>17964</v>
      </c>
    </row>
    <row r="537" spans="1:9" s="9" customFormat="1" x14ac:dyDescent="0.2">
      <c r="A537" s="11" t="s">
        <v>28</v>
      </c>
      <c r="B537" s="14">
        <v>919</v>
      </c>
      <c r="C537" s="8" t="s">
        <v>18</v>
      </c>
      <c r="D537" s="8" t="s">
        <v>14</v>
      </c>
      <c r="E537" s="8"/>
      <c r="F537" s="8"/>
      <c r="G537" s="4">
        <f t="shared" ref="G537:I538" si="76">G538</f>
        <v>35925.800000000003</v>
      </c>
      <c r="H537" s="4">
        <f t="shared" si="76"/>
        <v>0</v>
      </c>
      <c r="I537" s="4">
        <f t="shared" si="76"/>
        <v>0</v>
      </c>
    </row>
    <row r="538" spans="1:9" s="21" customFormat="1" ht="51" x14ac:dyDescent="0.2">
      <c r="A538" s="18" t="s">
        <v>427</v>
      </c>
      <c r="B538" s="22">
        <v>919</v>
      </c>
      <c r="C538" s="19" t="s">
        <v>18</v>
      </c>
      <c r="D538" s="19" t="s">
        <v>14</v>
      </c>
      <c r="E538" s="19" t="s">
        <v>289</v>
      </c>
      <c r="F538" s="19"/>
      <c r="G538" s="20">
        <f t="shared" si="76"/>
        <v>35925.800000000003</v>
      </c>
      <c r="H538" s="20">
        <f t="shared" si="76"/>
        <v>0</v>
      </c>
      <c r="I538" s="20">
        <f t="shared" si="76"/>
        <v>0</v>
      </c>
    </row>
    <row r="539" spans="1:9" s="84" customFormat="1" x14ac:dyDescent="0.2">
      <c r="A539" s="87" t="s">
        <v>72</v>
      </c>
      <c r="B539" s="86">
        <v>919</v>
      </c>
      <c r="C539" s="82" t="s">
        <v>18</v>
      </c>
      <c r="D539" s="82" t="s">
        <v>14</v>
      </c>
      <c r="E539" s="82" t="s">
        <v>289</v>
      </c>
      <c r="F539" s="82" t="s">
        <v>73</v>
      </c>
      <c r="G539" s="62">
        <v>35925.800000000003</v>
      </c>
      <c r="H539" s="62"/>
      <c r="I539" s="62"/>
    </row>
    <row r="540" spans="1:9" s="74" customFormat="1" x14ac:dyDescent="0.2">
      <c r="A540" s="70" t="s">
        <v>79</v>
      </c>
      <c r="B540" s="71">
        <v>919</v>
      </c>
      <c r="C540" s="72" t="s">
        <v>18</v>
      </c>
      <c r="D540" s="72" t="s">
        <v>26</v>
      </c>
      <c r="E540" s="72"/>
      <c r="F540" s="72"/>
      <c r="G540" s="73">
        <f>G549+G545+G547+G543+G541</f>
        <v>166287.9</v>
      </c>
      <c r="H540" s="73">
        <f t="shared" ref="H540:I540" si="77">H549+H545+H547+H543</f>
        <v>17273</v>
      </c>
      <c r="I540" s="73">
        <f t="shared" si="77"/>
        <v>17964</v>
      </c>
    </row>
    <row r="541" spans="1:9" s="21" customFormat="1" ht="69" customHeight="1" x14ac:dyDescent="0.2">
      <c r="A541" s="18" t="s">
        <v>383</v>
      </c>
      <c r="B541" s="22">
        <v>919</v>
      </c>
      <c r="C541" s="19" t="s">
        <v>18</v>
      </c>
      <c r="D541" s="19" t="s">
        <v>26</v>
      </c>
      <c r="E541" s="19" t="s">
        <v>384</v>
      </c>
      <c r="F541" s="19"/>
      <c r="G541" s="20">
        <f>G542</f>
        <v>70000</v>
      </c>
      <c r="H541" s="20">
        <f>H542</f>
        <v>0</v>
      </c>
      <c r="I541" s="20">
        <f>I542</f>
        <v>0</v>
      </c>
    </row>
    <row r="542" spans="1:9" s="26" customFormat="1" ht="25.5" x14ac:dyDescent="0.2">
      <c r="A542" s="28" t="s">
        <v>141</v>
      </c>
      <c r="B542" s="31">
        <v>919</v>
      </c>
      <c r="C542" s="24" t="s">
        <v>18</v>
      </c>
      <c r="D542" s="24" t="s">
        <v>26</v>
      </c>
      <c r="E542" s="24" t="s">
        <v>384</v>
      </c>
      <c r="F542" s="24" t="s">
        <v>65</v>
      </c>
      <c r="G542" s="25">
        <v>70000</v>
      </c>
      <c r="H542" s="25"/>
      <c r="I542" s="25"/>
    </row>
    <row r="543" spans="1:9" s="21" customFormat="1" ht="69" customHeight="1" x14ac:dyDescent="0.2">
      <c r="A543" s="18" t="s">
        <v>383</v>
      </c>
      <c r="B543" s="22">
        <v>919</v>
      </c>
      <c r="C543" s="19" t="s">
        <v>18</v>
      </c>
      <c r="D543" s="19" t="s">
        <v>26</v>
      </c>
      <c r="E543" s="19" t="s">
        <v>387</v>
      </c>
      <c r="F543" s="19"/>
      <c r="G543" s="20">
        <f>G544</f>
        <v>3500</v>
      </c>
      <c r="H543" s="20">
        <f>H544</f>
        <v>0</v>
      </c>
      <c r="I543" s="20">
        <f>I544</f>
        <v>0</v>
      </c>
    </row>
    <row r="544" spans="1:9" s="26" customFormat="1" ht="25.5" x14ac:dyDescent="0.2">
      <c r="A544" s="28" t="s">
        <v>141</v>
      </c>
      <c r="B544" s="31">
        <v>919</v>
      </c>
      <c r="C544" s="24" t="s">
        <v>18</v>
      </c>
      <c r="D544" s="24" t="s">
        <v>26</v>
      </c>
      <c r="E544" s="24" t="s">
        <v>387</v>
      </c>
      <c r="F544" s="24" t="s">
        <v>65</v>
      </c>
      <c r="G544" s="25">
        <v>3500</v>
      </c>
      <c r="H544" s="25"/>
      <c r="I544" s="25"/>
    </row>
    <row r="545" spans="1:9" ht="25.5" x14ac:dyDescent="0.2">
      <c r="A545" s="75" t="s">
        <v>291</v>
      </c>
      <c r="B545" s="76">
        <v>919</v>
      </c>
      <c r="C545" s="77" t="s">
        <v>18</v>
      </c>
      <c r="D545" s="77" t="s">
        <v>26</v>
      </c>
      <c r="E545" s="77" t="s">
        <v>290</v>
      </c>
      <c r="F545" s="77"/>
      <c r="G545" s="78">
        <f>G546</f>
        <v>78500.899999999994</v>
      </c>
      <c r="H545" s="78">
        <f>H546</f>
        <v>17273</v>
      </c>
      <c r="I545" s="78">
        <f>I546</f>
        <v>17964</v>
      </c>
    </row>
    <row r="546" spans="1:9" s="84" customFormat="1" ht="25.5" x14ac:dyDescent="0.2">
      <c r="A546" s="87" t="s">
        <v>141</v>
      </c>
      <c r="B546" s="86">
        <v>919</v>
      </c>
      <c r="C546" s="82" t="s">
        <v>18</v>
      </c>
      <c r="D546" s="82" t="s">
        <v>26</v>
      </c>
      <c r="E546" s="82" t="s">
        <v>290</v>
      </c>
      <c r="F546" s="82" t="s">
        <v>65</v>
      </c>
      <c r="G546" s="62">
        <f>82000.9-3500</f>
        <v>78500.899999999994</v>
      </c>
      <c r="H546" s="62">
        <v>17273</v>
      </c>
      <c r="I546" s="62">
        <v>17964</v>
      </c>
    </row>
    <row r="547" spans="1:9" ht="25.5" x14ac:dyDescent="0.2">
      <c r="A547" s="75" t="s">
        <v>293</v>
      </c>
      <c r="B547" s="75">
        <v>919</v>
      </c>
      <c r="C547" s="77" t="s">
        <v>18</v>
      </c>
      <c r="D547" s="77" t="s">
        <v>26</v>
      </c>
      <c r="E547" s="77" t="s">
        <v>292</v>
      </c>
      <c r="F547" s="77"/>
      <c r="G547" s="78">
        <f>G548</f>
        <v>14287</v>
      </c>
      <c r="H547" s="78">
        <f>H548</f>
        <v>0</v>
      </c>
      <c r="I547" s="78">
        <f>I548</f>
        <v>0</v>
      </c>
    </row>
    <row r="548" spans="1:9" ht="25.5" x14ac:dyDescent="0.2">
      <c r="A548" s="87" t="s">
        <v>141</v>
      </c>
      <c r="B548" s="87">
        <v>919</v>
      </c>
      <c r="C548" s="82" t="s">
        <v>18</v>
      </c>
      <c r="D548" s="82" t="s">
        <v>26</v>
      </c>
      <c r="E548" s="82" t="s">
        <v>292</v>
      </c>
      <c r="F548" s="82" t="s">
        <v>65</v>
      </c>
      <c r="G548" s="62">
        <v>14287</v>
      </c>
      <c r="H548" s="62"/>
      <c r="I548" s="62"/>
    </row>
    <row r="549" spans="1:9" ht="25.5" x14ac:dyDescent="0.2">
      <c r="A549" s="75" t="s">
        <v>295</v>
      </c>
      <c r="B549" s="76">
        <v>919</v>
      </c>
      <c r="C549" s="77" t="s">
        <v>18</v>
      </c>
      <c r="D549" s="77" t="s">
        <v>26</v>
      </c>
      <c r="E549" s="77" t="s">
        <v>294</v>
      </c>
      <c r="F549" s="77"/>
      <c r="G549" s="78">
        <f>G550</f>
        <v>0</v>
      </c>
      <c r="H549" s="78">
        <f>H550</f>
        <v>0</v>
      </c>
      <c r="I549" s="78">
        <f>I550</f>
        <v>0</v>
      </c>
    </row>
    <row r="550" spans="1:9" s="84" customFormat="1" ht="25.5" x14ac:dyDescent="0.2">
      <c r="A550" s="87" t="s">
        <v>141</v>
      </c>
      <c r="B550" s="86">
        <v>919</v>
      </c>
      <c r="C550" s="82" t="s">
        <v>18</v>
      </c>
      <c r="D550" s="82" t="s">
        <v>26</v>
      </c>
      <c r="E550" s="82" t="s">
        <v>294</v>
      </c>
      <c r="F550" s="82" t="s">
        <v>65</v>
      </c>
      <c r="G550" s="62"/>
      <c r="H550" s="62"/>
      <c r="I550" s="62"/>
    </row>
    <row r="551" spans="1:9" s="99" customFormat="1" x14ac:dyDescent="0.2">
      <c r="A551" s="98" t="s">
        <v>30</v>
      </c>
      <c r="B551" s="64">
        <v>919</v>
      </c>
      <c r="C551" s="65" t="s">
        <v>31</v>
      </c>
      <c r="D551" s="65"/>
      <c r="E551" s="65"/>
      <c r="F551" s="65"/>
      <c r="G551" s="68">
        <f>G552+G555+G583+G604</f>
        <v>170918.13999999998</v>
      </c>
      <c r="H551" s="68">
        <f>H552+H555+H583+H604</f>
        <v>31749.86</v>
      </c>
      <c r="I551" s="68">
        <f>I552+I555+I583+I604</f>
        <v>27904.7</v>
      </c>
    </row>
    <row r="552" spans="1:9" s="9" customFormat="1" x14ac:dyDescent="0.2">
      <c r="A552" s="11" t="s">
        <v>32</v>
      </c>
      <c r="B552" s="14">
        <v>919</v>
      </c>
      <c r="C552" s="8" t="s">
        <v>31</v>
      </c>
      <c r="D552" s="8" t="s">
        <v>12</v>
      </c>
      <c r="E552" s="8"/>
      <c r="F552" s="8"/>
      <c r="G552" s="4">
        <f t="shared" ref="G552:I553" si="78">G553</f>
        <v>861.3</v>
      </c>
      <c r="H552" s="4">
        <f t="shared" si="78"/>
        <v>0</v>
      </c>
      <c r="I552" s="4">
        <f t="shared" si="78"/>
        <v>0</v>
      </c>
    </row>
    <row r="553" spans="1:9" s="21" customFormat="1" x14ac:dyDescent="0.2">
      <c r="A553" s="18" t="s">
        <v>420</v>
      </c>
      <c r="B553" s="22">
        <v>919</v>
      </c>
      <c r="C553" s="19" t="s">
        <v>31</v>
      </c>
      <c r="D553" s="19" t="s">
        <v>12</v>
      </c>
      <c r="E553" s="19" t="s">
        <v>421</v>
      </c>
      <c r="F553" s="19"/>
      <c r="G553" s="20">
        <f t="shared" si="78"/>
        <v>861.3</v>
      </c>
      <c r="H553" s="20">
        <f t="shared" si="78"/>
        <v>0</v>
      </c>
      <c r="I553" s="20">
        <f t="shared" si="78"/>
        <v>0</v>
      </c>
    </row>
    <row r="554" spans="1:9" s="26" customFormat="1" x14ac:dyDescent="0.2">
      <c r="A554" s="28" t="s">
        <v>72</v>
      </c>
      <c r="B554" s="31">
        <v>919</v>
      </c>
      <c r="C554" s="24" t="s">
        <v>31</v>
      </c>
      <c r="D554" s="24" t="s">
        <v>12</v>
      </c>
      <c r="E554" s="24" t="s">
        <v>421</v>
      </c>
      <c r="F554" s="24" t="s">
        <v>73</v>
      </c>
      <c r="G554" s="25">
        <v>861.3</v>
      </c>
      <c r="H554" s="25"/>
      <c r="I554" s="25"/>
    </row>
    <row r="555" spans="1:9" s="74" customFormat="1" x14ac:dyDescent="0.2">
      <c r="A555" s="70" t="s">
        <v>33</v>
      </c>
      <c r="B555" s="71">
        <v>919</v>
      </c>
      <c r="C555" s="72" t="s">
        <v>31</v>
      </c>
      <c r="D555" s="72" t="s">
        <v>14</v>
      </c>
      <c r="E555" s="72"/>
      <c r="F555" s="72"/>
      <c r="G555" s="73">
        <f>G569+G577+G579+G581+G562+G566+G564+G571+G560+G556+G558+G573+G575</f>
        <v>96132.800000000003</v>
      </c>
      <c r="H555" s="73">
        <f t="shared" ref="H555:I555" si="79">H569+H577+H579+H581+H562+H566+H564+H571+H560+H556+H558+H573+H575</f>
        <v>3500</v>
      </c>
      <c r="I555" s="73">
        <f t="shared" si="79"/>
        <v>3000</v>
      </c>
    </row>
    <row r="556" spans="1:9" s="7" customFormat="1" ht="38.25" x14ac:dyDescent="0.2">
      <c r="A556" s="17" t="s">
        <v>377</v>
      </c>
      <c r="B556" s="43">
        <v>919</v>
      </c>
      <c r="C556" s="19" t="s">
        <v>31</v>
      </c>
      <c r="D556" s="19" t="s">
        <v>14</v>
      </c>
      <c r="E556" s="19" t="s">
        <v>352</v>
      </c>
      <c r="F556" s="19"/>
      <c r="G556" s="20">
        <f>G557</f>
        <v>0</v>
      </c>
      <c r="H556" s="20">
        <f>H557</f>
        <v>0</v>
      </c>
      <c r="I556" s="20">
        <f>I557</f>
        <v>0</v>
      </c>
    </row>
    <row r="557" spans="1:9" s="7" customFormat="1" ht="25.5" x14ac:dyDescent="0.2">
      <c r="A557" s="28" t="s">
        <v>83</v>
      </c>
      <c r="B557" s="31">
        <v>919</v>
      </c>
      <c r="C557" s="24" t="s">
        <v>31</v>
      </c>
      <c r="D557" s="24" t="s">
        <v>14</v>
      </c>
      <c r="E557" s="24" t="s">
        <v>352</v>
      </c>
      <c r="F557" s="24" t="s">
        <v>71</v>
      </c>
      <c r="G557" s="25"/>
      <c r="H557" s="25"/>
      <c r="I557" s="25"/>
    </row>
    <row r="558" spans="1:9" s="7" customFormat="1" ht="25.5" x14ac:dyDescent="0.2">
      <c r="A558" s="17" t="s">
        <v>391</v>
      </c>
      <c r="B558" s="43">
        <v>919</v>
      </c>
      <c r="C558" s="19" t="s">
        <v>31</v>
      </c>
      <c r="D558" s="19" t="s">
        <v>14</v>
      </c>
      <c r="E558" s="19" t="s">
        <v>392</v>
      </c>
      <c r="F558" s="19"/>
      <c r="G558" s="20">
        <f>G559</f>
        <v>0</v>
      </c>
      <c r="H558" s="20">
        <f>H559</f>
        <v>0</v>
      </c>
      <c r="I558" s="20">
        <f>I559</f>
        <v>0</v>
      </c>
    </row>
    <row r="559" spans="1:9" s="7" customFormat="1" ht="25.5" x14ac:dyDescent="0.2">
      <c r="A559" s="28" t="s">
        <v>76</v>
      </c>
      <c r="B559" s="31">
        <v>919</v>
      </c>
      <c r="C559" s="24" t="s">
        <v>31</v>
      </c>
      <c r="D559" s="24" t="s">
        <v>14</v>
      </c>
      <c r="E559" s="24" t="s">
        <v>392</v>
      </c>
      <c r="F559" s="24" t="s">
        <v>68</v>
      </c>
      <c r="G559" s="25"/>
      <c r="H559" s="25"/>
      <c r="I559" s="25"/>
    </row>
    <row r="560" spans="1:9" s="7" customFormat="1" ht="25.5" x14ac:dyDescent="0.2">
      <c r="A560" s="17" t="s">
        <v>297</v>
      </c>
      <c r="B560" s="43">
        <v>919</v>
      </c>
      <c r="C560" s="19" t="s">
        <v>31</v>
      </c>
      <c r="D560" s="19" t="s">
        <v>14</v>
      </c>
      <c r="E560" s="19" t="s">
        <v>393</v>
      </c>
      <c r="F560" s="19"/>
      <c r="G560" s="20">
        <f>G561</f>
        <v>0</v>
      </c>
      <c r="H560" s="20">
        <f>H561</f>
        <v>0</v>
      </c>
      <c r="I560" s="20">
        <f>I561</f>
        <v>0</v>
      </c>
    </row>
    <row r="561" spans="1:17" s="7" customFormat="1" ht="25.5" x14ac:dyDescent="0.2">
      <c r="A561" s="28" t="s">
        <v>76</v>
      </c>
      <c r="B561" s="31">
        <v>919</v>
      </c>
      <c r="C561" s="24" t="s">
        <v>31</v>
      </c>
      <c r="D561" s="24" t="s">
        <v>14</v>
      </c>
      <c r="E561" s="24" t="s">
        <v>393</v>
      </c>
      <c r="F561" s="24" t="s">
        <v>68</v>
      </c>
      <c r="G561" s="25"/>
      <c r="H561" s="25"/>
      <c r="I561" s="25"/>
    </row>
    <row r="562" spans="1:17" s="88" customFormat="1" ht="25.5" x14ac:dyDescent="0.2">
      <c r="A562" s="89" t="s">
        <v>297</v>
      </c>
      <c r="B562" s="92">
        <v>919</v>
      </c>
      <c r="C562" s="77" t="s">
        <v>31</v>
      </c>
      <c r="D562" s="77" t="s">
        <v>14</v>
      </c>
      <c r="E562" s="77" t="s">
        <v>296</v>
      </c>
      <c r="F562" s="77"/>
      <c r="G562" s="78">
        <f>G563</f>
        <v>2036</v>
      </c>
      <c r="H562" s="78">
        <f t="shared" ref="H562:I562" si="80">H563</f>
        <v>3500</v>
      </c>
      <c r="I562" s="78">
        <f t="shared" si="80"/>
        <v>3000</v>
      </c>
    </row>
    <row r="563" spans="1:17" s="7" customFormat="1" ht="25.5" x14ac:dyDescent="0.2">
      <c r="A563" s="28" t="s">
        <v>76</v>
      </c>
      <c r="B563" s="31">
        <v>919</v>
      </c>
      <c r="C563" s="24" t="s">
        <v>31</v>
      </c>
      <c r="D563" s="24" t="s">
        <v>14</v>
      </c>
      <c r="E563" s="24" t="s">
        <v>296</v>
      </c>
      <c r="F563" s="24" t="s">
        <v>68</v>
      </c>
      <c r="G563" s="25">
        <f>5000-2964</f>
        <v>2036</v>
      </c>
      <c r="H563" s="25">
        <v>3500</v>
      </c>
      <c r="I563" s="25">
        <v>3000</v>
      </c>
      <c r="J563" s="88"/>
      <c r="K563" s="88"/>
      <c r="L563" s="88"/>
      <c r="M563" s="88"/>
      <c r="N563" s="88"/>
      <c r="O563" s="88"/>
      <c r="P563" s="88"/>
      <c r="Q563" s="88"/>
    </row>
    <row r="564" spans="1:17" s="7" customFormat="1" ht="25.5" x14ac:dyDescent="0.2">
      <c r="A564" s="17" t="s">
        <v>329</v>
      </c>
      <c r="B564" s="43">
        <v>919</v>
      </c>
      <c r="C564" s="19" t="s">
        <v>31</v>
      </c>
      <c r="D564" s="19" t="s">
        <v>14</v>
      </c>
      <c r="E564" s="19" t="s">
        <v>328</v>
      </c>
      <c r="F564" s="19"/>
      <c r="G564" s="20">
        <f>G565</f>
        <v>0</v>
      </c>
      <c r="H564" s="20">
        <f>H565</f>
        <v>0</v>
      </c>
      <c r="I564" s="20">
        <f>I565</f>
        <v>0</v>
      </c>
    </row>
    <row r="565" spans="1:17" s="7" customFormat="1" ht="25.5" x14ac:dyDescent="0.2">
      <c r="A565" s="28" t="s">
        <v>83</v>
      </c>
      <c r="B565" s="31">
        <v>919</v>
      </c>
      <c r="C565" s="24" t="s">
        <v>31</v>
      </c>
      <c r="D565" s="24" t="s">
        <v>14</v>
      </c>
      <c r="E565" s="24" t="s">
        <v>328</v>
      </c>
      <c r="F565" s="24" t="s">
        <v>71</v>
      </c>
      <c r="G565" s="25"/>
      <c r="H565" s="25"/>
      <c r="I565" s="25"/>
    </row>
    <row r="566" spans="1:17" s="7" customFormat="1" ht="12" customHeight="1" x14ac:dyDescent="0.2">
      <c r="A566" s="17" t="s">
        <v>299</v>
      </c>
      <c r="B566" s="43">
        <v>919</v>
      </c>
      <c r="C566" s="19" t="s">
        <v>31</v>
      </c>
      <c r="D566" s="19" t="s">
        <v>14</v>
      </c>
      <c r="E566" s="19" t="s">
        <v>298</v>
      </c>
      <c r="F566" s="19"/>
      <c r="G566" s="20">
        <f>G567+G568</f>
        <v>0</v>
      </c>
      <c r="H566" s="20">
        <f t="shared" ref="H566:I566" si="81">H567+H568</f>
        <v>0</v>
      </c>
      <c r="I566" s="20">
        <f t="shared" si="81"/>
        <v>0</v>
      </c>
    </row>
    <row r="567" spans="1:17" s="7" customFormat="1" ht="25.5" x14ac:dyDescent="0.2">
      <c r="A567" s="28" t="s">
        <v>76</v>
      </c>
      <c r="B567" s="31">
        <v>919</v>
      </c>
      <c r="C567" s="24" t="s">
        <v>31</v>
      </c>
      <c r="D567" s="24" t="s">
        <v>14</v>
      </c>
      <c r="E567" s="24" t="s">
        <v>298</v>
      </c>
      <c r="F567" s="24" t="s">
        <v>68</v>
      </c>
      <c r="G567" s="25"/>
      <c r="H567" s="25"/>
      <c r="I567" s="25"/>
    </row>
    <row r="568" spans="1:17" s="7" customFormat="1" x14ac:dyDescent="0.2">
      <c r="A568" s="28" t="s">
        <v>72</v>
      </c>
      <c r="B568" s="31">
        <v>919</v>
      </c>
      <c r="C568" s="24" t="s">
        <v>31</v>
      </c>
      <c r="D568" s="24" t="s">
        <v>14</v>
      </c>
      <c r="E568" s="24" t="s">
        <v>298</v>
      </c>
      <c r="F568" s="24" t="s">
        <v>73</v>
      </c>
      <c r="G568" s="25"/>
      <c r="H568" s="25"/>
      <c r="I568" s="25"/>
    </row>
    <row r="569" spans="1:17" s="88" customFormat="1" x14ac:dyDescent="0.2">
      <c r="A569" s="89" t="s">
        <v>301</v>
      </c>
      <c r="B569" s="92">
        <v>919</v>
      </c>
      <c r="C569" s="77" t="s">
        <v>31</v>
      </c>
      <c r="D569" s="77" t="s">
        <v>14</v>
      </c>
      <c r="E569" s="77" t="s">
        <v>300</v>
      </c>
      <c r="F569" s="77"/>
      <c r="G569" s="78">
        <f>G570</f>
        <v>0</v>
      </c>
      <c r="H569" s="78">
        <f t="shared" ref="H569:I569" si="82">H570</f>
        <v>0</v>
      </c>
      <c r="I569" s="78">
        <f t="shared" si="82"/>
        <v>0</v>
      </c>
    </row>
    <row r="570" spans="1:17" s="88" customFormat="1" ht="25.5" x14ac:dyDescent="0.2">
      <c r="A570" s="87" t="s">
        <v>76</v>
      </c>
      <c r="B570" s="86">
        <v>919</v>
      </c>
      <c r="C570" s="82" t="s">
        <v>31</v>
      </c>
      <c r="D570" s="82" t="s">
        <v>14</v>
      </c>
      <c r="E570" s="82" t="s">
        <v>300</v>
      </c>
      <c r="F570" s="82" t="s">
        <v>68</v>
      </c>
      <c r="G570" s="62"/>
      <c r="H570" s="62"/>
      <c r="I570" s="62"/>
    </row>
    <row r="571" spans="1:17" s="88" customFormat="1" ht="13.5" customHeight="1" x14ac:dyDescent="0.2">
      <c r="A571" s="89" t="s">
        <v>356</v>
      </c>
      <c r="B571" s="89">
        <v>919</v>
      </c>
      <c r="C571" s="77" t="s">
        <v>31</v>
      </c>
      <c r="D571" s="77" t="s">
        <v>14</v>
      </c>
      <c r="E571" s="77" t="s">
        <v>355</v>
      </c>
      <c r="F571" s="77"/>
      <c r="G571" s="78">
        <f>G572</f>
        <v>2964</v>
      </c>
      <c r="H571" s="78">
        <f>H572</f>
        <v>0</v>
      </c>
      <c r="I571" s="78">
        <f>I572</f>
        <v>0</v>
      </c>
    </row>
    <row r="572" spans="1:17" s="88" customFormat="1" ht="25.5" x14ac:dyDescent="0.2">
      <c r="A572" s="87" t="s">
        <v>76</v>
      </c>
      <c r="B572" s="87">
        <v>919</v>
      </c>
      <c r="C572" s="82" t="s">
        <v>31</v>
      </c>
      <c r="D572" s="82" t="s">
        <v>14</v>
      </c>
      <c r="E572" s="82" t="s">
        <v>355</v>
      </c>
      <c r="F572" s="82" t="s">
        <v>68</v>
      </c>
      <c r="G572" s="62">
        <v>2964</v>
      </c>
      <c r="H572" s="62"/>
      <c r="I572" s="62"/>
    </row>
    <row r="573" spans="1:17" s="7" customFormat="1" ht="24.75" customHeight="1" x14ac:dyDescent="0.2">
      <c r="A573" s="17" t="s">
        <v>406</v>
      </c>
      <c r="B573" s="17">
        <v>919</v>
      </c>
      <c r="C573" s="19" t="s">
        <v>31</v>
      </c>
      <c r="D573" s="19" t="s">
        <v>14</v>
      </c>
      <c r="E573" s="19" t="s">
        <v>405</v>
      </c>
      <c r="F573" s="19"/>
      <c r="G573" s="20">
        <f>G574</f>
        <v>0</v>
      </c>
      <c r="H573" s="20">
        <f>H574</f>
        <v>0</v>
      </c>
      <c r="I573" s="20">
        <f>I574</f>
        <v>0</v>
      </c>
      <c r="J573" s="119"/>
      <c r="K573" s="119"/>
      <c r="L573" s="119"/>
      <c r="M573" s="119"/>
      <c r="N573" s="119"/>
      <c r="O573" s="119"/>
      <c r="P573" s="119"/>
      <c r="Q573" s="119"/>
    </row>
    <row r="574" spans="1:17" s="7" customFormat="1" ht="25.5" x14ac:dyDescent="0.2">
      <c r="A574" s="28" t="s">
        <v>76</v>
      </c>
      <c r="B574" s="28">
        <v>919</v>
      </c>
      <c r="C574" s="24" t="s">
        <v>31</v>
      </c>
      <c r="D574" s="24" t="s">
        <v>14</v>
      </c>
      <c r="E574" s="24" t="s">
        <v>405</v>
      </c>
      <c r="F574" s="24" t="s">
        <v>68</v>
      </c>
      <c r="G574" s="25"/>
      <c r="H574" s="25"/>
      <c r="I574" s="25"/>
      <c r="J574" s="119"/>
      <c r="K574" s="119"/>
      <c r="L574" s="119"/>
      <c r="M574" s="119"/>
      <c r="N574" s="119"/>
      <c r="O574" s="119"/>
      <c r="P574" s="119"/>
      <c r="Q574" s="119"/>
    </row>
    <row r="575" spans="1:17" s="7" customFormat="1" ht="25.5" x14ac:dyDescent="0.2">
      <c r="A575" s="17" t="s">
        <v>411</v>
      </c>
      <c r="B575" s="43">
        <v>919</v>
      </c>
      <c r="C575" s="19" t="s">
        <v>31</v>
      </c>
      <c r="D575" s="19" t="s">
        <v>14</v>
      </c>
      <c r="E575" s="19" t="s">
        <v>410</v>
      </c>
      <c r="F575" s="19"/>
      <c r="G575" s="20">
        <f>G576</f>
        <v>0</v>
      </c>
      <c r="H575" s="20">
        <f t="shared" ref="H575:I575" si="83">H576</f>
        <v>0</v>
      </c>
      <c r="I575" s="20">
        <f t="shared" si="83"/>
        <v>0</v>
      </c>
      <c r="J575" s="119"/>
      <c r="K575" s="119"/>
      <c r="L575" s="119"/>
      <c r="M575" s="119"/>
      <c r="N575" s="119"/>
      <c r="O575" s="119"/>
      <c r="P575" s="119"/>
      <c r="Q575" s="119"/>
    </row>
    <row r="576" spans="1:17" s="7" customFormat="1" ht="25.5" x14ac:dyDescent="0.2">
      <c r="A576" s="28" t="s">
        <v>76</v>
      </c>
      <c r="B576" s="31">
        <v>919</v>
      </c>
      <c r="C576" s="24" t="s">
        <v>31</v>
      </c>
      <c r="D576" s="24" t="s">
        <v>14</v>
      </c>
      <c r="E576" s="24" t="s">
        <v>410</v>
      </c>
      <c r="F576" s="24" t="s">
        <v>68</v>
      </c>
      <c r="G576" s="25"/>
      <c r="H576" s="25"/>
      <c r="I576" s="25"/>
      <c r="J576" s="119"/>
      <c r="K576" s="119"/>
      <c r="L576" s="119"/>
      <c r="M576" s="119"/>
      <c r="N576" s="119"/>
      <c r="O576" s="119"/>
      <c r="P576" s="119"/>
      <c r="Q576" s="119"/>
    </row>
    <row r="577" spans="1:17" s="21" customFormat="1" ht="63.75" x14ac:dyDescent="0.2">
      <c r="A577" s="18" t="s">
        <v>303</v>
      </c>
      <c r="B577" s="22">
        <v>919</v>
      </c>
      <c r="C577" s="19" t="s">
        <v>31</v>
      </c>
      <c r="D577" s="19" t="s">
        <v>14</v>
      </c>
      <c r="E577" s="19" t="s">
        <v>302</v>
      </c>
      <c r="F577" s="19"/>
      <c r="G577" s="20">
        <f>G578</f>
        <v>74230.400000000009</v>
      </c>
      <c r="H577" s="20">
        <f>H578</f>
        <v>0</v>
      </c>
      <c r="I577" s="20">
        <f>I578</f>
        <v>0</v>
      </c>
    </row>
    <row r="578" spans="1:17" s="84" customFormat="1" x14ac:dyDescent="0.2">
      <c r="A578" s="87" t="s">
        <v>72</v>
      </c>
      <c r="B578" s="86">
        <v>919</v>
      </c>
      <c r="C578" s="82" t="s">
        <v>31</v>
      </c>
      <c r="D578" s="82" t="s">
        <v>14</v>
      </c>
      <c r="E578" s="82" t="s">
        <v>302</v>
      </c>
      <c r="F578" s="82" t="s">
        <v>73</v>
      </c>
      <c r="G578" s="62">
        <f>30622.4+42361.3+1246.7</f>
        <v>74230.400000000009</v>
      </c>
      <c r="H578" s="62"/>
      <c r="I578" s="62"/>
    </row>
    <row r="579" spans="1:17" s="21" customFormat="1" ht="63.75" x14ac:dyDescent="0.2">
      <c r="A579" s="17" t="s">
        <v>305</v>
      </c>
      <c r="B579" s="43">
        <v>919</v>
      </c>
      <c r="C579" s="19" t="s">
        <v>31</v>
      </c>
      <c r="D579" s="19" t="s">
        <v>14</v>
      </c>
      <c r="E579" s="19" t="s">
        <v>304</v>
      </c>
      <c r="F579" s="19"/>
      <c r="G579" s="20">
        <f>G580</f>
        <v>14244.7</v>
      </c>
      <c r="H579" s="20">
        <f>H580</f>
        <v>0</v>
      </c>
      <c r="I579" s="20">
        <f>I580</f>
        <v>0</v>
      </c>
    </row>
    <row r="580" spans="1:17" s="26" customFormat="1" x14ac:dyDescent="0.2">
      <c r="A580" s="28" t="s">
        <v>72</v>
      </c>
      <c r="B580" s="31">
        <v>919</v>
      </c>
      <c r="C580" s="24" t="s">
        <v>31</v>
      </c>
      <c r="D580" s="24" t="s">
        <v>14</v>
      </c>
      <c r="E580" s="24" t="s">
        <v>304</v>
      </c>
      <c r="F580" s="24" t="s">
        <v>73</v>
      </c>
      <c r="G580" s="25">
        <v>14244.7</v>
      </c>
      <c r="H580" s="25"/>
      <c r="I580" s="25"/>
    </row>
    <row r="581" spans="1:17" s="21" customFormat="1" ht="38.25" x14ac:dyDescent="0.2">
      <c r="A581" s="18" t="s">
        <v>307</v>
      </c>
      <c r="B581" s="22">
        <v>919</v>
      </c>
      <c r="C581" s="19" t="s">
        <v>31</v>
      </c>
      <c r="D581" s="19" t="s">
        <v>14</v>
      </c>
      <c r="E581" s="19" t="s">
        <v>306</v>
      </c>
      <c r="F581" s="19"/>
      <c r="G581" s="20">
        <f>G582</f>
        <v>2657.7</v>
      </c>
      <c r="H581" s="20">
        <f>H582</f>
        <v>0</v>
      </c>
      <c r="I581" s="20">
        <f>I582</f>
        <v>0</v>
      </c>
    </row>
    <row r="582" spans="1:17" s="26" customFormat="1" x14ac:dyDescent="0.2">
      <c r="A582" s="28" t="s">
        <v>72</v>
      </c>
      <c r="B582" s="31">
        <v>919</v>
      </c>
      <c r="C582" s="24" t="s">
        <v>31</v>
      </c>
      <c r="D582" s="24" t="s">
        <v>14</v>
      </c>
      <c r="E582" s="24" t="s">
        <v>306</v>
      </c>
      <c r="F582" s="24" t="s">
        <v>73</v>
      </c>
      <c r="G582" s="25">
        <v>2657.7</v>
      </c>
      <c r="H582" s="25"/>
      <c r="I582" s="25"/>
    </row>
    <row r="583" spans="1:17" s="74" customFormat="1" x14ac:dyDescent="0.2">
      <c r="A583" s="70" t="s">
        <v>35</v>
      </c>
      <c r="B583" s="71">
        <v>919</v>
      </c>
      <c r="C583" s="72" t="s">
        <v>31</v>
      </c>
      <c r="D583" s="72" t="s">
        <v>16</v>
      </c>
      <c r="E583" s="72"/>
      <c r="F583" s="72"/>
      <c r="G583" s="73">
        <f>G592+G594+G596+G598+G585+G588+G602+G590+G600</f>
        <v>48321.14</v>
      </c>
      <c r="H583" s="73">
        <f t="shared" ref="H583:I583" si="84">H592+H594+H596+H598+H585+H588+H602+H590+H600</f>
        <v>3165.96</v>
      </c>
      <c r="I583" s="73">
        <f t="shared" si="84"/>
        <v>0</v>
      </c>
    </row>
    <row r="584" spans="1:17" ht="25.5" x14ac:dyDescent="0.2">
      <c r="A584" s="75" t="s">
        <v>439</v>
      </c>
      <c r="B584" s="76">
        <v>919</v>
      </c>
      <c r="C584" s="77" t="s">
        <v>31</v>
      </c>
      <c r="D584" s="77" t="s">
        <v>16</v>
      </c>
      <c r="E584" s="77" t="s">
        <v>440</v>
      </c>
      <c r="F584" s="77"/>
      <c r="G584" s="78">
        <f>G585</f>
        <v>30274.7</v>
      </c>
      <c r="H584" s="78">
        <f t="shared" ref="H584:I584" si="85">H585</f>
        <v>2344</v>
      </c>
      <c r="I584" s="78">
        <f t="shared" si="85"/>
        <v>0</v>
      </c>
    </row>
    <row r="585" spans="1:17" s="88" customFormat="1" ht="25.5" x14ac:dyDescent="0.2">
      <c r="A585" s="89" t="s">
        <v>441</v>
      </c>
      <c r="B585" s="92">
        <v>919</v>
      </c>
      <c r="C585" s="77" t="s">
        <v>31</v>
      </c>
      <c r="D585" s="77" t="s">
        <v>16</v>
      </c>
      <c r="E585" s="77" t="s">
        <v>438</v>
      </c>
      <c r="F585" s="77"/>
      <c r="G585" s="78">
        <f>G587+G586</f>
        <v>30274.7</v>
      </c>
      <c r="H585" s="78">
        <f t="shared" ref="H585:I585" si="86">H587+H586</f>
        <v>2344</v>
      </c>
      <c r="I585" s="78">
        <f t="shared" si="86"/>
        <v>0</v>
      </c>
    </row>
    <row r="586" spans="1:17" s="88" customFormat="1" ht="25.5" x14ac:dyDescent="0.2">
      <c r="A586" s="87" t="s">
        <v>76</v>
      </c>
      <c r="B586" s="86">
        <v>919</v>
      </c>
      <c r="C586" s="82" t="s">
        <v>31</v>
      </c>
      <c r="D586" s="82" t="s">
        <v>16</v>
      </c>
      <c r="E586" s="77" t="s">
        <v>438</v>
      </c>
      <c r="F586" s="82" t="s">
        <v>68</v>
      </c>
      <c r="G586" s="62">
        <f>1514.2+18669</f>
        <v>20183.2</v>
      </c>
      <c r="H586" s="62">
        <f>1563</f>
        <v>1563</v>
      </c>
      <c r="I586" s="62"/>
    </row>
    <row r="587" spans="1:17" s="88" customFormat="1" ht="25.5" x14ac:dyDescent="0.2">
      <c r="A587" s="87" t="s">
        <v>141</v>
      </c>
      <c r="B587" s="86">
        <v>919</v>
      </c>
      <c r="C587" s="82" t="s">
        <v>31</v>
      </c>
      <c r="D587" s="82" t="s">
        <v>16</v>
      </c>
      <c r="E587" s="77" t="s">
        <v>438</v>
      </c>
      <c r="F587" s="82" t="s">
        <v>65</v>
      </c>
      <c r="G587" s="62">
        <f>9334.5+757</f>
        <v>10091.5</v>
      </c>
      <c r="H587" s="62">
        <f>781</f>
        <v>781</v>
      </c>
      <c r="I587" s="62"/>
    </row>
    <row r="588" spans="1:17" s="7" customFormat="1" ht="25.5" x14ac:dyDescent="0.2">
      <c r="A588" s="17" t="s">
        <v>369</v>
      </c>
      <c r="B588" s="43">
        <v>919</v>
      </c>
      <c r="C588" s="19" t="s">
        <v>31</v>
      </c>
      <c r="D588" s="19" t="s">
        <v>16</v>
      </c>
      <c r="E588" s="19" t="s">
        <v>368</v>
      </c>
      <c r="F588" s="19"/>
      <c r="G588" s="20">
        <f>G589</f>
        <v>150</v>
      </c>
      <c r="H588" s="20">
        <f>H589</f>
        <v>0</v>
      </c>
      <c r="I588" s="20">
        <f>I589</f>
        <v>0</v>
      </c>
    </row>
    <row r="589" spans="1:17" s="7" customFormat="1" ht="25.5" x14ac:dyDescent="0.2">
      <c r="A589" s="28" t="s">
        <v>76</v>
      </c>
      <c r="B589" s="31">
        <v>919</v>
      </c>
      <c r="C589" s="24" t="s">
        <v>31</v>
      </c>
      <c r="D589" s="24" t="s">
        <v>16</v>
      </c>
      <c r="E589" s="19" t="s">
        <v>368</v>
      </c>
      <c r="F589" s="24" t="s">
        <v>68</v>
      </c>
      <c r="G589" s="25">
        <v>150</v>
      </c>
      <c r="H589" s="25"/>
      <c r="I589" s="25"/>
    </row>
    <row r="590" spans="1:17" s="7" customFormat="1" ht="25.5" x14ac:dyDescent="0.2">
      <c r="A590" s="17" t="s">
        <v>409</v>
      </c>
      <c r="B590" s="43">
        <v>919</v>
      </c>
      <c r="C590" s="19" t="s">
        <v>31</v>
      </c>
      <c r="D590" s="19" t="s">
        <v>16</v>
      </c>
      <c r="E590" s="19" t="s">
        <v>407</v>
      </c>
      <c r="F590" s="19"/>
      <c r="G590" s="20">
        <f>G591</f>
        <v>796.44</v>
      </c>
      <c r="H590" s="20">
        <f t="shared" ref="H590:I590" si="87">H591</f>
        <v>821.96</v>
      </c>
      <c r="I590" s="20">
        <f t="shared" si="87"/>
        <v>0</v>
      </c>
      <c r="J590" s="119"/>
      <c r="K590" s="119"/>
      <c r="L590" s="119"/>
      <c r="M590" s="119"/>
      <c r="N590" s="119"/>
      <c r="O590" s="119"/>
      <c r="P590" s="119"/>
      <c r="Q590" s="119"/>
    </row>
    <row r="591" spans="1:17" s="7" customFormat="1" ht="25.5" x14ac:dyDescent="0.2">
      <c r="A591" s="28" t="s">
        <v>76</v>
      </c>
      <c r="B591" s="31">
        <v>919</v>
      </c>
      <c r="C591" s="24" t="s">
        <v>31</v>
      </c>
      <c r="D591" s="24" t="s">
        <v>16</v>
      </c>
      <c r="E591" s="24" t="s">
        <v>408</v>
      </c>
      <c r="F591" s="24" t="s">
        <v>68</v>
      </c>
      <c r="G591" s="25">
        <f>796.44</f>
        <v>796.44</v>
      </c>
      <c r="H591" s="25">
        <f>821.96</f>
        <v>821.96</v>
      </c>
      <c r="I591" s="25"/>
      <c r="J591" s="119"/>
      <c r="K591" s="119"/>
      <c r="L591" s="119"/>
      <c r="M591" s="119"/>
      <c r="N591" s="119"/>
      <c r="O591" s="119"/>
      <c r="P591" s="119"/>
      <c r="Q591" s="119"/>
    </row>
    <row r="592" spans="1:17" s="88" customFormat="1" x14ac:dyDescent="0.2">
      <c r="A592" s="75" t="s">
        <v>309</v>
      </c>
      <c r="B592" s="76">
        <v>919</v>
      </c>
      <c r="C592" s="77" t="s">
        <v>31</v>
      </c>
      <c r="D592" s="77" t="s">
        <v>16</v>
      </c>
      <c r="E592" s="77" t="s">
        <v>308</v>
      </c>
      <c r="F592" s="77"/>
      <c r="G592" s="78">
        <f>G593</f>
        <v>650</v>
      </c>
      <c r="H592" s="78">
        <f>H593</f>
        <v>0</v>
      </c>
      <c r="I592" s="78">
        <f>I593</f>
        <v>0</v>
      </c>
    </row>
    <row r="593" spans="1:17" s="84" customFormat="1" ht="25.5" x14ac:dyDescent="0.2">
      <c r="A593" s="87" t="s">
        <v>141</v>
      </c>
      <c r="B593" s="86">
        <v>919</v>
      </c>
      <c r="C593" s="82" t="s">
        <v>31</v>
      </c>
      <c r="D593" s="82" t="s">
        <v>16</v>
      </c>
      <c r="E593" s="82" t="s">
        <v>308</v>
      </c>
      <c r="F593" s="82" t="s">
        <v>65</v>
      </c>
      <c r="G593" s="62">
        <v>650</v>
      </c>
      <c r="H593" s="62"/>
      <c r="I593" s="62"/>
    </row>
    <row r="594" spans="1:17" s="7" customFormat="1" ht="25.5" x14ac:dyDescent="0.2">
      <c r="A594" s="18" t="s">
        <v>310</v>
      </c>
      <c r="B594" s="22">
        <v>919</v>
      </c>
      <c r="C594" s="19" t="s">
        <v>31</v>
      </c>
      <c r="D594" s="19" t="s">
        <v>16</v>
      </c>
      <c r="E594" s="19" t="s">
        <v>311</v>
      </c>
      <c r="F594" s="19"/>
      <c r="G594" s="20">
        <f>G595</f>
        <v>3500</v>
      </c>
      <c r="H594" s="20">
        <f>H595</f>
        <v>0</v>
      </c>
      <c r="I594" s="20">
        <f>I595</f>
        <v>0</v>
      </c>
    </row>
    <row r="595" spans="1:17" s="26" customFormat="1" ht="25.5" x14ac:dyDescent="0.2">
      <c r="A595" s="28" t="s">
        <v>141</v>
      </c>
      <c r="B595" s="31">
        <v>919</v>
      </c>
      <c r="C595" s="24" t="s">
        <v>31</v>
      </c>
      <c r="D595" s="24" t="s">
        <v>16</v>
      </c>
      <c r="E595" s="24" t="s">
        <v>311</v>
      </c>
      <c r="F595" s="24" t="s">
        <v>65</v>
      </c>
      <c r="G595" s="25">
        <v>3500</v>
      </c>
      <c r="H595" s="25"/>
      <c r="I595" s="25"/>
    </row>
    <row r="596" spans="1:17" s="7" customFormat="1" x14ac:dyDescent="0.2">
      <c r="A596" s="18" t="s">
        <v>313</v>
      </c>
      <c r="B596" s="22">
        <v>919</v>
      </c>
      <c r="C596" s="24" t="s">
        <v>31</v>
      </c>
      <c r="D596" s="24" t="s">
        <v>16</v>
      </c>
      <c r="E596" s="19" t="s">
        <v>312</v>
      </c>
      <c r="F596" s="24"/>
      <c r="G596" s="25">
        <f>G597</f>
        <v>1000</v>
      </c>
      <c r="H596" s="25">
        <f>H597</f>
        <v>0</v>
      </c>
      <c r="I596" s="25">
        <f>I597</f>
        <v>0</v>
      </c>
    </row>
    <row r="597" spans="1:17" s="26" customFormat="1" ht="25.5" x14ac:dyDescent="0.2">
      <c r="A597" s="28" t="s">
        <v>141</v>
      </c>
      <c r="B597" s="31">
        <v>919</v>
      </c>
      <c r="C597" s="24" t="s">
        <v>31</v>
      </c>
      <c r="D597" s="24" t="s">
        <v>16</v>
      </c>
      <c r="E597" s="24" t="s">
        <v>312</v>
      </c>
      <c r="F597" s="24" t="s">
        <v>65</v>
      </c>
      <c r="G597" s="25">
        <v>1000</v>
      </c>
      <c r="H597" s="25"/>
      <c r="I597" s="25"/>
    </row>
    <row r="598" spans="1:17" s="88" customFormat="1" ht="38.25" x14ac:dyDescent="0.2">
      <c r="A598" s="75" t="s">
        <v>315</v>
      </c>
      <c r="B598" s="76">
        <v>919</v>
      </c>
      <c r="C598" s="77" t="s">
        <v>31</v>
      </c>
      <c r="D598" s="77" t="s">
        <v>16</v>
      </c>
      <c r="E598" s="111" t="s">
        <v>314</v>
      </c>
      <c r="F598" s="77"/>
      <c r="G598" s="78">
        <f>G599</f>
        <v>7750</v>
      </c>
      <c r="H598" s="78">
        <f>H599</f>
        <v>0</v>
      </c>
      <c r="I598" s="78">
        <f>I599</f>
        <v>0</v>
      </c>
    </row>
    <row r="599" spans="1:17" s="26" customFormat="1" ht="25.5" x14ac:dyDescent="0.2">
      <c r="A599" s="28" t="s">
        <v>141</v>
      </c>
      <c r="B599" s="31">
        <v>919</v>
      </c>
      <c r="C599" s="24" t="s">
        <v>31</v>
      </c>
      <c r="D599" s="24" t="s">
        <v>16</v>
      </c>
      <c r="E599" s="16" t="s">
        <v>314</v>
      </c>
      <c r="F599" s="24" t="s">
        <v>65</v>
      </c>
      <c r="G599" s="25">
        <f>7950-200</f>
        <v>7750</v>
      </c>
      <c r="H599" s="25"/>
      <c r="I599" s="25"/>
      <c r="J599" s="84"/>
      <c r="K599" s="84"/>
      <c r="L599" s="84"/>
      <c r="M599" s="84"/>
      <c r="N599" s="84"/>
      <c r="O599" s="84"/>
      <c r="P599" s="84"/>
      <c r="Q599" s="84"/>
    </row>
    <row r="600" spans="1:17" s="88" customFormat="1" ht="25.5" x14ac:dyDescent="0.2">
      <c r="A600" s="75" t="s">
        <v>443</v>
      </c>
      <c r="B600" s="76">
        <v>919</v>
      </c>
      <c r="C600" s="77" t="s">
        <v>31</v>
      </c>
      <c r="D600" s="77" t="s">
        <v>16</v>
      </c>
      <c r="E600" s="111" t="s">
        <v>442</v>
      </c>
      <c r="F600" s="77"/>
      <c r="G600" s="78">
        <f>G601</f>
        <v>200</v>
      </c>
      <c r="H600" s="78">
        <f>H601</f>
        <v>0</v>
      </c>
      <c r="I600" s="78">
        <f>I601</f>
        <v>0</v>
      </c>
    </row>
    <row r="601" spans="1:17" s="26" customFormat="1" ht="25.5" x14ac:dyDescent="0.2">
      <c r="A601" s="28" t="s">
        <v>141</v>
      </c>
      <c r="B601" s="31">
        <v>919</v>
      </c>
      <c r="C601" s="24" t="s">
        <v>31</v>
      </c>
      <c r="D601" s="24" t="s">
        <v>16</v>
      </c>
      <c r="E601" s="16" t="s">
        <v>442</v>
      </c>
      <c r="F601" s="24" t="s">
        <v>65</v>
      </c>
      <c r="G601" s="25">
        <v>200</v>
      </c>
      <c r="H601" s="25"/>
      <c r="I601" s="25"/>
      <c r="J601" s="84"/>
      <c r="K601" s="84"/>
      <c r="L601" s="84"/>
      <c r="M601" s="84"/>
      <c r="N601" s="84"/>
      <c r="O601" s="84"/>
      <c r="P601" s="84"/>
      <c r="Q601" s="84"/>
    </row>
    <row r="602" spans="1:17" s="21" customFormat="1" x14ac:dyDescent="0.2">
      <c r="A602" s="18" t="s">
        <v>389</v>
      </c>
      <c r="B602" s="18">
        <v>919</v>
      </c>
      <c r="C602" s="19" t="s">
        <v>31</v>
      </c>
      <c r="D602" s="19" t="s">
        <v>16</v>
      </c>
      <c r="E602" s="16" t="s">
        <v>390</v>
      </c>
      <c r="F602" s="19"/>
      <c r="G602" s="20">
        <f>G603</f>
        <v>4000</v>
      </c>
      <c r="H602" s="20">
        <f t="shared" ref="H602:I602" si="88">H603</f>
        <v>0</v>
      </c>
      <c r="I602" s="20">
        <f t="shared" si="88"/>
        <v>0</v>
      </c>
    </row>
    <row r="603" spans="1:17" s="21" customFormat="1" ht="25.5" x14ac:dyDescent="0.2">
      <c r="A603" s="28" t="s">
        <v>141</v>
      </c>
      <c r="B603" s="28">
        <v>919</v>
      </c>
      <c r="C603" s="24" t="s">
        <v>31</v>
      </c>
      <c r="D603" s="24" t="s">
        <v>16</v>
      </c>
      <c r="E603" s="16" t="s">
        <v>390</v>
      </c>
      <c r="F603" s="24" t="s">
        <v>65</v>
      </c>
      <c r="G603" s="25">
        <v>4000</v>
      </c>
      <c r="H603" s="25"/>
      <c r="I603" s="25"/>
    </row>
    <row r="604" spans="1:17" s="74" customFormat="1" ht="25.5" x14ac:dyDescent="0.2">
      <c r="A604" s="70" t="s">
        <v>36</v>
      </c>
      <c r="B604" s="71">
        <v>919</v>
      </c>
      <c r="C604" s="72" t="s">
        <v>31</v>
      </c>
      <c r="D604" s="72" t="s">
        <v>31</v>
      </c>
      <c r="E604" s="72"/>
      <c r="F604" s="72"/>
      <c r="G604" s="73">
        <f>G605+G607+G610</f>
        <v>25602.9</v>
      </c>
      <c r="H604" s="73">
        <f>H605+H607+H610</f>
        <v>25083.9</v>
      </c>
      <c r="I604" s="73">
        <f>I605+I607+I610</f>
        <v>24904.7</v>
      </c>
    </row>
    <row r="605" spans="1:17" s="21" customFormat="1" ht="38.25" x14ac:dyDescent="0.2">
      <c r="A605" s="18" t="s">
        <v>317</v>
      </c>
      <c r="B605" s="22">
        <v>919</v>
      </c>
      <c r="C605" s="19" t="s">
        <v>31</v>
      </c>
      <c r="D605" s="19" t="s">
        <v>31</v>
      </c>
      <c r="E605" s="19" t="s">
        <v>316</v>
      </c>
      <c r="F605" s="19"/>
      <c r="G605" s="20">
        <f>G606</f>
        <v>7151.1</v>
      </c>
      <c r="H605" s="20">
        <f>H606</f>
        <v>6632.1</v>
      </c>
      <c r="I605" s="20">
        <f>I606</f>
        <v>6632.1</v>
      </c>
    </row>
    <row r="606" spans="1:17" s="26" customFormat="1" ht="25.5" x14ac:dyDescent="0.2">
      <c r="A606" s="28" t="s">
        <v>141</v>
      </c>
      <c r="B606" s="31">
        <v>919</v>
      </c>
      <c r="C606" s="24" t="s">
        <v>31</v>
      </c>
      <c r="D606" s="24" t="s">
        <v>31</v>
      </c>
      <c r="E606" s="24" t="s">
        <v>316</v>
      </c>
      <c r="F606" s="24" t="s">
        <v>65</v>
      </c>
      <c r="G606" s="25">
        <f>6632.1+519</f>
        <v>7151.1</v>
      </c>
      <c r="H606" s="25">
        <v>6632.1</v>
      </c>
      <c r="I606" s="25">
        <v>6632.1</v>
      </c>
    </row>
    <row r="607" spans="1:17" s="21" customFormat="1" ht="23.25" customHeight="1" x14ac:dyDescent="0.2">
      <c r="A607" s="18" t="s">
        <v>319</v>
      </c>
      <c r="B607" s="22">
        <v>919</v>
      </c>
      <c r="C607" s="19" t="s">
        <v>31</v>
      </c>
      <c r="D607" s="19" t="s">
        <v>31</v>
      </c>
      <c r="E607" s="19" t="s">
        <v>318</v>
      </c>
      <c r="F607" s="19"/>
      <c r="G607" s="20">
        <f>G608+G609</f>
        <v>4769</v>
      </c>
      <c r="H607" s="20">
        <f t="shared" ref="H607:I607" si="89">H608+H609</f>
        <v>4769</v>
      </c>
      <c r="I607" s="20">
        <f t="shared" si="89"/>
        <v>4769</v>
      </c>
      <c r="J607" s="117"/>
      <c r="K607" s="117"/>
      <c r="L607" s="117"/>
      <c r="M607" s="117"/>
      <c r="N607" s="117"/>
      <c r="O607" s="117"/>
      <c r="P607" s="117"/>
      <c r="Q607" s="117"/>
    </row>
    <row r="608" spans="1:17" s="26" customFormat="1" ht="54" customHeight="1" x14ac:dyDescent="0.2">
      <c r="A608" s="30" t="s">
        <v>66</v>
      </c>
      <c r="B608" s="32">
        <v>919</v>
      </c>
      <c r="C608" s="24" t="s">
        <v>31</v>
      </c>
      <c r="D608" s="24" t="s">
        <v>31</v>
      </c>
      <c r="E608" s="24" t="s">
        <v>318</v>
      </c>
      <c r="F608" s="24" t="s">
        <v>67</v>
      </c>
      <c r="G608" s="25">
        <v>4351.3999999999996</v>
      </c>
      <c r="H608" s="25">
        <v>4351.3999999999996</v>
      </c>
      <c r="I608" s="25">
        <v>4351.3999999999996</v>
      </c>
      <c r="J608" s="118"/>
      <c r="K608" s="118"/>
      <c r="L608" s="118"/>
      <c r="M608" s="118"/>
      <c r="N608" s="118"/>
      <c r="O608" s="118"/>
      <c r="P608" s="118"/>
      <c r="Q608" s="118"/>
    </row>
    <row r="609" spans="1:17" s="26" customFormat="1" ht="25.5" x14ac:dyDescent="0.2">
      <c r="A609" s="28" t="s">
        <v>76</v>
      </c>
      <c r="B609" s="32">
        <v>919</v>
      </c>
      <c r="C609" s="24" t="s">
        <v>31</v>
      </c>
      <c r="D609" s="24" t="s">
        <v>31</v>
      </c>
      <c r="E609" s="24" t="s">
        <v>318</v>
      </c>
      <c r="F609" s="24" t="s">
        <v>68</v>
      </c>
      <c r="G609" s="25">
        <v>417.6</v>
      </c>
      <c r="H609" s="25">
        <v>417.6</v>
      </c>
      <c r="I609" s="25">
        <v>417.6</v>
      </c>
      <c r="J609" s="118"/>
      <c r="K609" s="118"/>
      <c r="L609" s="118"/>
      <c r="M609" s="118"/>
      <c r="N609" s="118"/>
      <c r="O609" s="118"/>
      <c r="P609" s="118"/>
      <c r="Q609" s="118"/>
    </row>
    <row r="610" spans="1:17" s="95" customFormat="1" ht="38.25" x14ac:dyDescent="0.2">
      <c r="A610" s="75" t="s">
        <v>321</v>
      </c>
      <c r="B610" s="76">
        <v>919</v>
      </c>
      <c r="C610" s="77" t="s">
        <v>31</v>
      </c>
      <c r="D610" s="77" t="s">
        <v>31</v>
      </c>
      <c r="E610" s="77" t="s">
        <v>320</v>
      </c>
      <c r="F610" s="90"/>
      <c r="G610" s="91">
        <f>G611</f>
        <v>13682.8</v>
      </c>
      <c r="H610" s="91">
        <f>H611</f>
        <v>13682.8</v>
      </c>
      <c r="I610" s="91">
        <f>I611</f>
        <v>13503.6</v>
      </c>
    </row>
    <row r="611" spans="1:17" s="84" customFormat="1" ht="25.5" x14ac:dyDescent="0.2">
      <c r="A611" s="87" t="s">
        <v>141</v>
      </c>
      <c r="B611" s="86">
        <v>919</v>
      </c>
      <c r="C611" s="82" t="s">
        <v>31</v>
      </c>
      <c r="D611" s="82" t="s">
        <v>31</v>
      </c>
      <c r="E611" s="82" t="s">
        <v>320</v>
      </c>
      <c r="F611" s="82" t="s">
        <v>65</v>
      </c>
      <c r="G611" s="62">
        <v>13682.8</v>
      </c>
      <c r="H611" s="62">
        <v>13682.8</v>
      </c>
      <c r="I611" s="62">
        <v>13503.6</v>
      </c>
    </row>
    <row r="612" spans="1:17" s="9" customFormat="1" x14ac:dyDescent="0.2">
      <c r="A612" s="11" t="s">
        <v>52</v>
      </c>
      <c r="B612" s="14">
        <v>919</v>
      </c>
      <c r="C612" s="8" t="s">
        <v>51</v>
      </c>
      <c r="D612" s="8"/>
      <c r="E612" s="8"/>
      <c r="F612" s="8"/>
      <c r="G612" s="4">
        <f>G613+G617</f>
        <v>2450.9</v>
      </c>
      <c r="H612" s="4">
        <f>H613+H617</f>
        <v>0</v>
      </c>
      <c r="I612" s="4">
        <f>I613+I617</f>
        <v>0</v>
      </c>
    </row>
    <row r="613" spans="1:17" s="3" customFormat="1" x14ac:dyDescent="0.2">
      <c r="A613" s="13" t="s">
        <v>55</v>
      </c>
      <c r="B613" s="42">
        <v>919</v>
      </c>
      <c r="C613" s="1" t="s">
        <v>51</v>
      </c>
      <c r="D613" s="1" t="s">
        <v>16</v>
      </c>
      <c r="E613" s="1"/>
      <c r="F613" s="1"/>
      <c r="G613" s="2">
        <f t="shared" ref="G613:I613" si="90">G614</f>
        <v>0</v>
      </c>
      <c r="H613" s="2">
        <f t="shared" si="90"/>
        <v>0</v>
      </c>
      <c r="I613" s="2">
        <f t="shared" si="90"/>
        <v>0</v>
      </c>
    </row>
    <row r="614" spans="1:17" s="21" customFormat="1" ht="63.75" x14ac:dyDescent="0.2">
      <c r="A614" s="18" t="s">
        <v>277</v>
      </c>
      <c r="B614" s="50">
        <v>919</v>
      </c>
      <c r="C614" s="19" t="s">
        <v>51</v>
      </c>
      <c r="D614" s="19" t="s">
        <v>16</v>
      </c>
      <c r="E614" s="19" t="s">
        <v>91</v>
      </c>
      <c r="F614" s="19"/>
      <c r="G614" s="20">
        <f>G616</f>
        <v>0</v>
      </c>
      <c r="H614" s="20">
        <f t="shared" ref="H614:I614" si="91">H616</f>
        <v>0</v>
      </c>
      <c r="I614" s="20">
        <f t="shared" si="91"/>
        <v>0</v>
      </c>
    </row>
    <row r="615" spans="1:17" s="26" customFormat="1" x14ac:dyDescent="0.2">
      <c r="A615" s="28" t="s">
        <v>69</v>
      </c>
      <c r="B615" s="31">
        <v>919</v>
      </c>
      <c r="C615" s="24" t="s">
        <v>51</v>
      </c>
      <c r="D615" s="24" t="s">
        <v>16</v>
      </c>
      <c r="E615" s="19" t="s">
        <v>91</v>
      </c>
      <c r="F615" s="24" t="s">
        <v>70</v>
      </c>
      <c r="G615" s="25"/>
      <c r="H615" s="25"/>
      <c r="I615" s="25"/>
    </row>
    <row r="616" spans="1:17" s="84" customFormat="1" x14ac:dyDescent="0.2">
      <c r="A616" s="87" t="s">
        <v>72</v>
      </c>
      <c r="B616" s="86">
        <v>919</v>
      </c>
      <c r="C616" s="82" t="s">
        <v>51</v>
      </c>
      <c r="D616" s="82" t="s">
        <v>16</v>
      </c>
      <c r="E616" s="77" t="s">
        <v>91</v>
      </c>
      <c r="F616" s="82" t="s">
        <v>73</v>
      </c>
      <c r="G616" s="62"/>
      <c r="H616" s="62"/>
      <c r="I616" s="62"/>
    </row>
    <row r="617" spans="1:17" s="9" customFormat="1" x14ac:dyDescent="0.2">
      <c r="A617" s="11" t="s">
        <v>57</v>
      </c>
      <c r="B617" s="14">
        <v>919</v>
      </c>
      <c r="C617" s="8" t="s">
        <v>51</v>
      </c>
      <c r="D617" s="8" t="s">
        <v>50</v>
      </c>
      <c r="E617" s="8"/>
      <c r="F617" s="8"/>
      <c r="G617" s="4">
        <f>G618+G620+G622</f>
        <v>2450.9</v>
      </c>
      <c r="H617" s="4">
        <f>H618+H620+H622</f>
        <v>0</v>
      </c>
      <c r="I617" s="4">
        <f>I618+I620+I622</f>
        <v>0</v>
      </c>
    </row>
    <row r="618" spans="1:17" s="21" customFormat="1" x14ac:dyDescent="0.2">
      <c r="A618" s="18" t="s">
        <v>322</v>
      </c>
      <c r="B618" s="22">
        <v>919</v>
      </c>
      <c r="C618" s="19" t="s">
        <v>51</v>
      </c>
      <c r="D618" s="19" t="s">
        <v>50</v>
      </c>
      <c r="E618" s="19" t="s">
        <v>323</v>
      </c>
      <c r="F618" s="19"/>
      <c r="G618" s="20">
        <f>G619</f>
        <v>847.8</v>
      </c>
      <c r="H618" s="20">
        <f>H619</f>
        <v>0</v>
      </c>
      <c r="I618" s="20">
        <f>I619</f>
        <v>0</v>
      </c>
    </row>
    <row r="619" spans="1:17" s="26" customFormat="1" x14ac:dyDescent="0.2">
      <c r="A619" s="28" t="s">
        <v>69</v>
      </c>
      <c r="B619" s="31">
        <v>919</v>
      </c>
      <c r="C619" s="24" t="s">
        <v>51</v>
      </c>
      <c r="D619" s="24" t="s">
        <v>50</v>
      </c>
      <c r="E619" s="24" t="s">
        <v>323</v>
      </c>
      <c r="F619" s="24" t="s">
        <v>70</v>
      </c>
      <c r="G619" s="25">
        <v>847.8</v>
      </c>
      <c r="H619" s="25"/>
      <c r="I619" s="25"/>
    </row>
    <row r="620" spans="1:17" s="21" customFormat="1" ht="25.5" x14ac:dyDescent="0.2">
      <c r="A620" s="18" t="s">
        <v>325</v>
      </c>
      <c r="B620" s="18">
        <v>919</v>
      </c>
      <c r="C620" s="19" t="s">
        <v>51</v>
      </c>
      <c r="D620" s="19" t="s">
        <v>50</v>
      </c>
      <c r="E620" s="19" t="s">
        <v>324</v>
      </c>
      <c r="F620" s="19"/>
      <c r="G620" s="20">
        <f>G621</f>
        <v>1573.8</v>
      </c>
      <c r="H620" s="20">
        <f>H621</f>
        <v>0</v>
      </c>
      <c r="I620" s="20">
        <f>I621</f>
        <v>0</v>
      </c>
      <c r="J620" s="117"/>
      <c r="K620" s="117"/>
      <c r="L620" s="117"/>
      <c r="M620" s="117"/>
      <c r="N620" s="117"/>
      <c r="O620" s="117"/>
      <c r="P620" s="117"/>
      <c r="Q620" s="117"/>
    </row>
    <row r="621" spans="1:17" s="26" customFormat="1" x14ac:dyDescent="0.2">
      <c r="A621" s="28" t="s">
        <v>69</v>
      </c>
      <c r="B621" s="28">
        <v>919</v>
      </c>
      <c r="C621" s="24" t="s">
        <v>51</v>
      </c>
      <c r="D621" s="24" t="s">
        <v>50</v>
      </c>
      <c r="E621" s="24" t="s">
        <v>324</v>
      </c>
      <c r="F621" s="24" t="s">
        <v>70</v>
      </c>
      <c r="G621" s="25">
        <v>1573.8</v>
      </c>
      <c r="H621" s="25"/>
      <c r="I621" s="25"/>
    </row>
    <row r="622" spans="1:17" s="21" customFormat="1" ht="76.5" x14ac:dyDescent="0.2">
      <c r="A622" s="61" t="s">
        <v>327</v>
      </c>
      <c r="B622" s="51">
        <v>919</v>
      </c>
      <c r="C622" s="19" t="s">
        <v>51</v>
      </c>
      <c r="D622" s="19" t="s">
        <v>50</v>
      </c>
      <c r="E622" s="19" t="s">
        <v>326</v>
      </c>
      <c r="F622" s="19"/>
      <c r="G622" s="20">
        <f>G623</f>
        <v>29.3</v>
      </c>
      <c r="H622" s="20">
        <f>H623</f>
        <v>0</v>
      </c>
      <c r="I622" s="20">
        <f>I623</f>
        <v>0</v>
      </c>
    </row>
    <row r="623" spans="1:17" s="26" customFormat="1" x14ac:dyDescent="0.2">
      <c r="A623" s="52" t="s">
        <v>69</v>
      </c>
      <c r="B623" s="28">
        <v>919</v>
      </c>
      <c r="C623" s="24" t="s">
        <v>51</v>
      </c>
      <c r="D623" s="24" t="s">
        <v>50</v>
      </c>
      <c r="E623" s="24" t="s">
        <v>326</v>
      </c>
      <c r="F623" s="24" t="s">
        <v>70</v>
      </c>
      <c r="G623" s="25">
        <v>29.3</v>
      </c>
      <c r="H623" s="25"/>
      <c r="I623" s="25"/>
    </row>
    <row r="624" spans="1:17" s="15" customFormat="1" ht="14.25" customHeight="1" x14ac:dyDescent="0.25">
      <c r="A624" s="33" t="s">
        <v>58</v>
      </c>
      <c r="B624" s="45"/>
      <c r="C624" s="34"/>
      <c r="D624" s="34"/>
      <c r="E624" s="34"/>
      <c r="F624" s="34"/>
      <c r="G624" s="35">
        <f>G527+G405+G360+G228+G214+G205+G165+G140+G10</f>
        <v>3074759.24</v>
      </c>
      <c r="H624" s="35">
        <f>H527+H405+H360+H228+H214+H205+H165+H140+H10</f>
        <v>2740042.46</v>
      </c>
      <c r="I624" s="35">
        <f>I527+I405+I360+I228+I214+I205+I165+I140+I10</f>
        <v>2609850.3999999994</v>
      </c>
    </row>
    <row r="625" spans="1:17" ht="9.75" customHeight="1" x14ac:dyDescent="0.2">
      <c r="G625" s="112"/>
      <c r="H625" s="112"/>
      <c r="I625" s="112"/>
    </row>
    <row r="626" spans="1:17" hidden="1" x14ac:dyDescent="0.2">
      <c r="G626" s="112"/>
      <c r="H626" s="112"/>
      <c r="I626" s="112"/>
    </row>
    <row r="627" spans="1:17" hidden="1" x14ac:dyDescent="0.2">
      <c r="G627" s="112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627" s="112">
        <f>2338074.6-387+20441.05382+796.44</f>
        <v>2358925.0938200001</v>
      </c>
      <c r="I627" s="112">
        <f>2308087.1-387+21095.92313+821.96</f>
        <v>2329617.9831300001</v>
      </c>
    </row>
    <row r="628" spans="1:17" hidden="1" x14ac:dyDescent="0.2">
      <c r="G628" s="113">
        <f>G627-G624</f>
        <v>205993.36436000001</v>
      </c>
      <c r="H628" s="112">
        <f>H627-H624</f>
        <v>-381117.3661799999</v>
      </c>
      <c r="I628" s="112">
        <f>I627-I624</f>
        <v>-280232.41686999938</v>
      </c>
    </row>
    <row r="629" spans="1:17" ht="24" customHeight="1" x14ac:dyDescent="0.2">
      <c r="A629" s="114" t="s">
        <v>64</v>
      </c>
      <c r="B629" s="108"/>
      <c r="F629" s="112"/>
      <c r="G629" s="115"/>
      <c r="H629" s="115"/>
      <c r="I629" s="116" t="s">
        <v>80</v>
      </c>
    </row>
    <row r="631" spans="1:17" x14ac:dyDescent="0.2">
      <c r="E631" s="108" t="s">
        <v>6</v>
      </c>
      <c r="G631" s="123">
        <f>32117.2+24881.1+796.44+291136.3+22721.3+116101.9+459400.2+46398.3+150+723131.1+18606.7+7326.4+4312.7+115+394.9+148.7+204+120+279937.2+2528.4+20088.1+67258.5+144380.1+7375.7-2499.7+5384.6+321+7335.1+144.3+5101+6461.6+441927.4+175+36220.5+70040.5-148.7+3218</f>
        <v>2843310.8399999994</v>
      </c>
      <c r="H631" s="123">
        <f>31948+25876.2+821.96+366198.8+22721.3+116101.9+466632.7+46398.3+722843.1+18606.7+7326.4+4312.7+115+394.9+148.7+204+120+51975.5+2528.4+17980.4+63121.3+120308+7375.7+7479.4+5101+6461.6+441927.4+24851.3+68909.2-114.2-148.7+3218</f>
        <v>2651744.959999999</v>
      </c>
      <c r="I631" s="123">
        <f>31948+25876.2+396500+22721.3+116101.9+470874.5+46398.3+723143.1+18365.8+7326.4+4267.3+115+394.9+148.7+204+120+49630.6+2528.4+17980.4+62309.3+118701.6+7375.7+7479.4+4965.6+6461.6+421003.2+68909.2-114.2-993.6-148.7+3218</f>
        <v>2633811.9</v>
      </c>
    </row>
    <row r="632" spans="1:17" x14ac:dyDescent="0.2">
      <c r="G632" s="112">
        <f>G624-G631</f>
        <v>231448.40000000084</v>
      </c>
      <c r="H632" s="112">
        <f>H624-H631</f>
        <v>88297.500000000931</v>
      </c>
      <c r="I632" s="112">
        <f t="shared" ref="I632:Q632" si="92">I624-I631</f>
        <v>-23961.500000000466</v>
      </c>
      <c r="J632" s="112">
        <f t="shared" si="92"/>
        <v>0</v>
      </c>
      <c r="K632" s="112">
        <f t="shared" si="92"/>
        <v>0</v>
      </c>
      <c r="L632" s="112">
        <f t="shared" si="92"/>
        <v>0</v>
      </c>
      <c r="M632" s="112">
        <f t="shared" si="92"/>
        <v>0</v>
      </c>
      <c r="N632" s="112">
        <f t="shared" si="92"/>
        <v>0</v>
      </c>
      <c r="O632" s="112">
        <f t="shared" si="92"/>
        <v>0</v>
      </c>
      <c r="P632" s="112">
        <f t="shared" si="92"/>
        <v>0</v>
      </c>
      <c r="Q632" s="112">
        <f t="shared" si="92"/>
        <v>0</v>
      </c>
    </row>
    <row r="633" spans="1:17" x14ac:dyDescent="0.2">
      <c r="G633" s="112"/>
      <c r="H633" s="112"/>
      <c r="I633" s="112"/>
    </row>
    <row r="635" spans="1:17" ht="18" x14ac:dyDescent="0.25">
      <c r="G635" s="124">
        <f>2843310.8-7536.8+36452+16.3+73.4+98003.5+54+4564+25962.1+2240+47607.1+5640.6+2015.7+4288.9+193+519</f>
        <v>3063403.6</v>
      </c>
      <c r="H635" s="112">
        <f>2673596+530-527.1+1985+16.9+73.4+54+4564+47612.1+5640.6+2015.7+4288.9+193</f>
        <v>2740042.5</v>
      </c>
      <c r="I635" s="112">
        <f>2570568.1-24243-2429.4-484.5+1985+17.5+73.4+54+4564+47607.1+5640.6+2015.7+4288.9+193</f>
        <v>2609850.4000000004</v>
      </c>
    </row>
    <row r="636" spans="1:17" x14ac:dyDescent="0.2">
      <c r="C636" s="79"/>
      <c r="D636" s="79"/>
      <c r="E636" s="79"/>
      <c r="F636" s="79"/>
      <c r="G636" s="79"/>
      <c r="H636" s="79"/>
      <c r="I636" s="79"/>
    </row>
    <row r="637" spans="1:17" x14ac:dyDescent="0.2">
      <c r="C637" s="79"/>
      <c r="D637" s="79"/>
      <c r="E637" s="79"/>
      <c r="F637" s="79"/>
      <c r="G637" s="125">
        <f>G635-G624</f>
        <v>-11355.64000000013</v>
      </c>
      <c r="H637" s="125">
        <f t="shared" ref="H637:I637" si="93">H635-H624</f>
        <v>4.0000000037252903E-2</v>
      </c>
      <c r="I637" s="125">
        <f t="shared" si="93"/>
        <v>0</v>
      </c>
    </row>
    <row r="638" spans="1:17" x14ac:dyDescent="0.2">
      <c r="C638" s="79"/>
      <c r="D638" s="79"/>
      <c r="E638" s="79"/>
      <c r="F638" s="79"/>
      <c r="G638" s="79"/>
      <c r="H638" s="79"/>
      <c r="I638" s="79"/>
    </row>
    <row r="639" spans="1:17" x14ac:dyDescent="0.2">
      <c r="C639" s="79"/>
      <c r="D639" s="79"/>
      <c r="E639" s="79"/>
      <c r="F639" s="79"/>
      <c r="G639" s="79"/>
      <c r="H639" s="79"/>
      <c r="I639" s="79"/>
    </row>
  </sheetData>
  <mergeCells count="15">
    <mergeCell ref="A1:I1"/>
    <mergeCell ref="A2:I2"/>
    <mergeCell ref="A3:I3"/>
    <mergeCell ref="S200:W204"/>
    <mergeCell ref="H7:H8"/>
    <mergeCell ref="I7:I8"/>
    <mergeCell ref="A5:I5"/>
    <mergeCell ref="A6:G6"/>
    <mergeCell ref="A7:A8"/>
    <mergeCell ref="B7:B8"/>
    <mergeCell ref="C7:C8"/>
    <mergeCell ref="D7:D8"/>
    <mergeCell ref="E7:E8"/>
    <mergeCell ref="F7:F8"/>
    <mergeCell ref="G7:G8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4"/>
  <sheetViews>
    <sheetView zoomScaleNormal="100" workbookViewId="0">
      <selection activeCell="A13" sqref="A13:I622"/>
    </sheetView>
  </sheetViews>
  <sheetFormatPr defaultColWidth="9.140625" defaultRowHeight="12.75" x14ac:dyDescent="0.2"/>
  <cols>
    <col min="1" max="1" width="53.5703125" style="237" customWidth="1"/>
    <col min="2" max="2" width="6.28515625" style="237" customWidth="1"/>
    <col min="3" max="3" width="4.85546875" style="254" customWidth="1"/>
    <col min="4" max="4" width="6.140625" style="254" customWidth="1"/>
    <col min="5" max="5" width="15.42578125" style="254" customWidth="1"/>
    <col min="6" max="6" width="5.85546875" style="254" customWidth="1"/>
    <col min="7" max="7" width="16.7109375" style="254" customWidth="1"/>
    <col min="8" max="9" width="14.28515625" style="254" customWidth="1"/>
    <col min="10" max="10" width="0.28515625" style="79" hidden="1" customWidth="1"/>
    <col min="11" max="17" width="9.140625" style="79" hidden="1" customWidth="1"/>
    <col min="18" max="18" width="9.140625" style="237"/>
    <col min="19" max="19" width="11.5703125" style="237" bestFit="1" customWidth="1"/>
    <col min="20" max="16384" width="9.140625" style="237"/>
  </cols>
  <sheetData>
    <row r="1" spans="1:17" ht="18.75" x14ac:dyDescent="0.3">
      <c r="A1" s="289" t="s">
        <v>459</v>
      </c>
      <c r="B1" s="289"/>
      <c r="C1" s="289"/>
      <c r="D1" s="289"/>
      <c r="E1" s="289"/>
      <c r="F1" s="289"/>
      <c r="G1" s="289"/>
      <c r="H1" s="289"/>
      <c r="I1" s="289"/>
    </row>
    <row r="2" spans="1:17" ht="18.75" x14ac:dyDescent="0.3">
      <c r="A2" s="289" t="s">
        <v>671</v>
      </c>
      <c r="B2" s="289"/>
      <c r="C2" s="289"/>
      <c r="D2" s="289"/>
      <c r="E2" s="289"/>
      <c r="F2" s="289"/>
      <c r="G2" s="289"/>
      <c r="H2" s="289"/>
      <c r="I2" s="289"/>
    </row>
    <row r="3" spans="1:17" ht="18.75" x14ac:dyDescent="0.3">
      <c r="A3" s="289" t="s">
        <v>674</v>
      </c>
      <c r="B3" s="289"/>
      <c r="C3" s="289"/>
      <c r="D3" s="289"/>
      <c r="E3" s="289"/>
      <c r="F3" s="289"/>
      <c r="G3" s="289"/>
      <c r="H3" s="289"/>
      <c r="I3" s="289"/>
    </row>
    <row r="4" spans="1:17" x14ac:dyDescent="0.2">
      <c r="A4" s="288"/>
      <c r="B4" s="288"/>
      <c r="C4" s="288"/>
      <c r="D4" s="288"/>
      <c r="E4" s="288"/>
      <c r="F4" s="288"/>
      <c r="G4" s="288"/>
      <c r="H4" s="288"/>
      <c r="I4" s="288"/>
    </row>
    <row r="5" spans="1:17" x14ac:dyDescent="0.2">
      <c r="A5" s="281" t="s">
        <v>84</v>
      </c>
      <c r="B5" s="281"/>
      <c r="C5" s="281"/>
      <c r="D5" s="281"/>
      <c r="E5" s="281"/>
      <c r="F5" s="281"/>
      <c r="G5" s="281"/>
      <c r="H5" s="281"/>
      <c r="I5" s="281"/>
    </row>
    <row r="6" spans="1:17" x14ac:dyDescent="0.2">
      <c r="A6" s="281" t="s">
        <v>78</v>
      </c>
      <c r="B6" s="281"/>
      <c r="C6" s="281"/>
      <c r="D6" s="281"/>
      <c r="E6" s="281"/>
      <c r="F6" s="281"/>
      <c r="G6" s="281"/>
      <c r="H6" s="281"/>
      <c r="I6" s="281"/>
    </row>
    <row r="7" spans="1:17" x14ac:dyDescent="0.2">
      <c r="A7" s="281" t="s">
        <v>672</v>
      </c>
      <c r="B7" s="281"/>
      <c r="C7" s="281"/>
      <c r="D7" s="281"/>
      <c r="E7" s="281"/>
      <c r="F7" s="281"/>
      <c r="G7" s="281"/>
      <c r="H7" s="281"/>
      <c r="I7" s="281"/>
    </row>
    <row r="9" spans="1:17" s="131" customFormat="1" ht="38.25" customHeight="1" x14ac:dyDescent="0.3">
      <c r="A9" s="282" t="s">
        <v>676</v>
      </c>
      <c r="B9" s="282"/>
      <c r="C9" s="282"/>
      <c r="D9" s="282"/>
      <c r="E9" s="282"/>
      <c r="F9" s="282"/>
      <c r="G9" s="282"/>
      <c r="H9" s="282"/>
      <c r="I9" s="282"/>
      <c r="J9" s="109"/>
      <c r="K9" s="109"/>
      <c r="L9" s="109"/>
      <c r="M9" s="109"/>
      <c r="N9" s="109"/>
      <c r="O9" s="109"/>
      <c r="P9" s="109"/>
      <c r="Q9" s="109"/>
    </row>
    <row r="10" spans="1:17" s="130" customFormat="1" ht="13.5" thickBot="1" x14ac:dyDescent="0.25">
      <c r="A10" s="283"/>
      <c r="B10" s="283"/>
      <c r="C10" s="283"/>
      <c r="D10" s="283"/>
      <c r="E10" s="283"/>
      <c r="F10" s="283"/>
      <c r="G10" s="283"/>
      <c r="I10" s="232" t="s">
        <v>62</v>
      </c>
      <c r="J10" s="110"/>
      <c r="K10" s="110"/>
      <c r="L10" s="110"/>
      <c r="M10" s="110"/>
      <c r="N10" s="110"/>
      <c r="O10" s="110"/>
      <c r="P10" s="110"/>
      <c r="Q10" s="110"/>
    </row>
    <row r="11" spans="1:17" ht="13.5" customHeight="1" x14ac:dyDescent="0.2">
      <c r="A11" s="284"/>
      <c r="B11" s="279" t="s">
        <v>59</v>
      </c>
      <c r="C11" s="279" t="s">
        <v>8</v>
      </c>
      <c r="D11" s="279" t="s">
        <v>9</v>
      </c>
      <c r="E11" s="279" t="s">
        <v>10</v>
      </c>
      <c r="F11" s="279" t="s">
        <v>11</v>
      </c>
      <c r="G11" s="286" t="s">
        <v>140</v>
      </c>
      <c r="H11" s="286" t="s">
        <v>362</v>
      </c>
      <c r="I11" s="286" t="s">
        <v>412</v>
      </c>
    </row>
    <row r="12" spans="1:17" x14ac:dyDescent="0.2">
      <c r="A12" s="285"/>
      <c r="B12" s="280"/>
      <c r="C12" s="280"/>
      <c r="D12" s="280"/>
      <c r="E12" s="280"/>
      <c r="F12" s="280"/>
      <c r="G12" s="287"/>
      <c r="H12" s="287"/>
      <c r="I12" s="287"/>
    </row>
    <row r="13" spans="1:17" s="57" customFormat="1" ht="12" x14ac:dyDescent="0.2">
      <c r="A13" s="55">
        <v>1</v>
      </c>
      <c r="B13" s="58">
        <v>2</v>
      </c>
      <c r="C13" s="58">
        <v>3</v>
      </c>
      <c r="D13" s="58">
        <v>4</v>
      </c>
      <c r="E13" s="58">
        <v>5</v>
      </c>
      <c r="F13" s="58">
        <v>6</v>
      </c>
      <c r="G13" s="56">
        <v>7</v>
      </c>
      <c r="H13" s="56">
        <v>8</v>
      </c>
      <c r="I13" s="56">
        <v>9</v>
      </c>
    </row>
    <row r="14" spans="1:17" s="10" customFormat="1" ht="25.5" x14ac:dyDescent="0.2">
      <c r="A14" s="36" t="s">
        <v>45</v>
      </c>
      <c r="B14" s="37">
        <v>900</v>
      </c>
      <c r="C14" s="38"/>
      <c r="D14" s="38"/>
      <c r="E14" s="38"/>
      <c r="F14" s="48"/>
      <c r="G14" s="39">
        <f>G15+G65+G87+G101+G105+G128+G81+G132</f>
        <v>581633.41253000009</v>
      </c>
      <c r="H14" s="39">
        <f>H15+H65+H87+H101+H105+H128+H81+H132</f>
        <v>535305.62174000009</v>
      </c>
      <c r="I14" s="39">
        <f>I15+I65+I87+I101+I105+I128+I81+I132</f>
        <v>550007.36400000006</v>
      </c>
    </row>
    <row r="15" spans="1:17" s="69" customFormat="1" x14ac:dyDescent="0.2">
      <c r="A15" s="63" t="s">
        <v>60</v>
      </c>
      <c r="B15" s="64">
        <v>900</v>
      </c>
      <c r="C15" s="65" t="s">
        <v>12</v>
      </c>
      <c r="D15" s="66"/>
      <c r="E15" s="66"/>
      <c r="F15" s="67"/>
      <c r="G15" s="68">
        <f>G16+G19+G41+G38+G35</f>
        <v>119930.3</v>
      </c>
      <c r="H15" s="68">
        <f>H16+H19+H41+H38+H35</f>
        <v>100000.5</v>
      </c>
      <c r="I15" s="68">
        <f>I16+I19+I41+I38+I35</f>
        <v>92276.2</v>
      </c>
    </row>
    <row r="16" spans="1:17" s="74" customFormat="1" ht="38.25" x14ac:dyDescent="0.2">
      <c r="A16" s="70" t="s">
        <v>13</v>
      </c>
      <c r="B16" s="71">
        <v>900</v>
      </c>
      <c r="C16" s="72" t="s">
        <v>12</v>
      </c>
      <c r="D16" s="72" t="s">
        <v>14</v>
      </c>
      <c r="E16" s="72"/>
      <c r="F16" s="72"/>
      <c r="G16" s="73">
        <f t="shared" ref="G16:I16" si="0">G17</f>
        <v>2148.9</v>
      </c>
      <c r="H16" s="73">
        <f t="shared" si="0"/>
        <v>1972.4</v>
      </c>
      <c r="I16" s="73">
        <f t="shared" si="0"/>
        <v>1972.4</v>
      </c>
    </row>
    <row r="17" spans="1:17" s="117" customFormat="1" ht="25.5" x14ac:dyDescent="0.2">
      <c r="A17" s="228" t="s">
        <v>343</v>
      </c>
      <c r="B17" s="229">
        <v>900</v>
      </c>
      <c r="C17" s="230" t="s">
        <v>12</v>
      </c>
      <c r="D17" s="230" t="s">
        <v>14</v>
      </c>
      <c r="E17" s="230" t="s">
        <v>142</v>
      </c>
      <c r="F17" s="230"/>
      <c r="G17" s="231">
        <f>+G18</f>
        <v>2148.9</v>
      </c>
      <c r="H17" s="231">
        <f t="shared" ref="H17:I17" si="1">+H18</f>
        <v>1972.4</v>
      </c>
      <c r="I17" s="231">
        <f t="shared" si="1"/>
        <v>1972.4</v>
      </c>
    </row>
    <row r="18" spans="1:17" s="118" customFormat="1" ht="51.75" customHeight="1" x14ac:dyDescent="0.2">
      <c r="A18" s="251" t="s">
        <v>66</v>
      </c>
      <c r="B18" s="241">
        <v>900</v>
      </c>
      <c r="C18" s="225" t="s">
        <v>12</v>
      </c>
      <c r="D18" s="225" t="s">
        <v>14</v>
      </c>
      <c r="E18" s="225" t="s">
        <v>142</v>
      </c>
      <c r="F18" s="248" t="s">
        <v>67</v>
      </c>
      <c r="G18" s="226">
        <f>1170.6+353.5+10+150+40+424.8</f>
        <v>2148.9</v>
      </c>
      <c r="H18" s="226">
        <f>1361.3+411.1+10+150+40</f>
        <v>1972.4</v>
      </c>
      <c r="I18" s="226">
        <f>1361.3+411.1+10+150+40</f>
        <v>1972.4</v>
      </c>
    </row>
    <row r="19" spans="1:17" s="74" customFormat="1" ht="51" x14ac:dyDescent="0.2">
      <c r="A19" s="70" t="s">
        <v>17</v>
      </c>
      <c r="B19" s="71">
        <v>900</v>
      </c>
      <c r="C19" s="72" t="s">
        <v>12</v>
      </c>
      <c r="D19" s="72" t="s">
        <v>18</v>
      </c>
      <c r="E19" s="72"/>
      <c r="F19" s="72"/>
      <c r="G19" s="73">
        <f>G20+G23+G26+G32+G30</f>
        <v>67538.8</v>
      </c>
      <c r="H19" s="73">
        <f>H20+H23+H26+H32+H30</f>
        <v>56260.299999999996</v>
      </c>
      <c r="I19" s="73">
        <f>I20+I23+I26+I32+I30</f>
        <v>55266.7</v>
      </c>
    </row>
    <row r="20" spans="1:17" s="21" customFormat="1" ht="25.5" x14ac:dyDescent="0.2">
      <c r="A20" s="18" t="s">
        <v>143</v>
      </c>
      <c r="B20" s="22">
        <v>900</v>
      </c>
      <c r="C20" s="19" t="s">
        <v>12</v>
      </c>
      <c r="D20" s="19" t="s">
        <v>18</v>
      </c>
      <c r="E20" s="19" t="s">
        <v>88</v>
      </c>
      <c r="F20" s="19"/>
      <c r="G20" s="20">
        <f>G21+G22</f>
        <v>468.29999999999995</v>
      </c>
      <c r="H20" s="20">
        <f>H21+H22</f>
        <v>468.29999999999995</v>
      </c>
      <c r="I20" s="20">
        <f>I21+I22</f>
        <v>468.29999999999995</v>
      </c>
    </row>
    <row r="21" spans="1:17" s="26" customFormat="1" ht="52.5" customHeight="1" x14ac:dyDescent="0.2">
      <c r="A21" s="23" t="s">
        <v>66</v>
      </c>
      <c r="B21" s="31">
        <v>900</v>
      </c>
      <c r="C21" s="24" t="s">
        <v>12</v>
      </c>
      <c r="D21" s="24" t="s">
        <v>18</v>
      </c>
      <c r="E21" s="24" t="s">
        <v>88</v>
      </c>
      <c r="F21" s="27" t="s">
        <v>67</v>
      </c>
      <c r="G21" s="25">
        <f>281.8+85.1+73.4</f>
        <v>440.29999999999995</v>
      </c>
      <c r="H21" s="25">
        <f>281.8+85.1+73.4</f>
        <v>440.29999999999995</v>
      </c>
      <c r="I21" s="25">
        <f>281.8+85.1+73.4</f>
        <v>440.29999999999995</v>
      </c>
    </row>
    <row r="22" spans="1:17" s="26" customFormat="1" ht="25.5" x14ac:dyDescent="0.2">
      <c r="A22" s="23" t="s">
        <v>135</v>
      </c>
      <c r="B22" s="31">
        <v>900</v>
      </c>
      <c r="C22" s="24" t="s">
        <v>12</v>
      </c>
      <c r="D22" s="24" t="s">
        <v>18</v>
      </c>
      <c r="E22" s="24" t="s">
        <v>88</v>
      </c>
      <c r="F22" s="27" t="s">
        <v>68</v>
      </c>
      <c r="G22" s="25">
        <v>28</v>
      </c>
      <c r="H22" s="25">
        <v>28</v>
      </c>
      <c r="I22" s="25">
        <v>28</v>
      </c>
    </row>
    <row r="23" spans="1:17" s="79" customFormat="1" ht="15" customHeight="1" x14ac:dyDescent="0.2">
      <c r="A23" s="75" t="s">
        <v>144</v>
      </c>
      <c r="B23" s="76">
        <v>900</v>
      </c>
      <c r="C23" s="77" t="s">
        <v>12</v>
      </c>
      <c r="D23" s="77" t="s">
        <v>18</v>
      </c>
      <c r="E23" s="77" t="s">
        <v>87</v>
      </c>
      <c r="F23" s="77"/>
      <c r="G23" s="78">
        <f>G24+G25</f>
        <v>115</v>
      </c>
      <c r="H23" s="78">
        <f>H24+H25</f>
        <v>115</v>
      </c>
      <c r="I23" s="78">
        <f>I24+I25</f>
        <v>115</v>
      </c>
    </row>
    <row r="24" spans="1:17" s="84" customFormat="1" ht="51.75" customHeight="1" x14ac:dyDescent="0.2">
      <c r="A24" s="85" t="s">
        <v>66</v>
      </c>
      <c r="B24" s="86">
        <v>900</v>
      </c>
      <c r="C24" s="82" t="s">
        <v>12</v>
      </c>
      <c r="D24" s="82" t="s">
        <v>18</v>
      </c>
      <c r="E24" s="82" t="s">
        <v>87</v>
      </c>
      <c r="F24" s="83" t="s">
        <v>67</v>
      </c>
      <c r="G24" s="62">
        <f>86.8+26.2</f>
        <v>113</v>
      </c>
      <c r="H24" s="62">
        <f>86.8+26.2</f>
        <v>113</v>
      </c>
      <c r="I24" s="62">
        <f>86.8+26.2</f>
        <v>113</v>
      </c>
    </row>
    <row r="25" spans="1:17" s="84" customFormat="1" ht="25.5" x14ac:dyDescent="0.2">
      <c r="A25" s="85" t="s">
        <v>135</v>
      </c>
      <c r="B25" s="86">
        <v>900</v>
      </c>
      <c r="C25" s="82" t="s">
        <v>12</v>
      </c>
      <c r="D25" s="82" t="s">
        <v>18</v>
      </c>
      <c r="E25" s="82" t="s">
        <v>87</v>
      </c>
      <c r="F25" s="83" t="s">
        <v>68</v>
      </c>
      <c r="G25" s="62">
        <v>2</v>
      </c>
      <c r="H25" s="62">
        <v>2</v>
      </c>
      <c r="I25" s="62">
        <v>2</v>
      </c>
    </row>
    <row r="26" spans="1:17" s="117" customFormat="1" ht="25.5" x14ac:dyDescent="0.2">
      <c r="A26" s="228" t="s">
        <v>343</v>
      </c>
      <c r="B26" s="229">
        <v>900</v>
      </c>
      <c r="C26" s="230" t="s">
        <v>12</v>
      </c>
      <c r="D26" s="230" t="s">
        <v>18</v>
      </c>
      <c r="E26" s="230" t="s">
        <v>145</v>
      </c>
      <c r="F26" s="230"/>
      <c r="G26" s="231">
        <f>SUM(G27:G29)</f>
        <v>60644</v>
      </c>
      <c r="H26" s="231">
        <f>SUM(H27:H29)</f>
        <v>50316.399999999994</v>
      </c>
      <c r="I26" s="231">
        <f>SUM(I27:I29)</f>
        <v>49322.799999999996</v>
      </c>
    </row>
    <row r="27" spans="1:17" s="118" customFormat="1" ht="51" customHeight="1" x14ac:dyDescent="0.2">
      <c r="A27" s="251" t="s">
        <v>66</v>
      </c>
      <c r="B27" s="241">
        <v>900</v>
      </c>
      <c r="C27" s="225" t="s">
        <v>12</v>
      </c>
      <c r="D27" s="225" t="s">
        <v>18</v>
      </c>
      <c r="E27" s="225" t="s">
        <v>145</v>
      </c>
      <c r="F27" s="248" t="s">
        <v>67</v>
      </c>
      <c r="G27" s="226">
        <f>25480.2+100+7725.2+50+2+148+50+5326.2</f>
        <v>38881.599999999999</v>
      </c>
      <c r="H27" s="226">
        <f>25189.5+200+7667.6+50+2+148+50</f>
        <v>33307.1</v>
      </c>
      <c r="I27" s="226">
        <f>25189.5+200+7667.6+50+2+148+50</f>
        <v>33307.1</v>
      </c>
    </row>
    <row r="28" spans="1:17" s="118" customFormat="1" ht="25.5" x14ac:dyDescent="0.2">
      <c r="A28" s="224" t="s">
        <v>76</v>
      </c>
      <c r="B28" s="241">
        <v>900</v>
      </c>
      <c r="C28" s="225" t="s">
        <v>12</v>
      </c>
      <c r="D28" s="225" t="s">
        <v>18</v>
      </c>
      <c r="E28" s="225" t="s">
        <v>145</v>
      </c>
      <c r="F28" s="248" t="s">
        <v>68</v>
      </c>
      <c r="G28" s="226">
        <f>1300+370+30+100+100+40+954.6+19.9+950+87.9+0.1+150+15+250+4+1000+2520.3+1016.7+50+400+2400+5841.9+1810.5+112-70-100+2095.9</f>
        <v>21448.800000000003</v>
      </c>
      <c r="H28" s="226">
        <f>1300+370+30+100+100+40+954.6+19.9+950+87.9+0.1+150+15+250+4+1000+2520.3+50+400+2400+5841.9</f>
        <v>16583.699999999997</v>
      </c>
      <c r="I28" s="226">
        <f>1300+370+30+100+100+40+954.6+19.9+950+87.9+0.1+150+15+250+4+1000+2520.3+50+400+2400-993.6+5841.9</f>
        <v>15590.099999999999</v>
      </c>
    </row>
    <row r="29" spans="1:17" s="26" customFormat="1" x14ac:dyDescent="0.2">
      <c r="A29" s="28" t="s">
        <v>72</v>
      </c>
      <c r="B29" s="31">
        <v>900</v>
      </c>
      <c r="C29" s="24" t="s">
        <v>12</v>
      </c>
      <c r="D29" s="24" t="s">
        <v>18</v>
      </c>
      <c r="E29" s="24" t="s">
        <v>145</v>
      </c>
      <c r="F29" s="24" t="s">
        <v>73</v>
      </c>
      <c r="G29" s="25">
        <f>10+205.6+50+10+150-112</f>
        <v>313.60000000000002</v>
      </c>
      <c r="H29" s="25">
        <f>10+205.6+50+10+150</f>
        <v>425.6</v>
      </c>
      <c r="I29" s="25">
        <f>10+205.6+50+10+150</f>
        <v>425.6</v>
      </c>
      <c r="J29" s="118"/>
      <c r="K29" s="118"/>
      <c r="L29" s="118"/>
      <c r="M29" s="118"/>
      <c r="N29" s="118"/>
      <c r="O29" s="118"/>
      <c r="P29" s="118"/>
      <c r="Q29" s="118"/>
    </row>
    <row r="30" spans="1:17" s="79" customFormat="1" ht="25.5" x14ac:dyDescent="0.2">
      <c r="A30" s="89" t="s">
        <v>163</v>
      </c>
      <c r="B30" s="89">
        <v>900</v>
      </c>
      <c r="C30" s="77" t="s">
        <v>12</v>
      </c>
      <c r="D30" s="77" t="s">
        <v>18</v>
      </c>
      <c r="E30" s="77" t="s">
        <v>162</v>
      </c>
      <c r="F30" s="90"/>
      <c r="G30" s="91">
        <f>G31</f>
        <v>300</v>
      </c>
      <c r="H30" s="91">
        <f>H31</f>
        <v>300</v>
      </c>
      <c r="I30" s="91">
        <f>I31</f>
        <v>300</v>
      </c>
    </row>
    <row r="31" spans="1:17" s="79" customFormat="1" ht="25.5" x14ac:dyDescent="0.2">
      <c r="A31" s="28" t="s">
        <v>76</v>
      </c>
      <c r="B31" s="87">
        <v>900</v>
      </c>
      <c r="C31" s="82" t="s">
        <v>12</v>
      </c>
      <c r="D31" s="82" t="s">
        <v>18</v>
      </c>
      <c r="E31" s="82" t="s">
        <v>162</v>
      </c>
      <c r="F31" s="82" t="s">
        <v>68</v>
      </c>
      <c r="G31" s="62">
        <v>300</v>
      </c>
      <c r="H31" s="62">
        <v>300</v>
      </c>
      <c r="I31" s="62">
        <v>300</v>
      </c>
    </row>
    <row r="32" spans="1:17" s="21" customFormat="1" ht="25.5" x14ac:dyDescent="0.2">
      <c r="A32" s="18" t="s">
        <v>343</v>
      </c>
      <c r="B32" s="22">
        <v>900</v>
      </c>
      <c r="C32" s="19" t="s">
        <v>12</v>
      </c>
      <c r="D32" s="19" t="s">
        <v>18</v>
      </c>
      <c r="E32" s="19" t="s">
        <v>146</v>
      </c>
      <c r="F32" s="19"/>
      <c r="G32" s="20">
        <f>G33+G34</f>
        <v>6011.4999999999991</v>
      </c>
      <c r="H32" s="20">
        <f>H33+H34</f>
        <v>5060.5999999999995</v>
      </c>
      <c r="I32" s="20">
        <f>I33+I34</f>
        <v>5060.5999999999995</v>
      </c>
      <c r="J32" s="117"/>
      <c r="K32" s="117"/>
      <c r="L32" s="117"/>
      <c r="M32" s="117"/>
      <c r="N32" s="117"/>
      <c r="O32" s="117"/>
      <c r="P32" s="117"/>
      <c r="Q32" s="117"/>
    </row>
    <row r="33" spans="1:17" s="26" customFormat="1" ht="52.5" customHeight="1" x14ac:dyDescent="0.2">
      <c r="A33" s="30" t="s">
        <v>66</v>
      </c>
      <c r="B33" s="32">
        <v>900</v>
      </c>
      <c r="C33" s="24" t="s">
        <v>12</v>
      </c>
      <c r="D33" s="24" t="s">
        <v>18</v>
      </c>
      <c r="E33" s="19" t="s">
        <v>146</v>
      </c>
      <c r="F33" s="27" t="s">
        <v>67</v>
      </c>
      <c r="G33" s="25">
        <f>3585.9+20+1089+780.9</f>
        <v>5475.7999999999993</v>
      </c>
      <c r="H33" s="25">
        <f>3585.9+20+1089</f>
        <v>4694.8999999999996</v>
      </c>
      <c r="I33" s="25">
        <f>3585.9+20+1089</f>
        <v>4694.8999999999996</v>
      </c>
      <c r="J33" s="118"/>
      <c r="K33" s="118"/>
      <c r="L33" s="118"/>
      <c r="M33" s="118"/>
      <c r="N33" s="118"/>
      <c r="O33" s="118"/>
      <c r="P33" s="118"/>
      <c r="Q33" s="118"/>
    </row>
    <row r="34" spans="1:17" s="26" customFormat="1" ht="25.5" x14ac:dyDescent="0.2">
      <c r="A34" s="28" t="s">
        <v>76</v>
      </c>
      <c r="B34" s="32">
        <v>900</v>
      </c>
      <c r="C34" s="24" t="s">
        <v>12</v>
      </c>
      <c r="D34" s="24" t="s">
        <v>18</v>
      </c>
      <c r="E34" s="19" t="s">
        <v>146</v>
      </c>
      <c r="F34" s="27" t="s">
        <v>68</v>
      </c>
      <c r="G34" s="25">
        <f>20+100+10+35.7+200+70+100</f>
        <v>535.70000000000005</v>
      </c>
      <c r="H34" s="25">
        <f>20+100+10+35.7+200</f>
        <v>365.7</v>
      </c>
      <c r="I34" s="25">
        <f>20+100+10+35.7+200</f>
        <v>365.7</v>
      </c>
      <c r="J34" s="118"/>
      <c r="K34" s="118"/>
      <c r="L34" s="118"/>
      <c r="M34" s="118"/>
      <c r="N34" s="118"/>
      <c r="O34" s="118"/>
      <c r="P34" s="118"/>
      <c r="Q34" s="118"/>
    </row>
    <row r="35" spans="1:17" s="9" customFormat="1" x14ac:dyDescent="0.2">
      <c r="A35" s="11" t="s">
        <v>366</v>
      </c>
      <c r="B35" s="14">
        <v>900</v>
      </c>
      <c r="C35" s="8" t="s">
        <v>12</v>
      </c>
      <c r="D35" s="8" t="s">
        <v>31</v>
      </c>
      <c r="E35" s="8"/>
      <c r="F35" s="8"/>
      <c r="G35" s="4">
        <f>G36</f>
        <v>16.3</v>
      </c>
      <c r="H35" s="4">
        <f t="shared" ref="H35:I36" si="2">H36</f>
        <v>16.899999999999999</v>
      </c>
      <c r="I35" s="4">
        <f t="shared" si="2"/>
        <v>17.5</v>
      </c>
    </row>
    <row r="36" spans="1:17" s="21" customFormat="1" ht="38.25" customHeight="1" x14ac:dyDescent="0.2">
      <c r="A36" s="18" t="s">
        <v>367</v>
      </c>
      <c r="B36" s="22">
        <v>900</v>
      </c>
      <c r="C36" s="19" t="s">
        <v>12</v>
      </c>
      <c r="D36" s="19" t="s">
        <v>31</v>
      </c>
      <c r="E36" s="19" t="s">
        <v>396</v>
      </c>
      <c r="F36" s="19"/>
      <c r="G36" s="20">
        <f>G37</f>
        <v>16.3</v>
      </c>
      <c r="H36" s="20">
        <f t="shared" si="2"/>
        <v>16.899999999999999</v>
      </c>
      <c r="I36" s="20">
        <f t="shared" si="2"/>
        <v>17.5</v>
      </c>
    </row>
    <row r="37" spans="1:17" s="26" customFormat="1" ht="25.5" x14ac:dyDescent="0.2">
      <c r="A37" s="23" t="s">
        <v>135</v>
      </c>
      <c r="B37" s="31">
        <v>900</v>
      </c>
      <c r="C37" s="24" t="s">
        <v>12</v>
      </c>
      <c r="D37" s="24" t="s">
        <v>31</v>
      </c>
      <c r="E37" s="24" t="s">
        <v>396</v>
      </c>
      <c r="F37" s="27" t="s">
        <v>68</v>
      </c>
      <c r="G37" s="25">
        <v>16.3</v>
      </c>
      <c r="H37" s="25">
        <v>16.899999999999999</v>
      </c>
      <c r="I37" s="25">
        <v>17.5</v>
      </c>
    </row>
    <row r="38" spans="1:17" s="9" customFormat="1" x14ac:dyDescent="0.2">
      <c r="A38" s="11" t="s">
        <v>22</v>
      </c>
      <c r="B38" s="14">
        <v>900</v>
      </c>
      <c r="C38" s="8" t="s">
        <v>12</v>
      </c>
      <c r="D38" s="8" t="s">
        <v>21</v>
      </c>
      <c r="E38" s="8"/>
      <c r="F38" s="8"/>
      <c r="G38" s="4">
        <f t="shared" ref="G38:I39" si="3">G39</f>
        <v>1544.1</v>
      </c>
      <c r="H38" s="4">
        <f t="shared" si="3"/>
        <v>2024.1</v>
      </c>
      <c r="I38" s="4">
        <f t="shared" si="3"/>
        <v>57.799999999999955</v>
      </c>
      <c r="J38" s="127"/>
      <c r="K38" s="127"/>
      <c r="L38" s="127"/>
      <c r="M38" s="127"/>
      <c r="N38" s="127"/>
      <c r="O38" s="127"/>
      <c r="P38" s="127"/>
      <c r="Q38" s="127"/>
    </row>
    <row r="39" spans="1:17" s="7" customFormat="1" x14ac:dyDescent="0.2">
      <c r="A39" s="18" t="s">
        <v>285</v>
      </c>
      <c r="B39" s="121">
        <v>900</v>
      </c>
      <c r="C39" s="122" t="s">
        <v>12</v>
      </c>
      <c r="D39" s="122" t="s">
        <v>21</v>
      </c>
      <c r="E39" s="19" t="s">
        <v>287</v>
      </c>
      <c r="F39" s="19"/>
      <c r="G39" s="20">
        <f t="shared" si="3"/>
        <v>1544.1</v>
      </c>
      <c r="H39" s="20">
        <f t="shared" si="3"/>
        <v>2024.1</v>
      </c>
      <c r="I39" s="20">
        <f t="shared" si="3"/>
        <v>57.799999999999955</v>
      </c>
      <c r="J39" s="119"/>
      <c r="K39" s="119"/>
      <c r="L39" s="119"/>
      <c r="M39" s="119"/>
      <c r="N39" s="119"/>
      <c r="O39" s="119"/>
      <c r="P39" s="119"/>
      <c r="Q39" s="119"/>
    </row>
    <row r="40" spans="1:17" s="26" customFormat="1" x14ac:dyDescent="0.2">
      <c r="A40" s="28" t="s">
        <v>72</v>
      </c>
      <c r="B40" s="31">
        <v>900</v>
      </c>
      <c r="C40" s="24" t="s">
        <v>12</v>
      </c>
      <c r="D40" s="24" t="s">
        <v>21</v>
      </c>
      <c r="E40" s="24" t="s">
        <v>287</v>
      </c>
      <c r="F40" s="24" t="s">
        <v>73</v>
      </c>
      <c r="G40" s="25">
        <f>2024.1-480</f>
        <v>1544.1</v>
      </c>
      <c r="H40" s="25">
        <v>2024.1</v>
      </c>
      <c r="I40" s="25">
        <f>2024.1-1966.3</f>
        <v>57.799999999999955</v>
      </c>
      <c r="J40" s="118"/>
      <c r="K40" s="118"/>
      <c r="L40" s="118"/>
      <c r="M40" s="118"/>
      <c r="N40" s="118"/>
      <c r="O40" s="118"/>
      <c r="P40" s="118"/>
      <c r="Q40" s="118"/>
    </row>
    <row r="41" spans="1:17" s="74" customFormat="1" x14ac:dyDescent="0.2">
      <c r="A41" s="70" t="s">
        <v>24</v>
      </c>
      <c r="B41" s="71">
        <v>900</v>
      </c>
      <c r="C41" s="72" t="s">
        <v>12</v>
      </c>
      <c r="D41" s="72" t="s">
        <v>61</v>
      </c>
      <c r="E41" s="72"/>
      <c r="F41" s="72"/>
      <c r="G41" s="73">
        <f>G46+G52+G54+G58+G61+G48+G50+G56+G42+G44+S41+G63</f>
        <v>48682.200000000004</v>
      </c>
      <c r="H41" s="73">
        <f t="shared" ref="H41:Q41" si="4">H46+H52+H54+H58+H61+H48+H50+H56+H42+H44+T41+H63</f>
        <v>39726.799999999996</v>
      </c>
      <c r="I41" s="73">
        <f t="shared" si="4"/>
        <v>34961.800000000003</v>
      </c>
      <c r="J41" s="73">
        <f t="shared" si="4"/>
        <v>0</v>
      </c>
      <c r="K41" s="73">
        <f t="shared" si="4"/>
        <v>0</v>
      </c>
      <c r="L41" s="73">
        <f t="shared" si="4"/>
        <v>0</v>
      </c>
      <c r="M41" s="73">
        <f t="shared" si="4"/>
        <v>0</v>
      </c>
      <c r="N41" s="73">
        <f t="shared" si="4"/>
        <v>0</v>
      </c>
      <c r="O41" s="73">
        <f t="shared" si="4"/>
        <v>0</v>
      </c>
      <c r="P41" s="73">
        <f t="shared" si="4"/>
        <v>0</v>
      </c>
      <c r="Q41" s="73">
        <f t="shared" si="4"/>
        <v>0</v>
      </c>
    </row>
    <row r="42" spans="1:17" s="79" customFormat="1" x14ac:dyDescent="0.2">
      <c r="A42" s="75" t="s">
        <v>227</v>
      </c>
      <c r="B42" s="76">
        <v>900</v>
      </c>
      <c r="C42" s="77" t="s">
        <v>12</v>
      </c>
      <c r="D42" s="77" t="s">
        <v>61</v>
      </c>
      <c r="E42" s="77" t="s">
        <v>226</v>
      </c>
      <c r="F42" s="77"/>
      <c r="G42" s="78">
        <f>G43</f>
        <v>3279.2</v>
      </c>
      <c r="H42" s="78">
        <f>H43</f>
        <v>3279.2</v>
      </c>
      <c r="I42" s="78">
        <f>I43</f>
        <v>0</v>
      </c>
    </row>
    <row r="43" spans="1:17" s="84" customFormat="1" x14ac:dyDescent="0.2">
      <c r="A43" s="87" t="s">
        <v>69</v>
      </c>
      <c r="B43" s="86">
        <v>900</v>
      </c>
      <c r="C43" s="82" t="s">
        <v>12</v>
      </c>
      <c r="D43" s="82" t="s">
        <v>61</v>
      </c>
      <c r="E43" s="82" t="s">
        <v>226</v>
      </c>
      <c r="F43" s="82" t="s">
        <v>70</v>
      </c>
      <c r="G43" s="62">
        <v>3279.2</v>
      </c>
      <c r="H43" s="62">
        <v>3279.2</v>
      </c>
      <c r="I43" s="62"/>
    </row>
    <row r="44" spans="1:17" s="21" customFormat="1" x14ac:dyDescent="0.2">
      <c r="A44" s="18" t="s">
        <v>286</v>
      </c>
      <c r="B44" s="22">
        <v>900</v>
      </c>
      <c r="C44" s="19" t="s">
        <v>12</v>
      </c>
      <c r="D44" s="19" t="s">
        <v>61</v>
      </c>
      <c r="E44" s="19" t="s">
        <v>288</v>
      </c>
      <c r="F44" s="19"/>
      <c r="G44" s="20">
        <f>G45</f>
        <v>1109.5</v>
      </c>
      <c r="H44" s="20">
        <f>H45</f>
        <v>1109.5</v>
      </c>
      <c r="I44" s="20">
        <f>I45</f>
        <v>0</v>
      </c>
    </row>
    <row r="45" spans="1:17" s="26" customFormat="1" x14ac:dyDescent="0.2">
      <c r="A45" s="28" t="s">
        <v>72</v>
      </c>
      <c r="B45" s="31">
        <v>900</v>
      </c>
      <c r="C45" s="24" t="s">
        <v>12</v>
      </c>
      <c r="D45" s="24" t="s">
        <v>61</v>
      </c>
      <c r="E45" s="24" t="s">
        <v>288</v>
      </c>
      <c r="F45" s="24" t="s">
        <v>73</v>
      </c>
      <c r="G45" s="25">
        <v>1109.5</v>
      </c>
      <c r="H45" s="25">
        <v>1109.5</v>
      </c>
      <c r="I45" s="25"/>
    </row>
    <row r="46" spans="1:17" s="117" customFormat="1" x14ac:dyDescent="0.2">
      <c r="A46" s="228" t="s">
        <v>147</v>
      </c>
      <c r="B46" s="229">
        <v>900</v>
      </c>
      <c r="C46" s="230" t="s">
        <v>12</v>
      </c>
      <c r="D46" s="230" t="s">
        <v>61</v>
      </c>
      <c r="E46" s="230" t="s">
        <v>148</v>
      </c>
      <c r="F46" s="230"/>
      <c r="G46" s="231">
        <f>G47</f>
        <v>20202.300000000003</v>
      </c>
      <c r="H46" s="231">
        <f>H47</f>
        <v>18565.099999999999</v>
      </c>
      <c r="I46" s="231">
        <f>I47</f>
        <v>18324.2</v>
      </c>
    </row>
    <row r="47" spans="1:17" s="118" customFormat="1" ht="25.5" x14ac:dyDescent="0.2">
      <c r="A47" s="224" t="s">
        <v>141</v>
      </c>
      <c r="B47" s="227">
        <v>900</v>
      </c>
      <c r="C47" s="225" t="s">
        <v>12</v>
      </c>
      <c r="D47" s="225" t="s">
        <v>61</v>
      </c>
      <c r="E47" s="225" t="s">
        <v>148</v>
      </c>
      <c r="F47" s="225" t="s">
        <v>65</v>
      </c>
      <c r="G47" s="226">
        <f>18591.1-26-0.1+390.4+1246.9</f>
        <v>20202.300000000003</v>
      </c>
      <c r="H47" s="226">
        <f>18591.1-26</f>
        <v>18565.099999999999</v>
      </c>
      <c r="I47" s="226">
        <f>18350.2-26</f>
        <v>18324.2</v>
      </c>
    </row>
    <row r="48" spans="1:17" s="79" customFormat="1" ht="25.5" x14ac:dyDescent="0.2">
      <c r="A48" s="89" t="s">
        <v>163</v>
      </c>
      <c r="B48" s="89">
        <v>900</v>
      </c>
      <c r="C48" s="77" t="s">
        <v>12</v>
      </c>
      <c r="D48" s="77" t="s">
        <v>61</v>
      </c>
      <c r="E48" s="77" t="s">
        <v>162</v>
      </c>
      <c r="F48" s="90"/>
      <c r="G48" s="91">
        <f>G49</f>
        <v>91.6</v>
      </c>
      <c r="H48" s="91">
        <f>H49</f>
        <v>91.6</v>
      </c>
      <c r="I48" s="91">
        <f>I49</f>
        <v>91.6</v>
      </c>
    </row>
    <row r="49" spans="1:17" s="79" customFormat="1" ht="25.5" x14ac:dyDescent="0.2">
      <c r="A49" s="87" t="s">
        <v>141</v>
      </c>
      <c r="B49" s="87">
        <v>900</v>
      </c>
      <c r="C49" s="82" t="s">
        <v>12</v>
      </c>
      <c r="D49" s="82" t="s">
        <v>61</v>
      </c>
      <c r="E49" s="82" t="s">
        <v>162</v>
      </c>
      <c r="F49" s="82" t="s">
        <v>65</v>
      </c>
      <c r="G49" s="62">
        <f>15.6+50+26</f>
        <v>91.6</v>
      </c>
      <c r="H49" s="62">
        <f>15.6+50+26</f>
        <v>91.6</v>
      </c>
      <c r="I49" s="62">
        <f>15.6+50+26</f>
        <v>91.6</v>
      </c>
    </row>
    <row r="50" spans="1:17" x14ac:dyDescent="0.2">
      <c r="A50" s="18" t="s">
        <v>172</v>
      </c>
      <c r="B50" s="22">
        <v>900</v>
      </c>
      <c r="C50" s="19" t="s">
        <v>12</v>
      </c>
      <c r="D50" s="19" t="s">
        <v>61</v>
      </c>
      <c r="E50" s="19" t="s">
        <v>171</v>
      </c>
      <c r="F50" s="19"/>
      <c r="G50" s="20">
        <f>G51</f>
        <v>4543</v>
      </c>
      <c r="H50" s="20">
        <f>H51</f>
        <v>0</v>
      </c>
      <c r="I50" s="20">
        <f>I51</f>
        <v>0</v>
      </c>
      <c r="J50" s="117"/>
      <c r="K50" s="117"/>
      <c r="L50" s="117"/>
      <c r="M50" s="117"/>
      <c r="N50" s="117"/>
      <c r="O50" s="117"/>
      <c r="P50" s="117"/>
      <c r="Q50" s="117"/>
    </row>
    <row r="51" spans="1:17" s="26" customFormat="1" ht="25.5" x14ac:dyDescent="0.2">
      <c r="A51" s="28" t="s">
        <v>83</v>
      </c>
      <c r="B51" s="31">
        <v>900</v>
      </c>
      <c r="C51" s="24" t="s">
        <v>12</v>
      </c>
      <c r="D51" s="24" t="s">
        <v>61</v>
      </c>
      <c r="E51" s="24" t="s">
        <v>171</v>
      </c>
      <c r="F51" s="24" t="s">
        <v>71</v>
      </c>
      <c r="G51" s="25">
        <f>4542.9+0.1</f>
        <v>4543</v>
      </c>
      <c r="H51" s="25">
        <v>0</v>
      </c>
      <c r="I51" s="25">
        <v>0</v>
      </c>
      <c r="J51" s="118"/>
      <c r="K51" s="118"/>
      <c r="L51" s="118"/>
      <c r="M51" s="118"/>
      <c r="N51" s="118"/>
      <c r="O51" s="118"/>
      <c r="P51" s="118"/>
      <c r="Q51" s="118"/>
    </row>
    <row r="52" spans="1:17" s="21" customFormat="1" ht="38.25" x14ac:dyDescent="0.2">
      <c r="A52" s="18" t="s">
        <v>149</v>
      </c>
      <c r="B52" s="22">
        <v>900</v>
      </c>
      <c r="C52" s="19" t="s">
        <v>12</v>
      </c>
      <c r="D52" s="19" t="s">
        <v>61</v>
      </c>
      <c r="E52" s="19" t="s">
        <v>86</v>
      </c>
      <c r="F52" s="19"/>
      <c r="G52" s="20">
        <f>G53</f>
        <v>120</v>
      </c>
      <c r="H52" s="20">
        <f>H53</f>
        <v>120</v>
      </c>
      <c r="I52" s="20">
        <f>I53</f>
        <v>120</v>
      </c>
    </row>
    <row r="53" spans="1:17" s="26" customFormat="1" ht="25.5" x14ac:dyDescent="0.2">
      <c r="A53" s="28" t="s">
        <v>141</v>
      </c>
      <c r="B53" s="31">
        <v>900</v>
      </c>
      <c r="C53" s="24" t="s">
        <v>12</v>
      </c>
      <c r="D53" s="24" t="s">
        <v>61</v>
      </c>
      <c r="E53" s="24" t="s">
        <v>86</v>
      </c>
      <c r="F53" s="24" t="s">
        <v>65</v>
      </c>
      <c r="G53" s="25">
        <v>120</v>
      </c>
      <c r="H53" s="25">
        <v>120</v>
      </c>
      <c r="I53" s="25">
        <v>120</v>
      </c>
    </row>
    <row r="54" spans="1:17" s="79" customFormat="1" ht="30.75" customHeight="1" x14ac:dyDescent="0.2">
      <c r="A54" s="89" t="s">
        <v>150</v>
      </c>
      <c r="B54" s="92">
        <v>900</v>
      </c>
      <c r="C54" s="77" t="s">
        <v>12</v>
      </c>
      <c r="D54" s="77" t="s">
        <v>61</v>
      </c>
      <c r="E54" s="77" t="s">
        <v>151</v>
      </c>
      <c r="F54" s="77"/>
      <c r="G54" s="78">
        <f>G55</f>
        <v>966</v>
      </c>
      <c r="H54" s="78">
        <f>H55</f>
        <v>966</v>
      </c>
      <c r="I54" s="78">
        <f>I55</f>
        <v>966</v>
      </c>
    </row>
    <row r="55" spans="1:17" s="84" customFormat="1" x14ac:dyDescent="0.2">
      <c r="A55" s="87" t="s">
        <v>69</v>
      </c>
      <c r="B55" s="86">
        <v>900</v>
      </c>
      <c r="C55" s="82" t="s">
        <v>12</v>
      </c>
      <c r="D55" s="82" t="s">
        <v>61</v>
      </c>
      <c r="E55" s="82" t="s">
        <v>151</v>
      </c>
      <c r="F55" s="82" t="s">
        <v>70</v>
      </c>
      <c r="G55" s="62">
        <v>966</v>
      </c>
      <c r="H55" s="62">
        <v>966</v>
      </c>
      <c r="I55" s="62">
        <v>966</v>
      </c>
    </row>
    <row r="56" spans="1:17" s="128" customFormat="1" ht="25.5" x14ac:dyDescent="0.2">
      <c r="A56" s="255" t="s">
        <v>152</v>
      </c>
      <c r="B56" s="256">
        <v>900</v>
      </c>
      <c r="C56" s="230" t="s">
        <v>12</v>
      </c>
      <c r="D56" s="230" t="s">
        <v>61</v>
      </c>
      <c r="E56" s="249" t="s">
        <v>153</v>
      </c>
      <c r="F56" s="249"/>
      <c r="G56" s="250">
        <f>G57</f>
        <v>6102.4</v>
      </c>
      <c r="H56" s="250">
        <f>H57</f>
        <v>5051</v>
      </c>
      <c r="I56" s="250">
        <f>I57</f>
        <v>4915.6000000000004</v>
      </c>
    </row>
    <row r="57" spans="1:17" s="129" customFormat="1" ht="25.5" x14ac:dyDescent="0.2">
      <c r="A57" s="224" t="s">
        <v>141</v>
      </c>
      <c r="B57" s="227">
        <v>900</v>
      </c>
      <c r="C57" s="225" t="s">
        <v>12</v>
      </c>
      <c r="D57" s="225" t="s">
        <v>61</v>
      </c>
      <c r="E57" s="225" t="s">
        <v>153</v>
      </c>
      <c r="F57" s="225" t="s">
        <v>65</v>
      </c>
      <c r="G57" s="226">
        <f>5051+733.4+318</f>
        <v>6102.4</v>
      </c>
      <c r="H57" s="226">
        <v>5051</v>
      </c>
      <c r="I57" s="226">
        <v>4915.6000000000004</v>
      </c>
    </row>
    <row r="58" spans="1:17" s="21" customFormat="1" ht="102" x14ac:dyDescent="0.2">
      <c r="A58" s="46" t="s">
        <v>155</v>
      </c>
      <c r="B58" s="22">
        <v>900</v>
      </c>
      <c r="C58" s="19" t="s">
        <v>12</v>
      </c>
      <c r="D58" s="19" t="s">
        <v>61</v>
      </c>
      <c r="E58" s="19" t="s">
        <v>154</v>
      </c>
      <c r="F58" s="19"/>
      <c r="G58" s="20">
        <f>G59+G60</f>
        <v>8615.6</v>
      </c>
      <c r="H58" s="20">
        <f>H59+H60</f>
        <v>7326.4000000000005</v>
      </c>
      <c r="I58" s="20">
        <f>I59+I60</f>
        <v>7326.4000000000005</v>
      </c>
      <c r="J58" s="117"/>
      <c r="K58" s="117"/>
      <c r="L58" s="117"/>
      <c r="M58" s="117"/>
      <c r="N58" s="117"/>
      <c r="O58" s="117"/>
      <c r="P58" s="117"/>
      <c r="Q58" s="117"/>
    </row>
    <row r="59" spans="1:17" s="26" customFormat="1" ht="53.25" customHeight="1" x14ac:dyDescent="0.2">
      <c r="A59" s="23" t="s">
        <v>66</v>
      </c>
      <c r="B59" s="31">
        <v>900</v>
      </c>
      <c r="C59" s="24" t="s">
        <v>12</v>
      </c>
      <c r="D59" s="24" t="s">
        <v>61</v>
      </c>
      <c r="E59" s="24" t="s">
        <v>154</v>
      </c>
      <c r="F59" s="27" t="s">
        <v>67</v>
      </c>
      <c r="G59" s="25">
        <f>5545.5+1674.8+1289.2</f>
        <v>8509.5</v>
      </c>
      <c r="H59" s="25">
        <f>5545.5+1674.8</f>
        <v>7220.3</v>
      </c>
      <c r="I59" s="25">
        <f>5545.5+1674.8</f>
        <v>7220.3</v>
      </c>
      <c r="J59" s="118"/>
      <c r="K59" s="118"/>
      <c r="L59" s="118"/>
      <c r="M59" s="118"/>
      <c r="N59" s="118"/>
      <c r="O59" s="118"/>
      <c r="P59" s="118"/>
      <c r="Q59" s="118"/>
    </row>
    <row r="60" spans="1:17" s="84" customFormat="1" ht="25.5" x14ac:dyDescent="0.2">
      <c r="A60" s="87" t="s">
        <v>76</v>
      </c>
      <c r="B60" s="86">
        <v>900</v>
      </c>
      <c r="C60" s="82" t="s">
        <v>12</v>
      </c>
      <c r="D60" s="82" t="s">
        <v>61</v>
      </c>
      <c r="E60" s="82" t="s">
        <v>154</v>
      </c>
      <c r="F60" s="83" t="s">
        <v>68</v>
      </c>
      <c r="G60" s="62">
        <f>58.6+1+8.3+35+3.2</f>
        <v>106.10000000000001</v>
      </c>
      <c r="H60" s="62">
        <f>58.6+1+8.3+35+3.2</f>
        <v>106.10000000000001</v>
      </c>
      <c r="I60" s="62">
        <f>58.6+1+8.3+35+3.2</f>
        <v>106.10000000000001</v>
      </c>
    </row>
    <row r="61" spans="1:17" s="84" customFormat="1" ht="63.75" x14ac:dyDescent="0.2">
      <c r="A61" s="97" t="s">
        <v>156</v>
      </c>
      <c r="B61" s="97">
        <v>900</v>
      </c>
      <c r="C61" s="77" t="s">
        <v>12</v>
      </c>
      <c r="D61" s="77" t="s">
        <v>61</v>
      </c>
      <c r="E61" s="77" t="s">
        <v>157</v>
      </c>
      <c r="F61" s="77"/>
      <c r="G61" s="78">
        <f>G62</f>
        <v>228.8</v>
      </c>
      <c r="H61" s="78">
        <f>H62</f>
        <v>0</v>
      </c>
      <c r="I61" s="78">
        <f>I62</f>
        <v>0</v>
      </c>
    </row>
    <row r="62" spans="1:17" s="79" customFormat="1" ht="25.5" x14ac:dyDescent="0.2">
      <c r="A62" s="87" t="s">
        <v>76</v>
      </c>
      <c r="B62" s="85">
        <v>900</v>
      </c>
      <c r="C62" s="82" t="s">
        <v>12</v>
      </c>
      <c r="D62" s="82" t="s">
        <v>61</v>
      </c>
      <c r="E62" s="82" t="s">
        <v>157</v>
      </c>
      <c r="F62" s="83" t="s">
        <v>68</v>
      </c>
      <c r="G62" s="62">
        <v>228.8</v>
      </c>
      <c r="H62" s="62">
        <v>0</v>
      </c>
      <c r="I62" s="62">
        <v>0</v>
      </c>
    </row>
    <row r="63" spans="1:17" s="117" customFormat="1" ht="38.25" x14ac:dyDescent="0.2">
      <c r="A63" s="228" t="s">
        <v>403</v>
      </c>
      <c r="B63" s="253">
        <v>900</v>
      </c>
      <c r="C63" s="225" t="s">
        <v>12</v>
      </c>
      <c r="D63" s="225" t="s">
        <v>61</v>
      </c>
      <c r="E63" s="225" t="s">
        <v>404</v>
      </c>
      <c r="F63" s="248"/>
      <c r="G63" s="226">
        <f>G64</f>
        <v>3423.8</v>
      </c>
      <c r="H63" s="226">
        <f t="shared" ref="H63:Q63" si="5">H64</f>
        <v>3218</v>
      </c>
      <c r="I63" s="226">
        <f t="shared" si="5"/>
        <v>3218</v>
      </c>
      <c r="J63" s="226">
        <f t="shared" si="5"/>
        <v>0</v>
      </c>
      <c r="K63" s="226">
        <f t="shared" si="5"/>
        <v>0</v>
      </c>
      <c r="L63" s="226">
        <f t="shared" si="5"/>
        <v>0</v>
      </c>
      <c r="M63" s="226">
        <f t="shared" si="5"/>
        <v>0</v>
      </c>
      <c r="N63" s="226">
        <f t="shared" si="5"/>
        <v>0</v>
      </c>
      <c r="O63" s="226">
        <f t="shared" si="5"/>
        <v>0</v>
      </c>
      <c r="P63" s="226">
        <f t="shared" si="5"/>
        <v>0</v>
      </c>
      <c r="Q63" s="226">
        <f t="shared" si="5"/>
        <v>0</v>
      </c>
    </row>
    <row r="64" spans="1:17" s="117" customFormat="1" ht="25.5" x14ac:dyDescent="0.2">
      <c r="A64" s="224" t="s">
        <v>141</v>
      </c>
      <c r="B64" s="253">
        <v>900</v>
      </c>
      <c r="C64" s="225" t="s">
        <v>12</v>
      </c>
      <c r="D64" s="225" t="s">
        <v>61</v>
      </c>
      <c r="E64" s="225" t="s">
        <v>404</v>
      </c>
      <c r="F64" s="248" t="s">
        <v>65</v>
      </c>
      <c r="G64" s="226">
        <f>3218+205.8</f>
        <v>3423.8</v>
      </c>
      <c r="H64" s="226">
        <v>3218</v>
      </c>
      <c r="I64" s="226">
        <v>3218</v>
      </c>
    </row>
    <row r="65" spans="1:17" s="99" customFormat="1" ht="25.5" x14ac:dyDescent="0.2">
      <c r="A65" s="98" t="s">
        <v>5</v>
      </c>
      <c r="B65" s="64">
        <v>900</v>
      </c>
      <c r="C65" s="65" t="s">
        <v>16</v>
      </c>
      <c r="D65" s="65"/>
      <c r="E65" s="65"/>
      <c r="F65" s="65"/>
      <c r="G65" s="68">
        <f>G66</f>
        <v>8233.6999999999989</v>
      </c>
      <c r="H65" s="68">
        <f>H66</f>
        <v>14719.400000000001</v>
      </c>
      <c r="I65" s="68">
        <f>I66</f>
        <v>14661.300000000001</v>
      </c>
    </row>
    <row r="66" spans="1:17" s="9" customFormat="1" ht="38.25" x14ac:dyDescent="0.2">
      <c r="A66" s="11" t="s">
        <v>81</v>
      </c>
      <c r="B66" s="14">
        <v>900</v>
      </c>
      <c r="C66" s="8" t="s">
        <v>16</v>
      </c>
      <c r="D66" s="8" t="s">
        <v>26</v>
      </c>
      <c r="E66" s="8"/>
      <c r="F66" s="8"/>
      <c r="G66" s="4">
        <f>G67+G73+G76+G78+G71</f>
        <v>8233.6999999999989</v>
      </c>
      <c r="H66" s="4">
        <f>H67+H73+H76+H78+H71</f>
        <v>14719.400000000001</v>
      </c>
      <c r="I66" s="4">
        <f>I67+I73+I76+I78+I71</f>
        <v>14661.300000000001</v>
      </c>
      <c r="J66" s="127"/>
      <c r="K66" s="127"/>
      <c r="L66" s="127"/>
      <c r="M66" s="127"/>
      <c r="N66" s="127"/>
      <c r="O66" s="127"/>
      <c r="P66" s="127"/>
      <c r="Q66" s="127"/>
    </row>
    <row r="67" spans="1:17" s="21" customFormat="1" ht="38.25" x14ac:dyDescent="0.2">
      <c r="A67" s="46" t="s">
        <v>159</v>
      </c>
      <c r="B67" s="44">
        <v>900</v>
      </c>
      <c r="C67" s="19" t="s">
        <v>16</v>
      </c>
      <c r="D67" s="19" t="s">
        <v>26</v>
      </c>
      <c r="E67" s="19" t="s">
        <v>158</v>
      </c>
      <c r="F67" s="19"/>
      <c r="G67" s="20">
        <f>G68+G69+G70</f>
        <v>3224.7999999999997</v>
      </c>
      <c r="H67" s="20">
        <f>H68+H69+H70</f>
        <v>0</v>
      </c>
      <c r="I67" s="20">
        <f>I68+I69+I70</f>
        <v>0</v>
      </c>
      <c r="J67" s="117"/>
      <c r="K67" s="117"/>
      <c r="L67" s="117"/>
      <c r="M67" s="117"/>
      <c r="N67" s="117"/>
      <c r="O67" s="117"/>
      <c r="P67" s="117"/>
      <c r="Q67" s="117"/>
    </row>
    <row r="68" spans="1:17" s="26" customFormat="1" ht="51" customHeight="1" x14ac:dyDescent="0.2">
      <c r="A68" s="30" t="s">
        <v>66</v>
      </c>
      <c r="B68" s="32">
        <v>900</v>
      </c>
      <c r="C68" s="24" t="s">
        <v>16</v>
      </c>
      <c r="D68" s="24" t="s">
        <v>26</v>
      </c>
      <c r="E68" s="24" t="s">
        <v>158</v>
      </c>
      <c r="F68" s="27" t="s">
        <v>67</v>
      </c>
      <c r="G68" s="25">
        <f>3373.4+602.8-1317.4</f>
        <v>2658.7999999999997</v>
      </c>
      <c r="H68" s="25">
        <f>3373.4-3373.4</f>
        <v>0</v>
      </c>
      <c r="I68" s="25">
        <f>3373.4-3373.4</f>
        <v>0</v>
      </c>
      <c r="J68" s="118"/>
      <c r="K68" s="118"/>
      <c r="L68" s="118"/>
      <c r="M68" s="118"/>
      <c r="N68" s="118"/>
      <c r="O68" s="118"/>
      <c r="P68" s="118"/>
      <c r="Q68" s="118"/>
    </row>
    <row r="69" spans="1:17" s="26" customFormat="1" ht="25.5" x14ac:dyDescent="0.2">
      <c r="A69" s="28" t="s">
        <v>76</v>
      </c>
      <c r="B69" s="32">
        <v>900</v>
      </c>
      <c r="C69" s="24" t="s">
        <v>16</v>
      </c>
      <c r="D69" s="24" t="s">
        <v>26</v>
      </c>
      <c r="E69" s="24" t="s">
        <v>158</v>
      </c>
      <c r="F69" s="27" t="s">
        <v>68</v>
      </c>
      <c r="G69" s="25">
        <f>91.9+47+256+27+25.2+315-23.2-179.7</f>
        <v>559.19999999999982</v>
      </c>
      <c r="H69" s="25">
        <f>91.9+47+256+27+25.2+315-762.1</f>
        <v>0</v>
      </c>
      <c r="I69" s="25">
        <f>46.5+47+256+27+25.2+315-716.7</f>
        <v>0</v>
      </c>
      <c r="J69" s="118"/>
      <c r="K69" s="118"/>
      <c r="L69" s="118"/>
      <c r="M69" s="118"/>
      <c r="N69" s="118"/>
      <c r="O69" s="118"/>
      <c r="P69" s="118"/>
      <c r="Q69" s="118"/>
    </row>
    <row r="70" spans="1:17" s="26" customFormat="1" x14ac:dyDescent="0.2">
      <c r="A70" s="28" t="s">
        <v>72</v>
      </c>
      <c r="B70" s="31">
        <v>900</v>
      </c>
      <c r="C70" s="24" t="s">
        <v>16</v>
      </c>
      <c r="D70" s="24" t="s">
        <v>26</v>
      </c>
      <c r="E70" s="24" t="s">
        <v>158</v>
      </c>
      <c r="F70" s="24" t="s">
        <v>73</v>
      </c>
      <c r="G70" s="25">
        <f>9-2.2</f>
        <v>6.8</v>
      </c>
      <c r="H70" s="25">
        <f>9-9</f>
        <v>0</v>
      </c>
      <c r="I70" s="25">
        <f>9-9</f>
        <v>0</v>
      </c>
    </row>
    <row r="71" spans="1:17" s="118" customFormat="1" ht="76.5" x14ac:dyDescent="0.2">
      <c r="A71" s="228" t="s">
        <v>709</v>
      </c>
      <c r="B71" s="227">
        <v>900</v>
      </c>
      <c r="C71" s="225" t="s">
        <v>16</v>
      </c>
      <c r="D71" s="225" t="s">
        <v>26</v>
      </c>
      <c r="E71" s="225" t="s">
        <v>707</v>
      </c>
      <c r="F71" s="225"/>
      <c r="G71" s="226">
        <f>G72</f>
        <v>4817.5</v>
      </c>
      <c r="H71" s="226">
        <f t="shared" ref="H71:I71" si="6">H72</f>
        <v>14551.2</v>
      </c>
      <c r="I71" s="226">
        <f t="shared" si="6"/>
        <v>14493.1</v>
      </c>
    </row>
    <row r="72" spans="1:17" s="118" customFormat="1" ht="25.5" x14ac:dyDescent="0.2">
      <c r="A72" s="224" t="s">
        <v>141</v>
      </c>
      <c r="B72" s="227">
        <v>900</v>
      </c>
      <c r="C72" s="225" t="s">
        <v>16</v>
      </c>
      <c r="D72" s="225" t="s">
        <v>26</v>
      </c>
      <c r="E72" s="225" t="s">
        <v>706</v>
      </c>
      <c r="F72" s="225" t="s">
        <v>65</v>
      </c>
      <c r="G72" s="226">
        <f>4720.2+27.6+69.7</f>
        <v>4817.5</v>
      </c>
      <c r="H72" s="226">
        <v>14551.2</v>
      </c>
      <c r="I72" s="226">
        <v>14493.1</v>
      </c>
    </row>
    <row r="73" spans="1:17" s="12" customFormat="1" ht="25.5" x14ac:dyDescent="0.2">
      <c r="A73" s="17" t="s">
        <v>163</v>
      </c>
      <c r="B73" s="43">
        <v>900</v>
      </c>
      <c r="C73" s="19" t="s">
        <v>16</v>
      </c>
      <c r="D73" s="19" t="s">
        <v>26</v>
      </c>
      <c r="E73" s="19" t="s">
        <v>162</v>
      </c>
      <c r="F73" s="5"/>
      <c r="G73" s="6">
        <f>G74+G75</f>
        <v>24.2</v>
      </c>
      <c r="H73" s="6">
        <f t="shared" ref="H73:I73" si="7">H74+H75</f>
        <v>1</v>
      </c>
      <c r="I73" s="6">
        <f t="shared" si="7"/>
        <v>1</v>
      </c>
    </row>
    <row r="74" spans="1:17" s="26" customFormat="1" ht="25.5" x14ac:dyDescent="0.2">
      <c r="A74" s="28" t="s">
        <v>76</v>
      </c>
      <c r="B74" s="32">
        <v>900</v>
      </c>
      <c r="C74" s="24" t="s">
        <v>16</v>
      </c>
      <c r="D74" s="24" t="s">
        <v>26</v>
      </c>
      <c r="E74" s="24" t="s">
        <v>162</v>
      </c>
      <c r="F74" s="27" t="s">
        <v>68</v>
      </c>
      <c r="G74" s="25">
        <f>1+23.2</f>
        <v>24.2</v>
      </c>
      <c r="H74" s="25">
        <f>1-1</f>
        <v>0</v>
      </c>
      <c r="I74" s="25">
        <f>1-1</f>
        <v>0</v>
      </c>
      <c r="J74" s="118"/>
      <c r="K74" s="118"/>
      <c r="L74" s="118"/>
      <c r="M74" s="118"/>
      <c r="N74" s="118"/>
      <c r="O74" s="118"/>
      <c r="P74" s="118"/>
      <c r="Q74" s="118"/>
    </row>
    <row r="75" spans="1:17" s="26" customFormat="1" ht="25.5" x14ac:dyDescent="0.2">
      <c r="A75" s="28" t="s">
        <v>141</v>
      </c>
      <c r="B75" s="32">
        <v>900</v>
      </c>
      <c r="C75" s="24" t="s">
        <v>16</v>
      </c>
      <c r="D75" s="24" t="s">
        <v>26</v>
      </c>
      <c r="E75" s="24" t="s">
        <v>162</v>
      </c>
      <c r="F75" s="27" t="s">
        <v>65</v>
      </c>
      <c r="G75" s="25"/>
      <c r="H75" s="25">
        <f>1</f>
        <v>1</v>
      </c>
      <c r="I75" s="25">
        <f>1</f>
        <v>1</v>
      </c>
      <c r="J75" s="118"/>
      <c r="K75" s="118"/>
      <c r="L75" s="118"/>
      <c r="M75" s="118"/>
      <c r="N75" s="118"/>
      <c r="O75" s="118"/>
      <c r="P75" s="118"/>
      <c r="Q75" s="118"/>
    </row>
    <row r="76" spans="1:17" s="95" customFormat="1" x14ac:dyDescent="0.2">
      <c r="A76" s="89" t="s">
        <v>164</v>
      </c>
      <c r="B76" s="92">
        <v>900</v>
      </c>
      <c r="C76" s="77" t="s">
        <v>16</v>
      </c>
      <c r="D76" s="77" t="s">
        <v>26</v>
      </c>
      <c r="E76" s="77" t="s">
        <v>165</v>
      </c>
      <c r="F76" s="90"/>
      <c r="G76" s="91">
        <f>G77</f>
        <v>132.19999999999999</v>
      </c>
      <c r="H76" s="91">
        <f t="shared" ref="H76:I76" si="8">H77</f>
        <v>132.19999999999999</v>
      </c>
      <c r="I76" s="91">
        <f t="shared" si="8"/>
        <v>132.19999999999999</v>
      </c>
    </row>
    <row r="77" spans="1:17" s="26" customFormat="1" ht="25.5" x14ac:dyDescent="0.2">
      <c r="A77" s="28" t="s">
        <v>141</v>
      </c>
      <c r="B77" s="32">
        <v>900</v>
      </c>
      <c r="C77" s="24" t="s">
        <v>16</v>
      </c>
      <c r="D77" s="24" t="s">
        <v>26</v>
      </c>
      <c r="E77" s="24" t="s">
        <v>165</v>
      </c>
      <c r="F77" s="27" t="s">
        <v>65</v>
      </c>
      <c r="G77" s="25">
        <v>132.19999999999999</v>
      </c>
      <c r="H77" s="25">
        <v>132.19999999999999</v>
      </c>
      <c r="I77" s="25">
        <v>132.19999999999999</v>
      </c>
      <c r="J77" s="118"/>
      <c r="K77" s="118"/>
      <c r="L77" s="118"/>
      <c r="M77" s="118"/>
      <c r="N77" s="118"/>
      <c r="O77" s="118"/>
      <c r="P77" s="118"/>
      <c r="Q77" s="118"/>
    </row>
    <row r="78" spans="1:17" s="12" customFormat="1" ht="25.5" x14ac:dyDescent="0.2">
      <c r="A78" s="17" t="s">
        <v>418</v>
      </c>
      <c r="B78" s="43">
        <v>900</v>
      </c>
      <c r="C78" s="19" t="s">
        <v>16</v>
      </c>
      <c r="D78" s="19" t="s">
        <v>26</v>
      </c>
      <c r="E78" s="19" t="s">
        <v>419</v>
      </c>
      <c r="F78" s="5"/>
      <c r="G78" s="6">
        <f>G79+G80</f>
        <v>35</v>
      </c>
      <c r="H78" s="6">
        <f t="shared" ref="H78:I78" si="9">H79+H80</f>
        <v>35</v>
      </c>
      <c r="I78" s="6">
        <f t="shared" si="9"/>
        <v>35</v>
      </c>
    </row>
    <row r="79" spans="1:17" s="26" customFormat="1" x14ac:dyDescent="0.2">
      <c r="A79" s="28" t="s">
        <v>69</v>
      </c>
      <c r="B79" s="32">
        <v>900</v>
      </c>
      <c r="C79" s="24" t="s">
        <v>16</v>
      </c>
      <c r="D79" s="24" t="s">
        <v>26</v>
      </c>
      <c r="E79" s="19" t="s">
        <v>419</v>
      </c>
      <c r="F79" s="27" t="s">
        <v>70</v>
      </c>
      <c r="G79" s="25">
        <v>35</v>
      </c>
      <c r="H79" s="25">
        <f>35-35</f>
        <v>0</v>
      </c>
      <c r="I79" s="25">
        <f>35-35</f>
        <v>0</v>
      </c>
    </row>
    <row r="80" spans="1:17" s="26" customFormat="1" ht="25.5" x14ac:dyDescent="0.2">
      <c r="A80" s="28" t="s">
        <v>141</v>
      </c>
      <c r="B80" s="32">
        <v>901</v>
      </c>
      <c r="C80" s="24" t="s">
        <v>16</v>
      </c>
      <c r="D80" s="24" t="s">
        <v>26</v>
      </c>
      <c r="E80" s="19" t="s">
        <v>419</v>
      </c>
      <c r="F80" s="27" t="s">
        <v>65</v>
      </c>
      <c r="G80" s="25"/>
      <c r="H80" s="25">
        <v>35</v>
      </c>
      <c r="I80" s="25">
        <v>35</v>
      </c>
    </row>
    <row r="81" spans="1:17" s="99" customFormat="1" x14ac:dyDescent="0.2">
      <c r="A81" s="98" t="s">
        <v>27</v>
      </c>
      <c r="B81" s="101">
        <v>900</v>
      </c>
      <c r="C81" s="65" t="s">
        <v>18</v>
      </c>
      <c r="D81" s="65"/>
      <c r="E81" s="65"/>
      <c r="F81" s="102"/>
      <c r="G81" s="68">
        <f>G82</f>
        <v>655</v>
      </c>
      <c r="H81" s="68">
        <f t="shared" ref="H81:I81" si="10">H82</f>
        <v>0</v>
      </c>
      <c r="I81" s="68">
        <f t="shared" si="10"/>
        <v>0</v>
      </c>
    </row>
    <row r="82" spans="1:17" s="74" customFormat="1" x14ac:dyDescent="0.2">
      <c r="A82" s="70" t="s">
        <v>29</v>
      </c>
      <c r="B82" s="71">
        <v>900</v>
      </c>
      <c r="C82" s="72" t="s">
        <v>18</v>
      </c>
      <c r="D82" s="72" t="s">
        <v>23</v>
      </c>
      <c r="E82" s="72"/>
      <c r="F82" s="72"/>
      <c r="G82" s="73">
        <f>G83+G85</f>
        <v>655</v>
      </c>
      <c r="H82" s="73">
        <f t="shared" ref="H82:I82" si="11">H83+H85</f>
        <v>0</v>
      </c>
      <c r="I82" s="73">
        <f t="shared" si="11"/>
        <v>0</v>
      </c>
    </row>
    <row r="83" spans="1:17" s="21" customFormat="1" ht="25.5" x14ac:dyDescent="0.2">
      <c r="A83" s="18" t="s">
        <v>167</v>
      </c>
      <c r="B83" s="22">
        <v>900</v>
      </c>
      <c r="C83" s="19" t="s">
        <v>18</v>
      </c>
      <c r="D83" s="19" t="s">
        <v>23</v>
      </c>
      <c r="E83" s="19" t="s">
        <v>166</v>
      </c>
      <c r="F83" s="19"/>
      <c r="G83" s="20">
        <f>G84</f>
        <v>175</v>
      </c>
      <c r="H83" s="20">
        <f>H84</f>
        <v>0</v>
      </c>
      <c r="I83" s="20">
        <f>I84</f>
        <v>0</v>
      </c>
    </row>
    <row r="84" spans="1:17" s="26" customFormat="1" ht="25.5" x14ac:dyDescent="0.2">
      <c r="A84" s="28" t="s">
        <v>76</v>
      </c>
      <c r="B84" s="31">
        <v>900</v>
      </c>
      <c r="C84" s="24" t="s">
        <v>18</v>
      </c>
      <c r="D84" s="24" t="s">
        <v>23</v>
      </c>
      <c r="E84" s="24" t="s">
        <v>166</v>
      </c>
      <c r="F84" s="24" t="s">
        <v>68</v>
      </c>
      <c r="G84" s="25">
        <v>175</v>
      </c>
      <c r="H84" s="62">
        <v>0</v>
      </c>
      <c r="I84" s="62">
        <v>0</v>
      </c>
    </row>
    <row r="85" spans="1:17" s="26" customFormat="1" ht="25.5" x14ac:dyDescent="0.2">
      <c r="A85" s="18" t="s">
        <v>710</v>
      </c>
      <c r="B85" s="31">
        <v>900</v>
      </c>
      <c r="C85" s="24" t="s">
        <v>18</v>
      </c>
      <c r="D85" s="24" t="s">
        <v>23</v>
      </c>
      <c r="E85" s="24" t="s">
        <v>711</v>
      </c>
      <c r="F85" s="24"/>
      <c r="G85" s="25">
        <f>G86</f>
        <v>480</v>
      </c>
      <c r="H85" s="25">
        <f t="shared" ref="H85:I85" si="12">H86</f>
        <v>0</v>
      </c>
      <c r="I85" s="25">
        <f t="shared" si="12"/>
        <v>0</v>
      </c>
      <c r="J85" s="118"/>
      <c r="K85" s="118"/>
      <c r="L85" s="118"/>
      <c r="M85" s="118"/>
      <c r="N85" s="118"/>
      <c r="O85" s="118"/>
      <c r="P85" s="118"/>
      <c r="Q85" s="118"/>
    </row>
    <row r="86" spans="1:17" s="26" customFormat="1" x14ac:dyDescent="0.2">
      <c r="A86" s="28" t="s">
        <v>72</v>
      </c>
      <c r="B86" s="31">
        <v>900</v>
      </c>
      <c r="C86" s="24" t="s">
        <v>18</v>
      </c>
      <c r="D86" s="24" t="s">
        <v>23</v>
      </c>
      <c r="E86" s="24" t="s">
        <v>711</v>
      </c>
      <c r="F86" s="24" t="s">
        <v>73</v>
      </c>
      <c r="G86" s="25">
        <v>480</v>
      </c>
      <c r="H86" s="25">
        <v>0</v>
      </c>
      <c r="I86" s="25">
        <v>0</v>
      </c>
      <c r="J86" s="118"/>
      <c r="K86" s="118"/>
      <c r="L86" s="118"/>
      <c r="M86" s="118"/>
      <c r="N86" s="118"/>
      <c r="O86" s="118"/>
      <c r="P86" s="118"/>
      <c r="Q86" s="118"/>
    </row>
    <row r="87" spans="1:17" s="99" customFormat="1" x14ac:dyDescent="0.2">
      <c r="A87" s="98" t="s">
        <v>30</v>
      </c>
      <c r="B87" s="64">
        <v>900</v>
      </c>
      <c r="C87" s="65" t="s">
        <v>31</v>
      </c>
      <c r="D87" s="65"/>
      <c r="E87" s="65"/>
      <c r="F87" s="65"/>
      <c r="G87" s="68">
        <f>G88</f>
        <v>146109.25690000001</v>
      </c>
      <c r="H87" s="68">
        <f t="shared" ref="H87:I87" si="13">H88</f>
        <v>26831.921740000002</v>
      </c>
      <c r="I87" s="68">
        <f t="shared" si="13"/>
        <v>100785.364</v>
      </c>
    </row>
    <row r="88" spans="1:17" s="74" customFormat="1" x14ac:dyDescent="0.2">
      <c r="A88" s="70" t="s">
        <v>32</v>
      </c>
      <c r="B88" s="71">
        <v>900</v>
      </c>
      <c r="C88" s="72" t="s">
        <v>31</v>
      </c>
      <c r="D88" s="72" t="s">
        <v>12</v>
      </c>
      <c r="E88" s="72"/>
      <c r="F88" s="72"/>
      <c r="G88" s="73">
        <f>G95+G98+G93+G91+G89</f>
        <v>146109.25690000001</v>
      </c>
      <c r="H88" s="73">
        <f t="shared" ref="H88:I88" si="14">H95+H98+H93+H91+H89</f>
        <v>26831.921740000002</v>
      </c>
      <c r="I88" s="73">
        <f t="shared" si="14"/>
        <v>100785.364</v>
      </c>
    </row>
    <row r="89" spans="1:17" s="117" customFormat="1" ht="63.75" x14ac:dyDescent="0.2">
      <c r="A89" s="228" t="s">
        <v>696</v>
      </c>
      <c r="B89" s="229">
        <v>900</v>
      </c>
      <c r="C89" s="230" t="s">
        <v>31</v>
      </c>
      <c r="D89" s="230" t="s">
        <v>12</v>
      </c>
      <c r="E89" s="230" t="s">
        <v>719</v>
      </c>
      <c r="F89" s="230"/>
      <c r="G89" s="231">
        <f>G90</f>
        <v>110562.23375000001</v>
      </c>
      <c r="H89" s="231">
        <f t="shared" ref="H89:I91" si="15">H90</f>
        <v>0</v>
      </c>
      <c r="I89" s="231">
        <f t="shared" si="15"/>
        <v>0</v>
      </c>
    </row>
    <row r="90" spans="1:17" s="117" customFormat="1" ht="25.5" x14ac:dyDescent="0.2">
      <c r="A90" s="224" t="s">
        <v>83</v>
      </c>
      <c r="B90" s="229">
        <v>900</v>
      </c>
      <c r="C90" s="230" t="s">
        <v>31</v>
      </c>
      <c r="D90" s="230" t="s">
        <v>12</v>
      </c>
      <c r="E90" s="230" t="s">
        <v>719</v>
      </c>
      <c r="F90" s="230" t="s">
        <v>71</v>
      </c>
      <c r="G90" s="231">
        <f>33168.669+77393.56475</f>
        <v>110562.23375000001</v>
      </c>
      <c r="H90" s="231">
        <v>0</v>
      </c>
      <c r="I90" s="231">
        <v>0</v>
      </c>
    </row>
    <row r="91" spans="1:17" s="79" customFormat="1" ht="63.75" x14ac:dyDescent="0.2">
      <c r="A91" s="75" t="s">
        <v>696</v>
      </c>
      <c r="B91" s="76">
        <v>900</v>
      </c>
      <c r="C91" s="77" t="s">
        <v>31</v>
      </c>
      <c r="D91" s="77" t="s">
        <v>12</v>
      </c>
      <c r="E91" s="77" t="s">
        <v>695</v>
      </c>
      <c r="F91" s="77"/>
      <c r="G91" s="78">
        <f>G92</f>
        <v>5675.6231500000004</v>
      </c>
      <c r="H91" s="78">
        <f t="shared" si="15"/>
        <v>3946.9217400000002</v>
      </c>
      <c r="I91" s="78">
        <f t="shared" si="15"/>
        <v>100785.364</v>
      </c>
    </row>
    <row r="92" spans="1:17" s="79" customFormat="1" ht="25.5" x14ac:dyDescent="0.2">
      <c r="A92" s="87" t="s">
        <v>83</v>
      </c>
      <c r="B92" s="76">
        <v>900</v>
      </c>
      <c r="C92" s="77" t="s">
        <v>31</v>
      </c>
      <c r="D92" s="77" t="s">
        <v>12</v>
      </c>
      <c r="E92" s="77" t="s">
        <v>695</v>
      </c>
      <c r="F92" s="77" t="s">
        <v>71</v>
      </c>
      <c r="G92" s="78">
        <v>5675.6231500000004</v>
      </c>
      <c r="H92" s="78">
        <v>3946.9217400000002</v>
      </c>
      <c r="I92" s="78">
        <v>100785.364</v>
      </c>
    </row>
    <row r="93" spans="1:17" s="79" customFormat="1" x14ac:dyDescent="0.2">
      <c r="A93" s="75" t="s">
        <v>400</v>
      </c>
      <c r="B93" s="75">
        <v>900</v>
      </c>
      <c r="C93" s="77" t="s">
        <v>31</v>
      </c>
      <c r="D93" s="77" t="s">
        <v>12</v>
      </c>
      <c r="E93" s="77" t="s">
        <v>401</v>
      </c>
      <c r="F93" s="103"/>
      <c r="G93" s="78">
        <f>G94</f>
        <v>1277</v>
      </c>
      <c r="H93" s="62">
        <v>0</v>
      </c>
      <c r="I93" s="62">
        <v>0</v>
      </c>
    </row>
    <row r="94" spans="1:17" s="84" customFormat="1" ht="25.5" x14ac:dyDescent="0.2">
      <c r="A94" s="87" t="s">
        <v>83</v>
      </c>
      <c r="B94" s="87">
        <v>900</v>
      </c>
      <c r="C94" s="82" t="s">
        <v>31</v>
      </c>
      <c r="D94" s="82" t="s">
        <v>12</v>
      </c>
      <c r="E94" s="82" t="s">
        <v>401</v>
      </c>
      <c r="F94" s="83" t="s">
        <v>71</v>
      </c>
      <c r="G94" s="62">
        <v>1277</v>
      </c>
      <c r="H94" s="62">
        <v>0</v>
      </c>
      <c r="I94" s="62">
        <v>0</v>
      </c>
    </row>
    <row r="95" spans="1:17" x14ac:dyDescent="0.2">
      <c r="A95" s="18" t="s">
        <v>172</v>
      </c>
      <c r="B95" s="22">
        <v>900</v>
      </c>
      <c r="C95" s="19" t="s">
        <v>31</v>
      </c>
      <c r="D95" s="19" t="s">
        <v>12</v>
      </c>
      <c r="E95" s="19" t="s">
        <v>171</v>
      </c>
      <c r="F95" s="19"/>
      <c r="G95" s="20">
        <f>G96+G97</f>
        <v>17330.900000000001</v>
      </c>
      <c r="H95" s="20">
        <f t="shared" ref="H95:I95" si="16">H96+H97</f>
        <v>22885</v>
      </c>
      <c r="I95" s="20">
        <f t="shared" si="16"/>
        <v>0</v>
      </c>
      <c r="J95" s="117"/>
      <c r="K95" s="117"/>
      <c r="L95" s="117"/>
      <c r="M95" s="117"/>
      <c r="N95" s="117"/>
      <c r="O95" s="117"/>
      <c r="P95" s="117"/>
      <c r="Q95" s="117"/>
    </row>
    <row r="96" spans="1:17" s="26" customFormat="1" ht="25.5" x14ac:dyDescent="0.2">
      <c r="A96" s="28" t="s">
        <v>76</v>
      </c>
      <c r="B96" s="32">
        <v>900</v>
      </c>
      <c r="C96" s="24" t="s">
        <v>31</v>
      </c>
      <c r="D96" s="24" t="s">
        <v>12</v>
      </c>
      <c r="E96" s="24" t="s">
        <v>171</v>
      </c>
      <c r="F96" s="27" t="s">
        <v>68</v>
      </c>
      <c r="G96" s="25">
        <f>15180.9-585.5</f>
        <v>14595.4</v>
      </c>
      <c r="H96" s="25">
        <v>0</v>
      </c>
      <c r="I96" s="25">
        <v>0</v>
      </c>
      <c r="J96" s="118"/>
      <c r="K96" s="118"/>
      <c r="L96" s="118"/>
      <c r="M96" s="118"/>
      <c r="N96" s="118"/>
      <c r="O96" s="118"/>
      <c r="P96" s="118"/>
      <c r="Q96" s="118"/>
    </row>
    <row r="97" spans="1:17" s="26" customFormat="1" ht="23.25" customHeight="1" x14ac:dyDescent="0.2">
      <c r="A97" s="28" t="s">
        <v>83</v>
      </c>
      <c r="B97" s="31">
        <v>900</v>
      </c>
      <c r="C97" s="24" t="s">
        <v>31</v>
      </c>
      <c r="D97" s="24" t="s">
        <v>12</v>
      </c>
      <c r="E97" s="24" t="s">
        <v>171</v>
      </c>
      <c r="F97" s="24" t="s">
        <v>71</v>
      </c>
      <c r="G97" s="25">
        <f>400+1750+585.5</f>
        <v>2735.5</v>
      </c>
      <c r="H97" s="25">
        <f>24851.3-1966.3</f>
        <v>22885</v>
      </c>
      <c r="I97" s="25">
        <v>0</v>
      </c>
      <c r="J97" s="118"/>
      <c r="K97" s="118"/>
      <c r="L97" s="118"/>
      <c r="M97" s="118"/>
      <c r="N97" s="118"/>
      <c r="O97" s="118"/>
      <c r="P97" s="118"/>
      <c r="Q97" s="118"/>
    </row>
    <row r="98" spans="1:17" s="117" customFormat="1" x14ac:dyDescent="0.2">
      <c r="A98" s="228" t="s">
        <v>174</v>
      </c>
      <c r="B98" s="229">
        <v>900</v>
      </c>
      <c r="C98" s="230" t="s">
        <v>31</v>
      </c>
      <c r="D98" s="230" t="s">
        <v>12</v>
      </c>
      <c r="E98" s="225" t="s">
        <v>173</v>
      </c>
      <c r="F98" s="230"/>
      <c r="G98" s="231">
        <f>G100+G99</f>
        <v>11263.5</v>
      </c>
      <c r="H98" s="231">
        <f t="shared" ref="H98:I98" si="17">H100+H99</f>
        <v>0</v>
      </c>
      <c r="I98" s="231">
        <f t="shared" si="17"/>
        <v>0</v>
      </c>
    </row>
    <row r="99" spans="1:17" s="118" customFormat="1" ht="25.5" x14ac:dyDescent="0.2">
      <c r="A99" s="224" t="s">
        <v>76</v>
      </c>
      <c r="B99" s="229">
        <v>900</v>
      </c>
      <c r="C99" s="230" t="s">
        <v>31</v>
      </c>
      <c r="D99" s="230" t="s">
        <v>12</v>
      </c>
      <c r="E99" s="225" t="s">
        <v>173</v>
      </c>
      <c r="F99" s="225" t="s">
        <v>68</v>
      </c>
      <c r="G99" s="226">
        <f>10900-1300</f>
        <v>9600</v>
      </c>
      <c r="H99" s="226">
        <v>0</v>
      </c>
      <c r="I99" s="226">
        <v>0</v>
      </c>
    </row>
    <row r="100" spans="1:17" s="118" customFormat="1" ht="25.5" x14ac:dyDescent="0.2">
      <c r="A100" s="224" t="s">
        <v>83</v>
      </c>
      <c r="B100" s="229">
        <v>900</v>
      </c>
      <c r="C100" s="230" t="s">
        <v>31</v>
      </c>
      <c r="D100" s="230" t="s">
        <v>12</v>
      </c>
      <c r="E100" s="225" t="s">
        <v>173</v>
      </c>
      <c r="F100" s="225" t="s">
        <v>71</v>
      </c>
      <c r="G100" s="226">
        <f>363.5+1300</f>
        <v>1663.5</v>
      </c>
      <c r="H100" s="226">
        <v>0</v>
      </c>
      <c r="I100" s="226">
        <v>0</v>
      </c>
    </row>
    <row r="101" spans="1:17" s="3" customFormat="1" x14ac:dyDescent="0.2">
      <c r="A101" s="13" t="s">
        <v>37</v>
      </c>
      <c r="B101" s="42">
        <v>900</v>
      </c>
      <c r="C101" s="1" t="s">
        <v>19</v>
      </c>
      <c r="D101" s="1"/>
      <c r="E101" s="1"/>
      <c r="F101" s="1"/>
      <c r="G101" s="2">
        <f t="shared" ref="G101:I103" si="18">G102</f>
        <v>216.7</v>
      </c>
      <c r="H101" s="2">
        <f t="shared" si="18"/>
        <v>116.7</v>
      </c>
      <c r="I101" s="2">
        <f t="shared" si="18"/>
        <v>116.7</v>
      </c>
    </row>
    <row r="102" spans="1:17" s="9" customFormat="1" x14ac:dyDescent="0.2">
      <c r="A102" s="11" t="s">
        <v>40</v>
      </c>
      <c r="B102" s="14">
        <v>900</v>
      </c>
      <c r="C102" s="8" t="s">
        <v>19</v>
      </c>
      <c r="D102" s="8" t="s">
        <v>19</v>
      </c>
      <c r="E102" s="8"/>
      <c r="F102" s="8"/>
      <c r="G102" s="4">
        <f t="shared" si="18"/>
        <v>216.7</v>
      </c>
      <c r="H102" s="4">
        <f t="shared" si="18"/>
        <v>116.7</v>
      </c>
      <c r="I102" s="4">
        <f t="shared" si="18"/>
        <v>116.7</v>
      </c>
      <c r="J102" s="127"/>
      <c r="K102" s="127"/>
      <c r="L102" s="127"/>
      <c r="M102" s="127"/>
      <c r="N102" s="127"/>
      <c r="O102" s="127"/>
      <c r="P102" s="127"/>
      <c r="Q102" s="127"/>
    </row>
    <row r="103" spans="1:17" s="117" customFormat="1" ht="25.5" x14ac:dyDescent="0.2">
      <c r="A103" s="228" t="s">
        <v>176</v>
      </c>
      <c r="B103" s="229">
        <v>900</v>
      </c>
      <c r="C103" s="230" t="s">
        <v>19</v>
      </c>
      <c r="D103" s="230" t="s">
        <v>19</v>
      </c>
      <c r="E103" s="230" t="s">
        <v>175</v>
      </c>
      <c r="F103" s="230"/>
      <c r="G103" s="231">
        <f>G104</f>
        <v>216.7</v>
      </c>
      <c r="H103" s="231">
        <f t="shared" si="18"/>
        <v>116.7</v>
      </c>
      <c r="I103" s="231">
        <f t="shared" si="18"/>
        <v>116.7</v>
      </c>
    </row>
    <row r="104" spans="1:17" s="118" customFormat="1" ht="25.5" x14ac:dyDescent="0.2">
      <c r="A104" s="224" t="s">
        <v>76</v>
      </c>
      <c r="B104" s="227">
        <v>900</v>
      </c>
      <c r="C104" s="225" t="s">
        <v>19</v>
      </c>
      <c r="D104" s="225" t="s">
        <v>19</v>
      </c>
      <c r="E104" s="225" t="s">
        <v>175</v>
      </c>
      <c r="F104" s="248" t="s">
        <v>68</v>
      </c>
      <c r="G104" s="226">
        <f>116.7+50+50</f>
        <v>216.7</v>
      </c>
      <c r="H104" s="226">
        <v>116.7</v>
      </c>
      <c r="I104" s="226">
        <v>116.7</v>
      </c>
    </row>
    <row r="105" spans="1:17" s="99" customFormat="1" x14ac:dyDescent="0.2">
      <c r="A105" s="98" t="s">
        <v>52</v>
      </c>
      <c r="B105" s="64">
        <v>900</v>
      </c>
      <c r="C105" s="65" t="s">
        <v>51</v>
      </c>
      <c r="D105" s="65"/>
      <c r="E105" s="65"/>
      <c r="F105" s="65"/>
      <c r="G105" s="68">
        <f>G106+G121</f>
        <v>302984.55563000002</v>
      </c>
      <c r="H105" s="68">
        <f>H106+H121</f>
        <v>367752.2</v>
      </c>
      <c r="I105" s="68">
        <f>I106+I121</f>
        <v>298096</v>
      </c>
    </row>
    <row r="106" spans="1:17" s="9" customFormat="1" x14ac:dyDescent="0.2">
      <c r="A106" s="11" t="s">
        <v>55</v>
      </c>
      <c r="B106" s="14">
        <v>900</v>
      </c>
      <c r="C106" s="8" t="s">
        <v>51</v>
      </c>
      <c r="D106" s="8" t="s">
        <v>16</v>
      </c>
      <c r="E106" s="8"/>
      <c r="F106" s="8"/>
      <c r="G106" s="4">
        <f>G111+G117+G107+G115+G119+G113+G109</f>
        <v>302750.35563000001</v>
      </c>
      <c r="H106" s="4">
        <f>H111+H117+H107+H115+H119+H113+H109</f>
        <v>367638</v>
      </c>
      <c r="I106" s="4">
        <f>I111+I117+I107+I115+I119+I113+I109</f>
        <v>297981.8</v>
      </c>
      <c r="J106" s="127"/>
      <c r="K106" s="127"/>
      <c r="L106" s="127"/>
      <c r="M106" s="127"/>
      <c r="N106" s="127"/>
      <c r="O106" s="127"/>
      <c r="P106" s="127"/>
      <c r="Q106" s="127"/>
    </row>
    <row r="107" spans="1:17" ht="52.5" customHeight="1" x14ac:dyDescent="0.2">
      <c r="A107" s="18" t="s">
        <v>373</v>
      </c>
      <c r="B107" s="18">
        <v>900</v>
      </c>
      <c r="C107" s="19" t="s">
        <v>51</v>
      </c>
      <c r="D107" s="19" t="s">
        <v>16</v>
      </c>
      <c r="E107" s="19" t="s">
        <v>372</v>
      </c>
      <c r="F107" s="19"/>
      <c r="G107" s="20">
        <f>G108</f>
        <v>1329.3999999999999</v>
      </c>
      <c r="H107" s="20">
        <f>H108</f>
        <v>1330</v>
      </c>
      <c r="I107" s="20">
        <f>I108</f>
        <v>701.7</v>
      </c>
      <c r="J107" s="117"/>
      <c r="K107" s="117"/>
      <c r="L107" s="117"/>
      <c r="M107" s="117"/>
      <c r="N107" s="117"/>
      <c r="O107" s="117"/>
      <c r="P107" s="117"/>
      <c r="Q107" s="117"/>
    </row>
    <row r="108" spans="1:17" ht="25.5" x14ac:dyDescent="0.2">
      <c r="A108" s="28" t="s">
        <v>83</v>
      </c>
      <c r="B108" s="28">
        <v>900</v>
      </c>
      <c r="C108" s="24" t="s">
        <v>51</v>
      </c>
      <c r="D108" s="24" t="s">
        <v>16</v>
      </c>
      <c r="E108" s="24" t="s">
        <v>372</v>
      </c>
      <c r="F108" s="24" t="s">
        <v>71</v>
      </c>
      <c r="G108" s="25">
        <f>1495.3-166+0.1</f>
        <v>1329.3999999999999</v>
      </c>
      <c r="H108" s="25">
        <f>1508.9-178.9</f>
        <v>1330</v>
      </c>
      <c r="I108" s="25">
        <f>897-195.3</f>
        <v>701.7</v>
      </c>
      <c r="J108" s="117"/>
      <c r="K108" s="117"/>
      <c r="L108" s="117"/>
      <c r="M108" s="117"/>
      <c r="N108" s="117"/>
      <c r="O108" s="117"/>
      <c r="P108" s="117"/>
      <c r="Q108" s="117"/>
    </row>
    <row r="109" spans="1:17" s="117" customFormat="1" ht="89.25" x14ac:dyDescent="0.2">
      <c r="A109" s="228" t="s">
        <v>414</v>
      </c>
      <c r="B109" s="229">
        <v>900</v>
      </c>
      <c r="C109" s="230" t="s">
        <v>51</v>
      </c>
      <c r="D109" s="230" t="s">
        <v>16</v>
      </c>
      <c r="E109" s="230" t="s">
        <v>413</v>
      </c>
      <c r="F109" s="230"/>
      <c r="G109" s="231">
        <f>G110</f>
        <v>2515.8000000000002</v>
      </c>
      <c r="H109" s="231">
        <f t="shared" ref="H109:I109" si="19">H110</f>
        <v>0</v>
      </c>
      <c r="I109" s="231">
        <f t="shared" si="19"/>
        <v>0</v>
      </c>
    </row>
    <row r="110" spans="1:17" s="117" customFormat="1" x14ac:dyDescent="0.2">
      <c r="A110" s="233" t="s">
        <v>69</v>
      </c>
      <c r="B110" s="224">
        <v>900</v>
      </c>
      <c r="C110" s="225" t="s">
        <v>51</v>
      </c>
      <c r="D110" s="225" t="s">
        <v>16</v>
      </c>
      <c r="E110" s="225" t="s">
        <v>413</v>
      </c>
      <c r="F110" s="225" t="s">
        <v>70</v>
      </c>
      <c r="G110" s="231">
        <f>1454.4+24.4+1037</f>
        <v>2515.8000000000002</v>
      </c>
      <c r="H110" s="226">
        <v>0</v>
      </c>
      <c r="I110" s="226">
        <v>0</v>
      </c>
    </row>
    <row r="111" spans="1:17" ht="63.75" x14ac:dyDescent="0.2">
      <c r="A111" s="18" t="s">
        <v>179</v>
      </c>
      <c r="B111" s="22">
        <v>900</v>
      </c>
      <c r="C111" s="19" t="s">
        <v>51</v>
      </c>
      <c r="D111" s="19" t="s">
        <v>16</v>
      </c>
      <c r="E111" s="19" t="s">
        <v>89</v>
      </c>
      <c r="F111" s="19"/>
      <c r="G111" s="20">
        <f>G112</f>
        <v>3773.7</v>
      </c>
      <c r="H111" s="20">
        <f t="shared" ref="H111:I111" si="20">H112</f>
        <v>2527.5</v>
      </c>
      <c r="I111" s="20">
        <f t="shared" si="20"/>
        <v>1262.5</v>
      </c>
      <c r="J111" s="117"/>
      <c r="K111" s="117"/>
      <c r="L111" s="117"/>
      <c r="M111" s="117"/>
      <c r="N111" s="117"/>
      <c r="O111" s="117"/>
      <c r="P111" s="117"/>
      <c r="Q111" s="117"/>
    </row>
    <row r="112" spans="1:17" x14ac:dyDescent="0.2">
      <c r="A112" s="59" t="s">
        <v>69</v>
      </c>
      <c r="B112" s="28">
        <v>900</v>
      </c>
      <c r="C112" s="24" t="s">
        <v>51</v>
      </c>
      <c r="D112" s="24" t="s">
        <v>16</v>
      </c>
      <c r="E112" s="24" t="s">
        <v>89</v>
      </c>
      <c r="F112" s="24" t="s">
        <v>70</v>
      </c>
      <c r="G112" s="20">
        <f>4085.5-297.4-14.4</f>
        <v>3773.7</v>
      </c>
      <c r="H112" s="20">
        <f>2875.7-348.2</f>
        <v>2527.5</v>
      </c>
      <c r="I112" s="20">
        <f>1551.7-289.2</f>
        <v>1262.5</v>
      </c>
      <c r="J112" s="117"/>
      <c r="K112" s="117"/>
      <c r="L112" s="117"/>
      <c r="M112" s="117"/>
      <c r="N112" s="117"/>
      <c r="O112" s="117"/>
      <c r="P112" s="117"/>
      <c r="Q112" s="117"/>
    </row>
    <row r="113" spans="1:17" ht="25.5" x14ac:dyDescent="0.2">
      <c r="A113" s="18" t="s">
        <v>351</v>
      </c>
      <c r="B113" s="22">
        <v>900</v>
      </c>
      <c r="C113" s="19" t="s">
        <v>51</v>
      </c>
      <c r="D113" s="19" t="s">
        <v>16</v>
      </c>
      <c r="E113" s="19" t="s">
        <v>350</v>
      </c>
      <c r="F113" s="19"/>
      <c r="G113" s="20">
        <f>G114</f>
        <v>25414.9</v>
      </c>
      <c r="H113" s="20">
        <f>H114</f>
        <v>21142.799999999999</v>
      </c>
      <c r="I113" s="20">
        <f>I114</f>
        <v>21142.799999999999</v>
      </c>
      <c r="J113" s="117"/>
      <c r="K113" s="117"/>
      <c r="L113" s="117"/>
      <c r="M113" s="117"/>
      <c r="N113" s="117"/>
      <c r="O113" s="117"/>
      <c r="P113" s="117"/>
      <c r="Q113" s="117"/>
    </row>
    <row r="114" spans="1:17" s="26" customFormat="1" ht="25.5" x14ac:dyDescent="0.2">
      <c r="A114" s="28" t="s">
        <v>83</v>
      </c>
      <c r="B114" s="28">
        <v>900</v>
      </c>
      <c r="C114" s="24" t="s">
        <v>51</v>
      </c>
      <c r="D114" s="24" t="s">
        <v>16</v>
      </c>
      <c r="E114" s="24" t="s">
        <v>350</v>
      </c>
      <c r="F114" s="24" t="s">
        <v>71</v>
      </c>
      <c r="G114" s="25">
        <f>21142.8-7097.8+11369.9</f>
        <v>25414.9</v>
      </c>
      <c r="H114" s="25">
        <v>21142.799999999999</v>
      </c>
      <c r="I114" s="25">
        <v>21142.799999999999</v>
      </c>
      <c r="J114" s="118"/>
      <c r="K114" s="118"/>
      <c r="L114" s="118"/>
      <c r="M114" s="118"/>
      <c r="N114" s="118"/>
      <c r="O114" s="118"/>
      <c r="P114" s="118"/>
      <c r="Q114" s="118"/>
    </row>
    <row r="115" spans="1:17" s="21" customFormat="1" ht="38.25" x14ac:dyDescent="0.2">
      <c r="A115" s="18" t="s">
        <v>341</v>
      </c>
      <c r="B115" s="22">
        <v>900</v>
      </c>
      <c r="C115" s="19" t="s">
        <v>51</v>
      </c>
      <c r="D115" s="19" t="s">
        <v>16</v>
      </c>
      <c r="E115" s="19" t="s">
        <v>170</v>
      </c>
      <c r="F115" s="19"/>
      <c r="G115" s="20">
        <f>G116</f>
        <v>1589.9</v>
      </c>
      <c r="H115" s="20">
        <f>H116</f>
        <v>0</v>
      </c>
      <c r="I115" s="20">
        <f>I116</f>
        <v>0</v>
      </c>
    </row>
    <row r="116" spans="1:17" s="26" customFormat="1" ht="25.5" x14ac:dyDescent="0.2">
      <c r="A116" s="28" t="s">
        <v>83</v>
      </c>
      <c r="B116" s="31">
        <v>900</v>
      </c>
      <c r="C116" s="24" t="s">
        <v>51</v>
      </c>
      <c r="D116" s="24" t="s">
        <v>16</v>
      </c>
      <c r="E116" s="24" t="s">
        <v>170</v>
      </c>
      <c r="F116" s="24" t="s">
        <v>71</v>
      </c>
      <c r="G116" s="25">
        <v>1589.9</v>
      </c>
      <c r="H116" s="62">
        <v>0</v>
      </c>
      <c r="I116" s="62">
        <v>0</v>
      </c>
    </row>
    <row r="117" spans="1:17" ht="25.5" x14ac:dyDescent="0.2">
      <c r="A117" s="18" t="s">
        <v>386</v>
      </c>
      <c r="B117" s="22">
        <v>900</v>
      </c>
      <c r="C117" s="19" t="s">
        <v>51</v>
      </c>
      <c r="D117" s="19" t="s">
        <v>16</v>
      </c>
      <c r="E117" s="19" t="s">
        <v>385</v>
      </c>
      <c r="F117" s="19"/>
      <c r="G117" s="20">
        <f>G118</f>
        <v>5168.35563</v>
      </c>
      <c r="H117" s="20">
        <f>H118</f>
        <v>1966.3</v>
      </c>
      <c r="I117" s="20">
        <f>I118</f>
        <v>1966.3</v>
      </c>
      <c r="J117" s="117"/>
      <c r="K117" s="117"/>
      <c r="L117" s="117"/>
      <c r="M117" s="117"/>
      <c r="N117" s="117"/>
      <c r="O117" s="117"/>
      <c r="P117" s="117"/>
      <c r="Q117" s="117"/>
    </row>
    <row r="118" spans="1:17" s="26" customFormat="1" x14ac:dyDescent="0.2">
      <c r="A118" s="59" t="s">
        <v>69</v>
      </c>
      <c r="B118" s="31">
        <v>900</v>
      </c>
      <c r="C118" s="24" t="s">
        <v>51</v>
      </c>
      <c r="D118" s="24" t="s">
        <v>16</v>
      </c>
      <c r="E118" s="24" t="s">
        <v>385</v>
      </c>
      <c r="F118" s="29">
        <v>300</v>
      </c>
      <c r="G118" s="25">
        <f>1966.3+3202.05563</f>
        <v>5168.35563</v>
      </c>
      <c r="H118" s="25">
        <v>1966.3</v>
      </c>
      <c r="I118" s="25">
        <v>1966.3</v>
      </c>
      <c r="J118" s="118"/>
      <c r="K118" s="118"/>
      <c r="L118" s="118"/>
      <c r="M118" s="118"/>
      <c r="N118" s="118"/>
      <c r="O118" s="118"/>
      <c r="P118" s="118"/>
      <c r="Q118" s="118"/>
    </row>
    <row r="119" spans="1:17" s="79" customFormat="1" ht="25.5" x14ac:dyDescent="0.2">
      <c r="A119" s="75" t="s">
        <v>169</v>
      </c>
      <c r="B119" s="76">
        <v>900</v>
      </c>
      <c r="C119" s="77" t="s">
        <v>51</v>
      </c>
      <c r="D119" s="77" t="s">
        <v>16</v>
      </c>
      <c r="E119" s="77" t="s">
        <v>90</v>
      </c>
      <c r="F119" s="77"/>
      <c r="G119" s="78">
        <f t="shared" ref="G119:I119" si="21">G120</f>
        <v>262958.3</v>
      </c>
      <c r="H119" s="78">
        <f t="shared" si="21"/>
        <v>340671.4</v>
      </c>
      <c r="I119" s="78">
        <f t="shared" si="21"/>
        <v>272908.5</v>
      </c>
    </row>
    <row r="120" spans="1:17" s="84" customFormat="1" x14ac:dyDescent="0.2">
      <c r="A120" s="87" t="s">
        <v>69</v>
      </c>
      <c r="B120" s="86">
        <v>900</v>
      </c>
      <c r="C120" s="82" t="s">
        <v>51</v>
      </c>
      <c r="D120" s="82" t="s">
        <v>16</v>
      </c>
      <c r="E120" s="82" t="s">
        <v>90</v>
      </c>
      <c r="F120" s="82" t="s">
        <v>70</v>
      </c>
      <c r="G120" s="62">
        <v>262958.3</v>
      </c>
      <c r="H120" s="62">
        <v>340671.4</v>
      </c>
      <c r="I120" s="62">
        <v>272908.5</v>
      </c>
    </row>
    <row r="121" spans="1:17" s="9" customFormat="1" x14ac:dyDescent="0.2">
      <c r="A121" s="11" t="s">
        <v>57</v>
      </c>
      <c r="B121" s="14">
        <v>900</v>
      </c>
      <c r="C121" s="8" t="s">
        <v>51</v>
      </c>
      <c r="D121" s="8" t="s">
        <v>50</v>
      </c>
      <c r="E121" s="8"/>
      <c r="F121" s="8"/>
      <c r="G121" s="4">
        <f>G122+G125</f>
        <v>234.2</v>
      </c>
      <c r="H121" s="4">
        <f t="shared" ref="H121:I121" si="22">H122</f>
        <v>114.19999999999999</v>
      </c>
      <c r="I121" s="4">
        <f t="shared" si="22"/>
        <v>114.19999999999999</v>
      </c>
    </row>
    <row r="122" spans="1:17" s="21" customFormat="1" x14ac:dyDescent="0.2">
      <c r="A122" s="18" t="s">
        <v>185</v>
      </c>
      <c r="B122" s="22">
        <v>900</v>
      </c>
      <c r="C122" s="19" t="s">
        <v>51</v>
      </c>
      <c r="D122" s="19" t="s">
        <v>50</v>
      </c>
      <c r="E122" s="19" t="s">
        <v>184</v>
      </c>
      <c r="F122" s="19"/>
      <c r="G122" s="20">
        <f>G124+G123</f>
        <v>114.19999999999999</v>
      </c>
      <c r="H122" s="20">
        <f>H124+H123</f>
        <v>114.19999999999999</v>
      </c>
      <c r="I122" s="20">
        <f>I124+I123</f>
        <v>114.19999999999999</v>
      </c>
    </row>
    <row r="123" spans="1:17" s="26" customFormat="1" ht="25.5" x14ac:dyDescent="0.2">
      <c r="A123" s="28" t="s">
        <v>76</v>
      </c>
      <c r="B123" s="23">
        <v>900</v>
      </c>
      <c r="C123" s="24" t="s">
        <v>51</v>
      </c>
      <c r="D123" s="24" t="s">
        <v>50</v>
      </c>
      <c r="E123" s="24" t="s">
        <v>184</v>
      </c>
      <c r="F123" s="27" t="s">
        <v>68</v>
      </c>
      <c r="G123" s="25">
        <v>0.6</v>
      </c>
      <c r="H123" s="25">
        <v>0.6</v>
      </c>
      <c r="I123" s="25">
        <v>0.6</v>
      </c>
    </row>
    <row r="124" spans="1:17" s="26" customFormat="1" x14ac:dyDescent="0.2">
      <c r="A124" s="28" t="s">
        <v>69</v>
      </c>
      <c r="B124" s="31">
        <v>900</v>
      </c>
      <c r="C124" s="24" t="s">
        <v>51</v>
      </c>
      <c r="D124" s="24" t="s">
        <v>50</v>
      </c>
      <c r="E124" s="24" t="s">
        <v>184</v>
      </c>
      <c r="F124" s="24" t="s">
        <v>70</v>
      </c>
      <c r="G124" s="25">
        <v>113.6</v>
      </c>
      <c r="H124" s="25">
        <v>113.6</v>
      </c>
      <c r="I124" s="25">
        <v>113.6</v>
      </c>
    </row>
    <row r="125" spans="1:17" x14ac:dyDescent="0.2">
      <c r="A125" s="18" t="s">
        <v>322</v>
      </c>
      <c r="B125" s="22">
        <v>900</v>
      </c>
      <c r="C125" s="19" t="s">
        <v>51</v>
      </c>
      <c r="D125" s="19" t="s">
        <v>50</v>
      </c>
      <c r="E125" s="19" t="s">
        <v>323</v>
      </c>
      <c r="F125" s="19"/>
      <c r="G125" s="20">
        <f>G126+G127</f>
        <v>120</v>
      </c>
      <c r="H125" s="20">
        <f t="shared" ref="H125:I125" si="23">H126+H127</f>
        <v>0</v>
      </c>
      <c r="I125" s="20">
        <f t="shared" si="23"/>
        <v>0</v>
      </c>
      <c r="J125" s="117"/>
      <c r="K125" s="117"/>
      <c r="L125" s="117"/>
      <c r="M125" s="117"/>
      <c r="N125" s="117"/>
      <c r="O125" s="117"/>
      <c r="P125" s="117"/>
      <c r="Q125" s="117"/>
    </row>
    <row r="126" spans="1:17" s="26" customFormat="1" ht="63.75" x14ac:dyDescent="0.2">
      <c r="A126" s="30" t="s">
        <v>66</v>
      </c>
      <c r="B126" s="31">
        <v>900</v>
      </c>
      <c r="C126" s="24" t="s">
        <v>51</v>
      </c>
      <c r="D126" s="24" t="s">
        <v>50</v>
      </c>
      <c r="E126" s="24" t="s">
        <v>323</v>
      </c>
      <c r="F126" s="24" t="s">
        <v>67</v>
      </c>
      <c r="G126" s="25">
        <v>60</v>
      </c>
      <c r="H126" s="25">
        <v>0</v>
      </c>
      <c r="I126" s="25">
        <v>0</v>
      </c>
      <c r="J126" s="118"/>
      <c r="K126" s="118"/>
      <c r="L126" s="118"/>
      <c r="M126" s="118"/>
      <c r="N126" s="118"/>
      <c r="O126" s="118"/>
      <c r="P126" s="118"/>
      <c r="Q126" s="118"/>
    </row>
    <row r="127" spans="1:17" s="26" customFormat="1" ht="25.5" x14ac:dyDescent="0.2">
      <c r="A127" s="28" t="s">
        <v>141</v>
      </c>
      <c r="B127" s="31">
        <v>900</v>
      </c>
      <c r="C127" s="24" t="s">
        <v>51</v>
      </c>
      <c r="D127" s="24" t="s">
        <v>50</v>
      </c>
      <c r="E127" s="24" t="s">
        <v>323</v>
      </c>
      <c r="F127" s="24" t="s">
        <v>65</v>
      </c>
      <c r="G127" s="25">
        <v>60</v>
      </c>
      <c r="H127" s="25">
        <v>0</v>
      </c>
      <c r="I127" s="25">
        <v>0</v>
      </c>
    </row>
    <row r="128" spans="1:17" s="3" customFormat="1" ht="25.5" x14ac:dyDescent="0.2">
      <c r="A128" s="13" t="s">
        <v>20</v>
      </c>
      <c r="B128" s="42">
        <v>900</v>
      </c>
      <c r="C128" s="1" t="s">
        <v>61</v>
      </c>
      <c r="D128" s="1"/>
      <c r="E128" s="1"/>
      <c r="F128" s="1"/>
      <c r="G128" s="2">
        <f t="shared" ref="G128:I130" si="24">G129</f>
        <v>3503.9</v>
      </c>
      <c r="H128" s="2">
        <f t="shared" si="24"/>
        <v>3503.9</v>
      </c>
      <c r="I128" s="2">
        <f t="shared" si="24"/>
        <v>3503.9</v>
      </c>
    </row>
    <row r="129" spans="1:17" s="9" customFormat="1" ht="25.5" x14ac:dyDescent="0.2">
      <c r="A129" s="11" t="s">
        <v>3</v>
      </c>
      <c r="B129" s="14">
        <v>900</v>
      </c>
      <c r="C129" s="8" t="s">
        <v>61</v>
      </c>
      <c r="D129" s="8" t="s">
        <v>12</v>
      </c>
      <c r="E129" s="8"/>
      <c r="F129" s="8"/>
      <c r="G129" s="4">
        <f t="shared" si="24"/>
        <v>3503.9</v>
      </c>
      <c r="H129" s="4">
        <f t="shared" si="24"/>
        <v>3503.9</v>
      </c>
      <c r="I129" s="4">
        <f t="shared" si="24"/>
        <v>3503.9</v>
      </c>
    </row>
    <row r="130" spans="1:17" s="21" customFormat="1" ht="25.5" x14ac:dyDescent="0.2">
      <c r="A130" s="18" t="s">
        <v>187</v>
      </c>
      <c r="B130" s="22">
        <v>900</v>
      </c>
      <c r="C130" s="19" t="s">
        <v>61</v>
      </c>
      <c r="D130" s="19" t="s">
        <v>12</v>
      </c>
      <c r="E130" s="19" t="s">
        <v>186</v>
      </c>
      <c r="F130" s="19"/>
      <c r="G130" s="20">
        <f t="shared" si="24"/>
        <v>3503.9</v>
      </c>
      <c r="H130" s="20">
        <f t="shared" si="24"/>
        <v>3503.9</v>
      </c>
      <c r="I130" s="20">
        <f t="shared" si="24"/>
        <v>3503.9</v>
      </c>
    </row>
    <row r="131" spans="1:17" s="26" customFormat="1" x14ac:dyDescent="0.2">
      <c r="A131" s="28" t="s">
        <v>74</v>
      </c>
      <c r="B131" s="31">
        <v>900</v>
      </c>
      <c r="C131" s="24" t="s">
        <v>61</v>
      </c>
      <c r="D131" s="24" t="s">
        <v>12</v>
      </c>
      <c r="E131" s="19" t="s">
        <v>186</v>
      </c>
      <c r="F131" s="24" t="s">
        <v>75</v>
      </c>
      <c r="G131" s="25">
        <v>3503.9</v>
      </c>
      <c r="H131" s="25">
        <v>3503.9</v>
      </c>
      <c r="I131" s="25">
        <v>3503.9</v>
      </c>
    </row>
    <row r="132" spans="1:17" s="21" customFormat="1" x14ac:dyDescent="0.2">
      <c r="A132" s="18" t="s">
        <v>363</v>
      </c>
      <c r="B132" s="22">
        <v>900</v>
      </c>
      <c r="C132" s="19" t="s">
        <v>364</v>
      </c>
      <c r="D132" s="19"/>
      <c r="E132" s="19"/>
      <c r="F132" s="19"/>
      <c r="G132" s="20"/>
      <c r="H132" s="20">
        <f t="shared" ref="H132:I134" si="25">H133</f>
        <v>22381</v>
      </c>
      <c r="I132" s="20">
        <f t="shared" si="25"/>
        <v>40567.9</v>
      </c>
      <c r="J132" s="117"/>
      <c r="K132" s="117"/>
      <c r="L132" s="117"/>
      <c r="M132" s="117"/>
      <c r="N132" s="117"/>
      <c r="O132" s="117"/>
      <c r="P132" s="117"/>
      <c r="Q132" s="117"/>
    </row>
    <row r="133" spans="1:17" x14ac:dyDescent="0.2">
      <c r="A133" s="18" t="s">
        <v>363</v>
      </c>
      <c r="B133" s="22">
        <v>900</v>
      </c>
      <c r="C133" s="19" t="s">
        <v>364</v>
      </c>
      <c r="D133" s="16" t="s">
        <v>364</v>
      </c>
      <c r="E133" s="19"/>
      <c r="F133" s="19"/>
      <c r="G133" s="20"/>
      <c r="H133" s="20">
        <f t="shared" si="25"/>
        <v>22381</v>
      </c>
      <c r="I133" s="20">
        <f t="shared" si="25"/>
        <v>40567.9</v>
      </c>
      <c r="J133" s="117"/>
      <c r="K133" s="117"/>
      <c r="L133" s="117"/>
      <c r="M133" s="117"/>
      <c r="N133" s="117"/>
      <c r="O133" s="117"/>
      <c r="P133" s="117"/>
      <c r="Q133" s="117"/>
    </row>
    <row r="134" spans="1:17" x14ac:dyDescent="0.2">
      <c r="A134" s="18" t="s">
        <v>363</v>
      </c>
      <c r="B134" s="22">
        <v>900</v>
      </c>
      <c r="C134" s="19" t="s">
        <v>364</v>
      </c>
      <c r="D134" s="19" t="s">
        <v>364</v>
      </c>
      <c r="E134" s="19" t="s">
        <v>365</v>
      </c>
      <c r="F134" s="19"/>
      <c r="G134" s="20"/>
      <c r="H134" s="20">
        <f t="shared" si="25"/>
        <v>22381</v>
      </c>
      <c r="I134" s="20">
        <f t="shared" si="25"/>
        <v>40567.9</v>
      </c>
      <c r="J134" s="117"/>
      <c r="K134" s="117"/>
      <c r="L134" s="117"/>
      <c r="M134" s="117"/>
      <c r="N134" s="117"/>
      <c r="O134" s="117"/>
      <c r="P134" s="117"/>
      <c r="Q134" s="117"/>
    </row>
    <row r="135" spans="1:17" s="26" customFormat="1" x14ac:dyDescent="0.2">
      <c r="A135" s="28" t="s">
        <v>363</v>
      </c>
      <c r="B135" s="31">
        <v>900</v>
      </c>
      <c r="C135" s="24" t="s">
        <v>364</v>
      </c>
      <c r="D135" s="24" t="s">
        <v>364</v>
      </c>
      <c r="E135" s="19" t="s">
        <v>365</v>
      </c>
      <c r="F135" s="24" t="s">
        <v>73</v>
      </c>
      <c r="G135" s="25"/>
      <c r="H135" s="25">
        <f>21851+530</f>
        <v>22381</v>
      </c>
      <c r="I135" s="25">
        <f>36808.5-1333.6+5000+93</f>
        <v>40567.9</v>
      </c>
      <c r="J135" s="118"/>
      <c r="K135" s="118"/>
      <c r="L135" s="118"/>
      <c r="M135" s="118"/>
      <c r="N135" s="118"/>
      <c r="O135" s="118"/>
      <c r="P135" s="118"/>
      <c r="Q135" s="118"/>
    </row>
    <row r="136" spans="1:17" s="9" customFormat="1" ht="38.25" x14ac:dyDescent="0.2">
      <c r="A136" s="40" t="s">
        <v>34</v>
      </c>
      <c r="B136" s="37">
        <v>904</v>
      </c>
      <c r="C136" s="41"/>
      <c r="D136" s="41"/>
      <c r="E136" s="41"/>
      <c r="F136" s="41"/>
      <c r="G136" s="39">
        <f>G137</f>
        <v>77159.299999999988</v>
      </c>
      <c r="H136" s="39">
        <f t="shared" ref="H136:I136" si="26">H137</f>
        <v>63121.3</v>
      </c>
      <c r="I136" s="39">
        <f t="shared" si="26"/>
        <v>62309.3</v>
      </c>
    </row>
    <row r="137" spans="1:17" s="3" customFormat="1" x14ac:dyDescent="0.2">
      <c r="A137" s="13" t="s">
        <v>0</v>
      </c>
      <c r="B137" s="42">
        <v>904</v>
      </c>
      <c r="C137" s="1" t="s">
        <v>21</v>
      </c>
      <c r="D137" s="1"/>
      <c r="E137" s="1"/>
      <c r="F137" s="1"/>
      <c r="G137" s="2">
        <f>G138+G155+G159</f>
        <v>77159.299999999988</v>
      </c>
      <c r="H137" s="2">
        <f>H138+H155+H159</f>
        <v>63121.3</v>
      </c>
      <c r="I137" s="2">
        <f>I138+I155+I159</f>
        <v>62309.3</v>
      </c>
      <c r="J137" s="126"/>
      <c r="K137" s="126"/>
      <c r="L137" s="126"/>
      <c r="M137" s="126"/>
      <c r="N137" s="126"/>
      <c r="O137" s="126"/>
      <c r="P137" s="126"/>
      <c r="Q137" s="126"/>
    </row>
    <row r="138" spans="1:17" s="9" customFormat="1" x14ac:dyDescent="0.2">
      <c r="A138" s="11" t="s">
        <v>1</v>
      </c>
      <c r="B138" s="14">
        <v>904</v>
      </c>
      <c r="C138" s="8" t="s">
        <v>21</v>
      </c>
      <c r="D138" s="8" t="s">
        <v>12</v>
      </c>
      <c r="E138" s="8"/>
      <c r="F138" s="8"/>
      <c r="G138" s="4">
        <f>G145+G149+G141+G147+G143+G139+G153+G151</f>
        <v>71617.599999999991</v>
      </c>
      <c r="H138" s="4">
        <f t="shared" ref="H138:I138" si="27">H145+H149+H141+H147+H143+H139+H153+H151</f>
        <v>58500.800000000003</v>
      </c>
      <c r="I138" s="4">
        <f t="shared" si="27"/>
        <v>57688.800000000003</v>
      </c>
      <c r="J138" s="127"/>
      <c r="K138" s="127"/>
      <c r="L138" s="127"/>
      <c r="M138" s="127"/>
      <c r="N138" s="127"/>
      <c r="O138" s="127"/>
      <c r="P138" s="127"/>
      <c r="Q138" s="127"/>
    </row>
    <row r="139" spans="1:17" s="21" customFormat="1" ht="39.75" customHeight="1" x14ac:dyDescent="0.2">
      <c r="A139" s="18" t="s">
        <v>444</v>
      </c>
      <c r="B139" s="22">
        <v>904</v>
      </c>
      <c r="C139" s="19" t="s">
        <v>21</v>
      </c>
      <c r="D139" s="19" t="s">
        <v>12</v>
      </c>
      <c r="E139" s="19" t="s">
        <v>451</v>
      </c>
      <c r="F139" s="19"/>
      <c r="G139" s="20">
        <f>G140</f>
        <v>2800</v>
      </c>
      <c r="H139" s="20">
        <f>H140</f>
        <v>0</v>
      </c>
      <c r="I139" s="20">
        <f>I140</f>
        <v>0</v>
      </c>
      <c r="J139" s="117"/>
      <c r="K139" s="117"/>
      <c r="L139" s="117"/>
      <c r="M139" s="117"/>
      <c r="N139" s="117"/>
      <c r="O139" s="117"/>
      <c r="P139" s="117"/>
      <c r="Q139" s="117"/>
    </row>
    <row r="140" spans="1:17" s="26" customFormat="1" ht="25.5" x14ac:dyDescent="0.2">
      <c r="A140" s="28" t="s">
        <v>141</v>
      </c>
      <c r="B140" s="31">
        <v>904</v>
      </c>
      <c r="C140" s="24" t="s">
        <v>21</v>
      </c>
      <c r="D140" s="24" t="s">
        <v>12</v>
      </c>
      <c r="E140" s="19" t="s">
        <v>451</v>
      </c>
      <c r="F140" s="24" t="s">
        <v>65</v>
      </c>
      <c r="G140" s="25">
        <f>2240+560</f>
        <v>2800</v>
      </c>
      <c r="H140" s="25">
        <v>0</v>
      </c>
      <c r="I140" s="25">
        <v>0</v>
      </c>
      <c r="J140" s="118"/>
      <c r="K140" s="118"/>
      <c r="L140" s="118"/>
      <c r="M140" s="118"/>
      <c r="N140" s="118"/>
      <c r="O140" s="118"/>
      <c r="P140" s="118"/>
      <c r="Q140" s="118"/>
    </row>
    <row r="141" spans="1:17" s="12" customFormat="1" ht="25.5" x14ac:dyDescent="0.2">
      <c r="A141" s="17" t="s">
        <v>163</v>
      </c>
      <c r="B141" s="44">
        <v>904</v>
      </c>
      <c r="C141" s="19" t="s">
        <v>21</v>
      </c>
      <c r="D141" s="19" t="s">
        <v>12</v>
      </c>
      <c r="E141" s="19" t="s">
        <v>162</v>
      </c>
      <c r="F141" s="5"/>
      <c r="G141" s="6">
        <f>G142</f>
        <v>163.1</v>
      </c>
      <c r="H141" s="6">
        <f>H142</f>
        <v>120.3</v>
      </c>
      <c r="I141" s="6">
        <f>I142</f>
        <v>120.3</v>
      </c>
      <c r="J141" s="128"/>
      <c r="K141" s="128"/>
      <c r="L141" s="128"/>
      <c r="M141" s="128"/>
      <c r="N141" s="128"/>
      <c r="O141" s="128"/>
      <c r="P141" s="128"/>
      <c r="Q141" s="128"/>
    </row>
    <row r="142" spans="1:17" s="26" customFormat="1" ht="25.5" x14ac:dyDescent="0.2">
      <c r="A142" s="28" t="s">
        <v>141</v>
      </c>
      <c r="B142" s="31">
        <v>904</v>
      </c>
      <c r="C142" s="24" t="s">
        <v>21</v>
      </c>
      <c r="D142" s="24" t="s">
        <v>12</v>
      </c>
      <c r="E142" s="24" t="s">
        <v>162</v>
      </c>
      <c r="F142" s="24" t="s">
        <v>65</v>
      </c>
      <c r="G142" s="25">
        <f>38.8+81.5+42.8</f>
        <v>163.1</v>
      </c>
      <c r="H142" s="25">
        <f>38.8+81.5</f>
        <v>120.3</v>
      </c>
      <c r="I142" s="25">
        <f>38.8+81.5</f>
        <v>120.3</v>
      </c>
      <c r="J142" s="118"/>
      <c r="K142" s="118"/>
      <c r="L142" s="118"/>
      <c r="M142" s="118"/>
      <c r="N142" s="118"/>
      <c r="O142" s="118"/>
      <c r="P142" s="118"/>
      <c r="Q142" s="118"/>
    </row>
    <row r="143" spans="1:17" ht="13.5" customHeight="1" x14ac:dyDescent="0.2">
      <c r="A143" s="18" t="s">
        <v>174</v>
      </c>
      <c r="B143" s="22">
        <v>904</v>
      </c>
      <c r="C143" s="19" t="s">
        <v>21</v>
      </c>
      <c r="D143" s="19" t="s">
        <v>12</v>
      </c>
      <c r="E143" s="24" t="s">
        <v>173</v>
      </c>
      <c r="F143" s="19"/>
      <c r="G143" s="20">
        <f>G144</f>
        <v>3529.2</v>
      </c>
      <c r="H143" s="20">
        <f>H144</f>
        <v>0</v>
      </c>
      <c r="I143" s="20">
        <f>I144</f>
        <v>0</v>
      </c>
      <c r="J143" s="117"/>
      <c r="K143" s="117"/>
      <c r="L143" s="117"/>
      <c r="M143" s="117"/>
      <c r="N143" s="117"/>
      <c r="O143" s="117"/>
      <c r="P143" s="117"/>
      <c r="Q143" s="117"/>
    </row>
    <row r="144" spans="1:17" s="26" customFormat="1" ht="25.5" x14ac:dyDescent="0.2">
      <c r="A144" s="28" t="s">
        <v>83</v>
      </c>
      <c r="B144" s="22">
        <v>904</v>
      </c>
      <c r="C144" s="24" t="s">
        <v>21</v>
      </c>
      <c r="D144" s="24" t="s">
        <v>12</v>
      </c>
      <c r="E144" s="24" t="s">
        <v>173</v>
      </c>
      <c r="F144" s="24" t="s">
        <v>71</v>
      </c>
      <c r="G144" s="25">
        <f>4137.2-560-48</f>
        <v>3529.2</v>
      </c>
      <c r="H144" s="25">
        <v>0</v>
      </c>
      <c r="I144" s="25">
        <v>0</v>
      </c>
      <c r="J144" s="118"/>
      <c r="K144" s="118"/>
      <c r="L144" s="118"/>
      <c r="M144" s="118"/>
      <c r="N144" s="118"/>
      <c r="O144" s="118"/>
      <c r="P144" s="118"/>
      <c r="Q144" s="118"/>
    </row>
    <row r="145" spans="1:17" s="117" customFormat="1" ht="25.5" x14ac:dyDescent="0.2">
      <c r="A145" s="228" t="s">
        <v>191</v>
      </c>
      <c r="B145" s="229">
        <v>904</v>
      </c>
      <c r="C145" s="230" t="s">
        <v>21</v>
      </c>
      <c r="D145" s="230" t="s">
        <v>12</v>
      </c>
      <c r="E145" s="230" t="s">
        <v>190</v>
      </c>
      <c r="F145" s="230"/>
      <c r="G145" s="231">
        <f>G146</f>
        <v>15395.400000000001</v>
      </c>
      <c r="H145" s="231">
        <f>H146</f>
        <v>13695</v>
      </c>
      <c r="I145" s="231">
        <f>I146</f>
        <v>13302.199999999999</v>
      </c>
    </row>
    <row r="146" spans="1:17" s="118" customFormat="1" ht="25.5" x14ac:dyDescent="0.2">
      <c r="A146" s="224" t="s">
        <v>141</v>
      </c>
      <c r="B146" s="227">
        <v>904</v>
      </c>
      <c r="C146" s="225" t="s">
        <v>21</v>
      </c>
      <c r="D146" s="225" t="s">
        <v>12</v>
      </c>
      <c r="E146" s="225" t="s">
        <v>190</v>
      </c>
      <c r="F146" s="225" t="s">
        <v>65</v>
      </c>
      <c r="G146" s="226">
        <f>11162.5+795.6+14.6+45+1677.3-45+852.7+892.7</f>
        <v>15395.400000000001</v>
      </c>
      <c r="H146" s="226">
        <f>11162.5+795.6+14.6+45+1677.3</f>
        <v>13695</v>
      </c>
      <c r="I146" s="226">
        <f>11162.5+402.8+14.6+45+1677.3</f>
        <v>13302.199999999999</v>
      </c>
    </row>
    <row r="147" spans="1:17" s="21" customFormat="1" ht="38.25" x14ac:dyDescent="0.2">
      <c r="A147" s="18" t="s">
        <v>193</v>
      </c>
      <c r="B147" s="22">
        <v>904</v>
      </c>
      <c r="C147" s="19" t="s">
        <v>21</v>
      </c>
      <c r="D147" s="19" t="s">
        <v>12</v>
      </c>
      <c r="E147" s="19" t="s">
        <v>192</v>
      </c>
      <c r="F147" s="19"/>
      <c r="G147" s="20">
        <f>G148</f>
        <v>200</v>
      </c>
      <c r="H147" s="20">
        <f>H148</f>
        <v>200</v>
      </c>
      <c r="I147" s="20">
        <f>I148</f>
        <v>200</v>
      </c>
    </row>
    <row r="148" spans="1:17" s="26" customFormat="1" ht="25.5" x14ac:dyDescent="0.2">
      <c r="A148" s="28" t="s">
        <v>76</v>
      </c>
      <c r="B148" s="32">
        <v>904</v>
      </c>
      <c r="C148" s="24" t="s">
        <v>21</v>
      </c>
      <c r="D148" s="24" t="s">
        <v>12</v>
      </c>
      <c r="E148" s="24" t="s">
        <v>192</v>
      </c>
      <c r="F148" s="27" t="s">
        <v>68</v>
      </c>
      <c r="G148" s="25">
        <v>200</v>
      </c>
      <c r="H148" s="25">
        <v>200</v>
      </c>
      <c r="I148" s="25">
        <v>200</v>
      </c>
    </row>
    <row r="149" spans="1:17" s="117" customFormat="1" ht="25.5" x14ac:dyDescent="0.2">
      <c r="A149" s="228" t="s">
        <v>357</v>
      </c>
      <c r="B149" s="229">
        <v>904</v>
      </c>
      <c r="C149" s="230" t="s">
        <v>21</v>
      </c>
      <c r="D149" s="230" t="s">
        <v>12</v>
      </c>
      <c r="E149" s="230" t="s">
        <v>358</v>
      </c>
      <c r="F149" s="230"/>
      <c r="G149" s="231">
        <f>G150</f>
        <v>48737.899999999994</v>
      </c>
      <c r="H149" s="231">
        <f>H150</f>
        <v>44485.5</v>
      </c>
      <c r="I149" s="231">
        <f>I150</f>
        <v>44066.3</v>
      </c>
    </row>
    <row r="150" spans="1:17" s="118" customFormat="1" ht="25.5" x14ac:dyDescent="0.2">
      <c r="A150" s="224" t="s">
        <v>141</v>
      </c>
      <c r="B150" s="241">
        <v>904</v>
      </c>
      <c r="C150" s="225" t="s">
        <v>21</v>
      </c>
      <c r="D150" s="225" t="s">
        <v>12</v>
      </c>
      <c r="E150" s="225" t="s">
        <v>358</v>
      </c>
      <c r="F150" s="248" t="s">
        <v>65</v>
      </c>
      <c r="G150" s="226">
        <f>43163.4+849.2+96.4+271.5+5+100-42.8+862.7+3182.5+250</f>
        <v>48737.899999999994</v>
      </c>
      <c r="H150" s="226">
        <f>43163.4+849.2+96.4+271.5+5+100</f>
        <v>44485.5</v>
      </c>
      <c r="I150" s="226">
        <f>43163.4+430+96.4+271.5+5+100</f>
        <v>44066.3</v>
      </c>
    </row>
    <row r="151" spans="1:17" s="118" customFormat="1" ht="20.25" customHeight="1" x14ac:dyDescent="0.2">
      <c r="A151" s="228" t="s">
        <v>714</v>
      </c>
      <c r="B151" s="229">
        <v>904</v>
      </c>
      <c r="C151" s="230" t="s">
        <v>21</v>
      </c>
      <c r="D151" s="230" t="s">
        <v>12</v>
      </c>
      <c r="E151" s="230" t="s">
        <v>728</v>
      </c>
      <c r="F151" s="230"/>
      <c r="G151" s="226">
        <f>G152</f>
        <v>720</v>
      </c>
      <c r="H151" s="226">
        <f t="shared" ref="H151:H153" si="28">H152</f>
        <v>0</v>
      </c>
      <c r="I151" s="226">
        <f t="shared" ref="I151:I153" si="29">I152</f>
        <v>0</v>
      </c>
    </row>
    <row r="152" spans="1:17" s="118" customFormat="1" ht="25.5" x14ac:dyDescent="0.2">
      <c r="A152" s="224" t="s">
        <v>141</v>
      </c>
      <c r="B152" s="241">
        <v>904</v>
      </c>
      <c r="C152" s="225" t="s">
        <v>21</v>
      </c>
      <c r="D152" s="225" t="s">
        <v>12</v>
      </c>
      <c r="E152" s="225" t="s">
        <v>728</v>
      </c>
      <c r="F152" s="225" t="s">
        <v>65</v>
      </c>
      <c r="G152" s="226">
        <v>720</v>
      </c>
      <c r="H152" s="226">
        <v>0</v>
      </c>
      <c r="I152" s="226">
        <v>0</v>
      </c>
    </row>
    <row r="153" spans="1:17" s="26" customFormat="1" x14ac:dyDescent="0.2">
      <c r="A153" s="18" t="s">
        <v>714</v>
      </c>
      <c r="B153" s="22">
        <v>904</v>
      </c>
      <c r="C153" s="19" t="s">
        <v>21</v>
      </c>
      <c r="D153" s="19" t="s">
        <v>12</v>
      </c>
      <c r="E153" s="19" t="s">
        <v>716</v>
      </c>
      <c r="F153" s="19"/>
      <c r="G153" s="25">
        <f>G154</f>
        <v>72</v>
      </c>
      <c r="H153" s="25">
        <f t="shared" si="28"/>
        <v>0</v>
      </c>
      <c r="I153" s="25">
        <f t="shared" si="29"/>
        <v>0</v>
      </c>
      <c r="J153" s="118"/>
      <c r="K153" s="118"/>
      <c r="L153" s="118"/>
      <c r="M153" s="118"/>
      <c r="N153" s="118"/>
      <c r="O153" s="118"/>
      <c r="P153" s="118"/>
      <c r="Q153" s="118"/>
    </row>
    <row r="154" spans="1:17" s="26" customFormat="1" ht="25.5" x14ac:dyDescent="0.2">
      <c r="A154" s="28" t="s">
        <v>141</v>
      </c>
      <c r="B154" s="32">
        <v>904</v>
      </c>
      <c r="C154" s="24" t="s">
        <v>21</v>
      </c>
      <c r="D154" s="24" t="s">
        <v>12</v>
      </c>
      <c r="E154" s="24" t="s">
        <v>716</v>
      </c>
      <c r="F154" s="24" t="s">
        <v>65</v>
      </c>
      <c r="G154" s="25">
        <f>48+24</f>
        <v>72</v>
      </c>
      <c r="H154" s="25">
        <v>0</v>
      </c>
      <c r="I154" s="25">
        <v>0</v>
      </c>
      <c r="J154" s="118"/>
      <c r="K154" s="118"/>
      <c r="L154" s="118"/>
      <c r="M154" s="118"/>
      <c r="N154" s="118"/>
      <c r="O154" s="118"/>
      <c r="P154" s="118"/>
      <c r="Q154" s="118"/>
    </row>
    <row r="155" spans="1:17" s="9" customFormat="1" x14ac:dyDescent="0.2">
      <c r="A155" s="11" t="s">
        <v>2</v>
      </c>
      <c r="B155" s="14">
        <v>904</v>
      </c>
      <c r="C155" s="8" t="s">
        <v>21</v>
      </c>
      <c r="D155" s="8" t="s">
        <v>14</v>
      </c>
      <c r="E155" s="8"/>
      <c r="F155" s="8"/>
      <c r="G155" s="4">
        <f t="shared" ref="G155:I155" si="30">G156</f>
        <v>370</v>
      </c>
      <c r="H155" s="4">
        <f t="shared" si="30"/>
        <v>370</v>
      </c>
      <c r="I155" s="4">
        <f t="shared" si="30"/>
        <v>370</v>
      </c>
      <c r="J155" s="127"/>
      <c r="K155" s="127"/>
      <c r="L155" s="127"/>
      <c r="M155" s="127"/>
      <c r="N155" s="127"/>
      <c r="O155" s="127"/>
      <c r="P155" s="127"/>
      <c r="Q155" s="127"/>
    </row>
    <row r="156" spans="1:17" ht="25.5" x14ac:dyDescent="0.2">
      <c r="A156" s="18" t="s">
        <v>195</v>
      </c>
      <c r="B156" s="22">
        <v>904</v>
      </c>
      <c r="C156" s="19" t="s">
        <v>21</v>
      </c>
      <c r="D156" s="19" t="s">
        <v>14</v>
      </c>
      <c r="E156" s="19" t="s">
        <v>194</v>
      </c>
      <c r="F156" s="19"/>
      <c r="G156" s="20">
        <f>G158+G157</f>
        <v>370</v>
      </c>
      <c r="H156" s="20">
        <f t="shared" ref="H156:I156" si="31">H158+H157</f>
        <v>370</v>
      </c>
      <c r="I156" s="20">
        <f t="shared" si="31"/>
        <v>370</v>
      </c>
      <c r="J156" s="117"/>
      <c r="K156" s="117"/>
      <c r="L156" s="117"/>
      <c r="M156" s="117"/>
      <c r="N156" s="117"/>
      <c r="O156" s="117"/>
      <c r="P156" s="117"/>
      <c r="Q156" s="117"/>
    </row>
    <row r="157" spans="1:17" ht="63.75" x14ac:dyDescent="0.2">
      <c r="A157" s="30" t="s">
        <v>66</v>
      </c>
      <c r="B157" s="32">
        <v>904</v>
      </c>
      <c r="C157" s="24" t="s">
        <v>21</v>
      </c>
      <c r="D157" s="24" t="s">
        <v>14</v>
      </c>
      <c r="E157" s="24" t="s">
        <v>194</v>
      </c>
      <c r="F157" s="19" t="s">
        <v>67</v>
      </c>
      <c r="G157" s="20">
        <v>42</v>
      </c>
      <c r="H157" s="20">
        <v>0</v>
      </c>
      <c r="I157" s="20">
        <v>0</v>
      </c>
      <c r="J157" s="117"/>
      <c r="K157" s="117"/>
      <c r="L157" s="117"/>
      <c r="M157" s="117"/>
      <c r="N157" s="117"/>
      <c r="O157" s="117"/>
      <c r="P157" s="117"/>
      <c r="Q157" s="117"/>
    </row>
    <row r="158" spans="1:17" s="26" customFormat="1" ht="25.5" x14ac:dyDescent="0.2">
      <c r="A158" s="28" t="s">
        <v>76</v>
      </c>
      <c r="B158" s="32">
        <v>904</v>
      </c>
      <c r="C158" s="24" t="s">
        <v>21</v>
      </c>
      <c r="D158" s="24" t="s">
        <v>14</v>
      </c>
      <c r="E158" s="24" t="s">
        <v>194</v>
      </c>
      <c r="F158" s="27" t="s">
        <v>68</v>
      </c>
      <c r="G158" s="25">
        <f>370-42</f>
        <v>328</v>
      </c>
      <c r="H158" s="25">
        <v>370</v>
      </c>
      <c r="I158" s="25">
        <v>370</v>
      </c>
      <c r="J158" s="118"/>
      <c r="K158" s="118"/>
      <c r="L158" s="118"/>
      <c r="M158" s="118"/>
      <c r="N158" s="118"/>
      <c r="O158" s="118"/>
      <c r="P158" s="118"/>
      <c r="Q158" s="118"/>
    </row>
    <row r="159" spans="1:17" s="9" customFormat="1" ht="25.5" x14ac:dyDescent="0.2">
      <c r="A159" s="11" t="s">
        <v>4</v>
      </c>
      <c r="B159" s="14">
        <v>904</v>
      </c>
      <c r="C159" s="8" t="s">
        <v>21</v>
      </c>
      <c r="D159" s="8" t="s">
        <v>31</v>
      </c>
      <c r="E159" s="8"/>
      <c r="F159" s="8"/>
      <c r="G159" s="4">
        <f>G160+G163</f>
        <v>5171.7</v>
      </c>
      <c r="H159" s="4">
        <f>H160+H163</f>
        <v>4250.5</v>
      </c>
      <c r="I159" s="4">
        <f>I160+I163</f>
        <v>4250.5</v>
      </c>
    </row>
    <row r="160" spans="1:17" s="117" customFormat="1" ht="25.5" x14ac:dyDescent="0.2">
      <c r="A160" s="228" t="s">
        <v>191</v>
      </c>
      <c r="B160" s="229">
        <v>904</v>
      </c>
      <c r="C160" s="230" t="s">
        <v>21</v>
      </c>
      <c r="D160" s="230" t="s">
        <v>31</v>
      </c>
      <c r="E160" s="230" t="s">
        <v>196</v>
      </c>
      <c r="F160" s="230"/>
      <c r="G160" s="231">
        <f>G161+G162</f>
        <v>1346.8</v>
      </c>
      <c r="H160" s="231">
        <f>H161+H162</f>
        <v>1021.5</v>
      </c>
      <c r="I160" s="231">
        <f>I161+I162</f>
        <v>1021.5</v>
      </c>
    </row>
    <row r="161" spans="1:17" s="118" customFormat="1" ht="50.25" customHeight="1" x14ac:dyDescent="0.2">
      <c r="A161" s="251" t="s">
        <v>66</v>
      </c>
      <c r="B161" s="241">
        <v>904</v>
      </c>
      <c r="C161" s="225" t="s">
        <v>21</v>
      </c>
      <c r="D161" s="225" t="s">
        <v>31</v>
      </c>
      <c r="E161" s="225" t="s">
        <v>196</v>
      </c>
      <c r="F161" s="248" t="s">
        <v>67</v>
      </c>
      <c r="G161" s="226">
        <f>966.5+3+335.3</f>
        <v>1304.8</v>
      </c>
      <c r="H161" s="226">
        <f>966.5+3</f>
        <v>969.5</v>
      </c>
      <c r="I161" s="226">
        <f>966.5+3</f>
        <v>969.5</v>
      </c>
    </row>
    <row r="162" spans="1:17" s="26" customFormat="1" ht="25.5" x14ac:dyDescent="0.2">
      <c r="A162" s="28" t="s">
        <v>76</v>
      </c>
      <c r="B162" s="32">
        <v>904</v>
      </c>
      <c r="C162" s="24" t="s">
        <v>21</v>
      </c>
      <c r="D162" s="24" t="s">
        <v>31</v>
      </c>
      <c r="E162" s="24" t="s">
        <v>196</v>
      </c>
      <c r="F162" s="27" t="s">
        <v>68</v>
      </c>
      <c r="G162" s="25">
        <f>42+13-3-10</f>
        <v>42</v>
      </c>
      <c r="H162" s="25">
        <f>42+13-3</f>
        <v>52</v>
      </c>
      <c r="I162" s="25">
        <f>42+13-3</f>
        <v>52</v>
      </c>
      <c r="J162" s="118"/>
      <c r="K162" s="118"/>
      <c r="L162" s="118"/>
      <c r="M162" s="118"/>
      <c r="N162" s="118"/>
      <c r="O162" s="118"/>
      <c r="P162" s="118"/>
      <c r="Q162" s="118"/>
    </row>
    <row r="163" spans="1:17" s="117" customFormat="1" ht="25.5" x14ac:dyDescent="0.2">
      <c r="A163" s="228" t="s">
        <v>191</v>
      </c>
      <c r="B163" s="229">
        <v>904</v>
      </c>
      <c r="C163" s="230" t="s">
        <v>21</v>
      </c>
      <c r="D163" s="230" t="s">
        <v>31</v>
      </c>
      <c r="E163" s="230" t="s">
        <v>415</v>
      </c>
      <c r="F163" s="230"/>
      <c r="G163" s="231">
        <f>G164</f>
        <v>3824.9</v>
      </c>
      <c r="H163" s="231">
        <f>H164</f>
        <v>3229</v>
      </c>
      <c r="I163" s="231">
        <f>I164</f>
        <v>3229</v>
      </c>
    </row>
    <row r="164" spans="1:17" s="118" customFormat="1" ht="27.75" customHeight="1" x14ac:dyDescent="0.2">
      <c r="A164" s="224" t="s">
        <v>141</v>
      </c>
      <c r="B164" s="241">
        <v>904</v>
      </c>
      <c r="C164" s="225" t="s">
        <v>21</v>
      </c>
      <c r="D164" s="225" t="s">
        <v>31</v>
      </c>
      <c r="E164" s="225" t="s">
        <v>415</v>
      </c>
      <c r="F164" s="248" t="s">
        <v>65</v>
      </c>
      <c r="G164" s="226">
        <f>3102.2+26.8+100+10+45+540.9</f>
        <v>3824.9</v>
      </c>
      <c r="H164" s="226">
        <f>3102.2+26.8+100</f>
        <v>3229</v>
      </c>
      <c r="I164" s="226">
        <f>3102.2+26.8+100</f>
        <v>3229</v>
      </c>
    </row>
    <row r="165" spans="1:17" s="9" customFormat="1" ht="38.25" x14ac:dyDescent="0.2">
      <c r="A165" s="40" t="s">
        <v>47</v>
      </c>
      <c r="B165" s="37">
        <v>905</v>
      </c>
      <c r="C165" s="41"/>
      <c r="D165" s="41"/>
      <c r="E165" s="41"/>
      <c r="F165" s="41"/>
      <c r="G165" s="39">
        <f>G166+G186+G196+G192</f>
        <v>136233.70000000001</v>
      </c>
      <c r="H165" s="39">
        <f>H166+H186+H196+H192</f>
        <v>75804.600000000006</v>
      </c>
      <c r="I165" s="39">
        <f>I166+I186+I196+I192</f>
        <v>75804.600000000006</v>
      </c>
    </row>
    <row r="166" spans="1:17" s="3" customFormat="1" x14ac:dyDescent="0.2">
      <c r="A166" s="13" t="s">
        <v>60</v>
      </c>
      <c r="B166" s="42">
        <v>905</v>
      </c>
      <c r="C166" s="1" t="s">
        <v>12</v>
      </c>
      <c r="D166" s="1"/>
      <c r="E166" s="1"/>
      <c r="F166" s="1"/>
      <c r="G166" s="2">
        <f>G167</f>
        <v>47847.4</v>
      </c>
      <c r="H166" s="2">
        <f>H167</f>
        <v>17380.400000000001</v>
      </c>
      <c r="I166" s="2">
        <f>I167</f>
        <v>17380.400000000001</v>
      </c>
      <c r="J166" s="126"/>
      <c r="K166" s="126"/>
      <c r="L166" s="126"/>
      <c r="M166" s="126"/>
      <c r="N166" s="126"/>
      <c r="O166" s="126"/>
      <c r="P166" s="126"/>
      <c r="Q166" s="126"/>
    </row>
    <row r="167" spans="1:17" s="9" customFormat="1" x14ac:dyDescent="0.2">
      <c r="A167" s="11" t="s">
        <v>24</v>
      </c>
      <c r="B167" s="14">
        <v>905</v>
      </c>
      <c r="C167" s="8" t="s">
        <v>12</v>
      </c>
      <c r="D167" s="8" t="s">
        <v>61</v>
      </c>
      <c r="E167" s="8"/>
      <c r="F167" s="8"/>
      <c r="G167" s="4">
        <f>G168+G170+G174+G177+G179+G182+G172</f>
        <v>47847.4</v>
      </c>
      <c r="H167" s="4">
        <f>H168+H170+H174+H177+H179+H182+H172</f>
        <v>17380.400000000001</v>
      </c>
      <c r="I167" s="4">
        <f>I168+I170+I174+I177+I179+I182+I172</f>
        <v>17380.400000000001</v>
      </c>
      <c r="J167" s="127"/>
      <c r="K167" s="127"/>
      <c r="L167" s="127"/>
      <c r="M167" s="127"/>
      <c r="N167" s="127"/>
      <c r="O167" s="127"/>
      <c r="P167" s="127"/>
      <c r="Q167" s="127"/>
    </row>
    <row r="168" spans="1:17" ht="25.5" x14ac:dyDescent="0.2">
      <c r="A168" s="18" t="s">
        <v>198</v>
      </c>
      <c r="B168" s="22">
        <v>905</v>
      </c>
      <c r="C168" s="19" t="s">
        <v>12</v>
      </c>
      <c r="D168" s="19" t="s">
        <v>61</v>
      </c>
      <c r="E168" s="5" t="s">
        <v>197</v>
      </c>
      <c r="F168" s="5"/>
      <c r="G168" s="6">
        <f>G169</f>
        <v>1050</v>
      </c>
      <c r="H168" s="6">
        <f>H169</f>
        <v>300</v>
      </c>
      <c r="I168" s="6">
        <f>I169</f>
        <v>300</v>
      </c>
      <c r="J168" s="117"/>
      <c r="K168" s="117"/>
      <c r="L168" s="117"/>
      <c r="M168" s="117"/>
      <c r="N168" s="117"/>
      <c r="O168" s="117"/>
      <c r="P168" s="117"/>
      <c r="Q168" s="117"/>
    </row>
    <row r="169" spans="1:17" s="26" customFormat="1" ht="25.5" x14ac:dyDescent="0.2">
      <c r="A169" s="28" t="s">
        <v>76</v>
      </c>
      <c r="B169" s="32">
        <v>905</v>
      </c>
      <c r="C169" s="24" t="s">
        <v>12</v>
      </c>
      <c r="D169" s="24" t="s">
        <v>61</v>
      </c>
      <c r="E169" s="24" t="s">
        <v>197</v>
      </c>
      <c r="F169" s="27" t="s">
        <v>68</v>
      </c>
      <c r="G169" s="25">
        <f>300-150+300+600</f>
        <v>1050</v>
      </c>
      <c r="H169" s="25">
        <v>300</v>
      </c>
      <c r="I169" s="25">
        <v>300</v>
      </c>
      <c r="J169" s="118"/>
      <c r="K169" s="118"/>
      <c r="L169" s="118"/>
      <c r="M169" s="118"/>
      <c r="N169" s="118"/>
      <c r="O169" s="118"/>
      <c r="P169" s="118"/>
      <c r="Q169" s="118"/>
    </row>
    <row r="170" spans="1:17" ht="25.5" x14ac:dyDescent="0.2">
      <c r="A170" s="18" t="s">
        <v>199</v>
      </c>
      <c r="B170" s="22">
        <v>905</v>
      </c>
      <c r="C170" s="19" t="s">
        <v>12</v>
      </c>
      <c r="D170" s="19" t="s">
        <v>61</v>
      </c>
      <c r="E170" s="5" t="s">
        <v>200</v>
      </c>
      <c r="F170" s="5"/>
      <c r="G170" s="6">
        <f>G171</f>
        <v>600</v>
      </c>
      <c r="H170" s="6">
        <f>H171</f>
        <v>300</v>
      </c>
      <c r="I170" s="6">
        <f>I171</f>
        <v>300</v>
      </c>
      <c r="J170" s="117"/>
      <c r="K170" s="117"/>
      <c r="L170" s="117"/>
      <c r="M170" s="117"/>
      <c r="N170" s="117"/>
      <c r="O170" s="117"/>
      <c r="P170" s="117"/>
      <c r="Q170" s="117"/>
    </row>
    <row r="171" spans="1:17" s="26" customFormat="1" ht="25.5" x14ac:dyDescent="0.2">
      <c r="A171" s="28" t="s">
        <v>76</v>
      </c>
      <c r="B171" s="32">
        <v>905</v>
      </c>
      <c r="C171" s="24" t="s">
        <v>12</v>
      </c>
      <c r="D171" s="24" t="s">
        <v>61</v>
      </c>
      <c r="E171" s="24" t="s">
        <v>200</v>
      </c>
      <c r="F171" s="27" t="s">
        <v>68</v>
      </c>
      <c r="G171" s="25">
        <f>300-200+500</f>
        <v>600</v>
      </c>
      <c r="H171" s="25">
        <v>300</v>
      </c>
      <c r="I171" s="25">
        <v>300</v>
      </c>
      <c r="J171" s="118"/>
      <c r="K171" s="118"/>
      <c r="L171" s="118"/>
      <c r="M171" s="118"/>
      <c r="N171" s="118"/>
      <c r="O171" s="118"/>
      <c r="P171" s="118"/>
      <c r="Q171" s="118"/>
    </row>
    <row r="172" spans="1:17" s="21" customFormat="1" ht="38.25" x14ac:dyDescent="0.2">
      <c r="A172" s="18" t="s">
        <v>201</v>
      </c>
      <c r="B172" s="22">
        <v>905</v>
      </c>
      <c r="C172" s="19" t="s">
        <v>12</v>
      </c>
      <c r="D172" s="19" t="s">
        <v>61</v>
      </c>
      <c r="E172" s="19" t="s">
        <v>202</v>
      </c>
      <c r="F172" s="19"/>
      <c r="G172" s="20">
        <f>G173</f>
        <v>7310</v>
      </c>
      <c r="H172" s="20">
        <f>H173</f>
        <v>7310</v>
      </c>
      <c r="I172" s="20">
        <f>I173</f>
        <v>7310</v>
      </c>
    </row>
    <row r="173" spans="1:17" s="26" customFormat="1" ht="25.5" x14ac:dyDescent="0.2">
      <c r="A173" s="28" t="s">
        <v>76</v>
      </c>
      <c r="B173" s="31">
        <v>905</v>
      </c>
      <c r="C173" s="24" t="s">
        <v>12</v>
      </c>
      <c r="D173" s="24" t="s">
        <v>61</v>
      </c>
      <c r="E173" s="24" t="s">
        <v>202</v>
      </c>
      <c r="F173" s="27" t="s">
        <v>68</v>
      </c>
      <c r="G173" s="25">
        <v>7310</v>
      </c>
      <c r="H173" s="25">
        <v>7310</v>
      </c>
      <c r="I173" s="25">
        <v>7310</v>
      </c>
    </row>
    <row r="174" spans="1:17" x14ac:dyDescent="0.2">
      <c r="A174" s="18" t="s">
        <v>203</v>
      </c>
      <c r="B174" s="22">
        <v>905</v>
      </c>
      <c r="C174" s="19" t="s">
        <v>12</v>
      </c>
      <c r="D174" s="19" t="s">
        <v>61</v>
      </c>
      <c r="E174" s="5" t="s">
        <v>204</v>
      </c>
      <c r="F174" s="5"/>
      <c r="G174" s="6">
        <f>G176+G175</f>
        <v>4850</v>
      </c>
      <c r="H174" s="6">
        <f>H176+H175</f>
        <v>400</v>
      </c>
      <c r="I174" s="6">
        <f>I176+I175</f>
        <v>400</v>
      </c>
      <c r="J174" s="117"/>
      <c r="K174" s="117"/>
      <c r="L174" s="117"/>
      <c r="M174" s="117"/>
      <c r="N174" s="117"/>
      <c r="O174" s="117"/>
      <c r="P174" s="117"/>
      <c r="Q174" s="117"/>
    </row>
    <row r="175" spans="1:17" s="26" customFormat="1" ht="25.5" x14ac:dyDescent="0.2">
      <c r="A175" s="28" t="s">
        <v>76</v>
      </c>
      <c r="B175" s="32">
        <v>905</v>
      </c>
      <c r="C175" s="24" t="s">
        <v>12</v>
      </c>
      <c r="D175" s="24" t="s">
        <v>61</v>
      </c>
      <c r="E175" s="24" t="s">
        <v>204</v>
      </c>
      <c r="F175" s="27" t="s">
        <v>68</v>
      </c>
      <c r="G175" s="25">
        <f>150+500+750+1000+2200</f>
        <v>4600</v>
      </c>
      <c r="H175" s="25">
        <v>150</v>
      </c>
      <c r="I175" s="25">
        <v>150</v>
      </c>
      <c r="J175" s="118"/>
      <c r="K175" s="118"/>
      <c r="L175" s="118"/>
      <c r="M175" s="118"/>
      <c r="N175" s="118"/>
      <c r="O175" s="118"/>
      <c r="P175" s="118"/>
      <c r="Q175" s="118"/>
    </row>
    <row r="176" spans="1:17" s="26" customFormat="1" x14ac:dyDescent="0.2">
      <c r="A176" s="28" t="s">
        <v>72</v>
      </c>
      <c r="B176" s="32">
        <v>905</v>
      </c>
      <c r="C176" s="24" t="s">
        <v>12</v>
      </c>
      <c r="D176" s="24" t="s">
        <v>61</v>
      </c>
      <c r="E176" s="24" t="s">
        <v>204</v>
      </c>
      <c r="F176" s="27" t="s">
        <v>73</v>
      </c>
      <c r="G176" s="25">
        <f>250+9000-9000</f>
        <v>250</v>
      </c>
      <c r="H176" s="25">
        <v>250</v>
      </c>
      <c r="I176" s="25">
        <v>250</v>
      </c>
      <c r="J176" s="118"/>
      <c r="K176" s="118"/>
      <c r="L176" s="118"/>
      <c r="M176" s="118"/>
      <c r="N176" s="118"/>
      <c r="O176" s="118"/>
      <c r="P176" s="118"/>
      <c r="Q176" s="118"/>
    </row>
    <row r="177" spans="1:17" x14ac:dyDescent="0.2">
      <c r="A177" s="18" t="s">
        <v>206</v>
      </c>
      <c r="B177" s="22">
        <v>905</v>
      </c>
      <c r="C177" s="19" t="s">
        <v>12</v>
      </c>
      <c r="D177" s="19" t="s">
        <v>61</v>
      </c>
      <c r="E177" s="5" t="s">
        <v>205</v>
      </c>
      <c r="F177" s="5"/>
      <c r="G177" s="6">
        <f>G178</f>
        <v>700</v>
      </c>
      <c r="H177" s="6">
        <f>H178</f>
        <v>600</v>
      </c>
      <c r="I177" s="6">
        <f>I178</f>
        <v>600</v>
      </c>
      <c r="J177" s="117"/>
      <c r="K177" s="117"/>
      <c r="L177" s="117"/>
      <c r="M177" s="117"/>
      <c r="N177" s="117"/>
      <c r="O177" s="117"/>
      <c r="P177" s="117"/>
      <c r="Q177" s="117"/>
    </row>
    <row r="178" spans="1:17" s="26" customFormat="1" ht="25.5" x14ac:dyDescent="0.2">
      <c r="A178" s="28" t="s">
        <v>76</v>
      </c>
      <c r="B178" s="32">
        <v>905</v>
      </c>
      <c r="C178" s="24" t="s">
        <v>12</v>
      </c>
      <c r="D178" s="24" t="s">
        <v>61</v>
      </c>
      <c r="E178" s="24" t="s">
        <v>205</v>
      </c>
      <c r="F178" s="27" t="s">
        <v>68</v>
      </c>
      <c r="G178" s="25">
        <f>600-200-200+500</f>
        <v>700</v>
      </c>
      <c r="H178" s="25">
        <v>600</v>
      </c>
      <c r="I178" s="25">
        <v>600</v>
      </c>
      <c r="J178" s="118"/>
      <c r="K178" s="118"/>
      <c r="L178" s="118"/>
      <c r="M178" s="118"/>
      <c r="N178" s="118"/>
      <c r="O178" s="118"/>
      <c r="P178" s="118"/>
      <c r="Q178" s="118"/>
    </row>
    <row r="179" spans="1:17" x14ac:dyDescent="0.2">
      <c r="A179" s="18" t="s">
        <v>207</v>
      </c>
      <c r="B179" s="22">
        <v>905</v>
      </c>
      <c r="C179" s="19" t="s">
        <v>12</v>
      </c>
      <c r="D179" s="19" t="s">
        <v>61</v>
      </c>
      <c r="E179" s="5" t="s">
        <v>208</v>
      </c>
      <c r="F179" s="5"/>
      <c r="G179" s="6">
        <f>G180+G181</f>
        <v>23982.3</v>
      </c>
      <c r="H179" s="6">
        <f t="shared" ref="H179:I179" si="32">H180+H181</f>
        <v>288.3</v>
      </c>
      <c r="I179" s="6">
        <f t="shared" si="32"/>
        <v>288.3</v>
      </c>
      <c r="J179" s="117"/>
      <c r="K179" s="117"/>
      <c r="L179" s="117"/>
      <c r="M179" s="117"/>
      <c r="N179" s="117"/>
      <c r="O179" s="117"/>
      <c r="P179" s="117"/>
      <c r="Q179" s="117"/>
    </row>
    <row r="180" spans="1:17" s="26" customFormat="1" ht="25.5" x14ac:dyDescent="0.2">
      <c r="A180" s="28" t="s">
        <v>76</v>
      </c>
      <c r="B180" s="23">
        <v>905</v>
      </c>
      <c r="C180" s="24" t="s">
        <v>12</v>
      </c>
      <c r="D180" s="24" t="s">
        <v>61</v>
      </c>
      <c r="E180" s="24" t="s">
        <v>208</v>
      </c>
      <c r="F180" s="27" t="s">
        <v>68</v>
      </c>
      <c r="G180" s="25">
        <v>88.3</v>
      </c>
      <c r="H180" s="25">
        <v>88.3</v>
      </c>
      <c r="I180" s="25">
        <v>88.3</v>
      </c>
    </row>
    <row r="181" spans="1:17" s="26" customFormat="1" x14ac:dyDescent="0.2">
      <c r="A181" s="28" t="s">
        <v>72</v>
      </c>
      <c r="B181" s="31">
        <v>905</v>
      </c>
      <c r="C181" s="19" t="s">
        <v>12</v>
      </c>
      <c r="D181" s="19" t="s">
        <v>61</v>
      </c>
      <c r="E181" s="24" t="s">
        <v>208</v>
      </c>
      <c r="F181" s="24" t="s">
        <v>73</v>
      </c>
      <c r="G181" s="25">
        <f>200+21400-150-21400+23844</f>
        <v>23894</v>
      </c>
      <c r="H181" s="25">
        <v>200</v>
      </c>
      <c r="I181" s="25">
        <v>200</v>
      </c>
      <c r="J181" s="118"/>
      <c r="K181" s="118"/>
      <c r="L181" s="118"/>
      <c r="M181" s="118"/>
      <c r="N181" s="118"/>
      <c r="O181" s="118"/>
      <c r="P181" s="118"/>
      <c r="Q181" s="118"/>
    </row>
    <row r="182" spans="1:17" s="117" customFormat="1" ht="25.5" x14ac:dyDescent="0.2">
      <c r="A182" s="228" t="s">
        <v>209</v>
      </c>
      <c r="B182" s="229">
        <v>905</v>
      </c>
      <c r="C182" s="230" t="s">
        <v>12</v>
      </c>
      <c r="D182" s="230" t="s">
        <v>61</v>
      </c>
      <c r="E182" s="249" t="s">
        <v>210</v>
      </c>
      <c r="F182" s="230"/>
      <c r="G182" s="231">
        <f>G183+G185+G184</f>
        <v>9355.1</v>
      </c>
      <c r="H182" s="231">
        <f t="shared" ref="H182:I182" si="33">H183+H185+H184</f>
        <v>8182.0999999999995</v>
      </c>
      <c r="I182" s="231">
        <f t="shared" si="33"/>
        <v>8182.0999999999995</v>
      </c>
    </row>
    <row r="183" spans="1:17" s="118" customFormat="1" ht="51" customHeight="1" x14ac:dyDescent="0.2">
      <c r="A183" s="251" t="s">
        <v>66</v>
      </c>
      <c r="B183" s="241">
        <v>905</v>
      </c>
      <c r="C183" s="225" t="s">
        <v>12</v>
      </c>
      <c r="D183" s="225" t="s">
        <v>61</v>
      </c>
      <c r="E183" s="225" t="s">
        <v>210</v>
      </c>
      <c r="F183" s="248" t="s">
        <v>67</v>
      </c>
      <c r="G183" s="226">
        <f>5583.5+1686.2+1173</f>
        <v>8442.7000000000007</v>
      </c>
      <c r="H183" s="226">
        <f>5583.5+1686.2</f>
        <v>7269.7</v>
      </c>
      <c r="I183" s="226">
        <f>5583.5+1686.2</f>
        <v>7269.7</v>
      </c>
    </row>
    <row r="184" spans="1:17" s="84" customFormat="1" ht="25.5" x14ac:dyDescent="0.2">
      <c r="A184" s="87" t="s">
        <v>76</v>
      </c>
      <c r="B184" s="81">
        <v>905</v>
      </c>
      <c r="C184" s="82" t="s">
        <v>12</v>
      </c>
      <c r="D184" s="82" t="s">
        <v>61</v>
      </c>
      <c r="E184" s="82" t="s">
        <v>210</v>
      </c>
      <c r="F184" s="83" t="s">
        <v>68</v>
      </c>
      <c r="G184" s="62">
        <f>200+50+362.4+100+50+140</f>
        <v>902.4</v>
      </c>
      <c r="H184" s="62">
        <f>200+50+362.4+100+50+140</f>
        <v>902.4</v>
      </c>
      <c r="I184" s="62">
        <f>200+50+362.4+100+50+140</f>
        <v>902.4</v>
      </c>
    </row>
    <row r="185" spans="1:17" s="26" customFormat="1" x14ac:dyDescent="0.2">
      <c r="A185" s="28" t="s">
        <v>72</v>
      </c>
      <c r="B185" s="32">
        <v>905</v>
      </c>
      <c r="C185" s="24" t="s">
        <v>12</v>
      </c>
      <c r="D185" s="24" t="s">
        <v>61</v>
      </c>
      <c r="E185" s="24" t="s">
        <v>210</v>
      </c>
      <c r="F185" s="27" t="s">
        <v>73</v>
      </c>
      <c r="G185" s="25">
        <v>10</v>
      </c>
      <c r="H185" s="25">
        <v>10</v>
      </c>
      <c r="I185" s="25">
        <v>10</v>
      </c>
    </row>
    <row r="186" spans="1:17" s="3" customFormat="1" x14ac:dyDescent="0.2">
      <c r="A186" s="13" t="s">
        <v>27</v>
      </c>
      <c r="B186" s="42">
        <v>905</v>
      </c>
      <c r="C186" s="1" t="s">
        <v>18</v>
      </c>
      <c r="D186" s="1"/>
      <c r="E186" s="1"/>
      <c r="F186" s="1"/>
      <c r="G186" s="2">
        <f>G187</f>
        <v>750</v>
      </c>
      <c r="H186" s="2">
        <f>H187</f>
        <v>600</v>
      </c>
      <c r="I186" s="2">
        <f>I187</f>
        <v>600</v>
      </c>
      <c r="J186" s="126"/>
      <c r="K186" s="126"/>
      <c r="L186" s="126"/>
      <c r="M186" s="126"/>
      <c r="N186" s="126"/>
      <c r="O186" s="126"/>
      <c r="P186" s="126"/>
      <c r="Q186" s="126"/>
    </row>
    <row r="187" spans="1:17" s="9" customFormat="1" x14ac:dyDescent="0.2">
      <c r="A187" s="11" t="s">
        <v>29</v>
      </c>
      <c r="B187" s="14">
        <v>905</v>
      </c>
      <c r="C187" s="8" t="s">
        <v>18</v>
      </c>
      <c r="D187" s="8" t="s">
        <v>23</v>
      </c>
      <c r="E187" s="8"/>
      <c r="F187" s="8"/>
      <c r="G187" s="4">
        <f>G188+G190</f>
        <v>750</v>
      </c>
      <c r="H187" s="4">
        <f>H188+H190</f>
        <v>600</v>
      </c>
      <c r="I187" s="4">
        <f>I188+I190</f>
        <v>600</v>
      </c>
      <c r="J187" s="127"/>
      <c r="K187" s="127"/>
      <c r="L187" s="127"/>
      <c r="M187" s="127"/>
      <c r="N187" s="127"/>
      <c r="O187" s="127"/>
      <c r="P187" s="127"/>
      <c r="Q187" s="127"/>
    </row>
    <row r="188" spans="1:17" x14ac:dyDescent="0.2">
      <c r="A188" s="18" t="s">
        <v>212</v>
      </c>
      <c r="B188" s="22">
        <v>905</v>
      </c>
      <c r="C188" s="19" t="s">
        <v>18</v>
      </c>
      <c r="D188" s="19" t="s">
        <v>23</v>
      </c>
      <c r="E188" s="19" t="s">
        <v>211</v>
      </c>
      <c r="F188" s="19"/>
      <c r="G188" s="20">
        <f>G189</f>
        <v>700</v>
      </c>
      <c r="H188" s="20">
        <f>H189</f>
        <v>400</v>
      </c>
      <c r="I188" s="20">
        <f>I189</f>
        <v>400</v>
      </c>
      <c r="J188" s="117"/>
      <c r="K188" s="117"/>
      <c r="L188" s="117"/>
      <c r="M188" s="117"/>
      <c r="N188" s="117"/>
      <c r="O188" s="117"/>
      <c r="P188" s="117"/>
      <c r="Q188" s="117"/>
    </row>
    <row r="189" spans="1:17" s="26" customFormat="1" ht="25.5" x14ac:dyDescent="0.2">
      <c r="A189" s="28" t="s">
        <v>76</v>
      </c>
      <c r="B189" s="31">
        <v>905</v>
      </c>
      <c r="C189" s="24" t="s">
        <v>18</v>
      </c>
      <c r="D189" s="24" t="s">
        <v>23</v>
      </c>
      <c r="E189" s="24" t="s">
        <v>211</v>
      </c>
      <c r="F189" s="27" t="s">
        <v>68</v>
      </c>
      <c r="G189" s="25">
        <f>400-200+500</f>
        <v>700</v>
      </c>
      <c r="H189" s="25">
        <v>400</v>
      </c>
      <c r="I189" s="25">
        <v>400</v>
      </c>
      <c r="J189" s="118"/>
      <c r="K189" s="118"/>
      <c r="L189" s="118"/>
      <c r="M189" s="118"/>
      <c r="N189" s="118"/>
      <c r="O189" s="118"/>
      <c r="P189" s="118"/>
      <c r="Q189" s="118"/>
    </row>
    <row r="190" spans="1:17" s="21" customFormat="1" ht="38.25" x14ac:dyDescent="0.2">
      <c r="A190" s="18" t="s">
        <v>213</v>
      </c>
      <c r="B190" s="22">
        <v>905</v>
      </c>
      <c r="C190" s="19" t="s">
        <v>18</v>
      </c>
      <c r="D190" s="19" t="s">
        <v>23</v>
      </c>
      <c r="E190" s="19" t="s">
        <v>214</v>
      </c>
      <c r="F190" s="19"/>
      <c r="G190" s="20">
        <f>G191</f>
        <v>50</v>
      </c>
      <c r="H190" s="20">
        <f>H191</f>
        <v>200</v>
      </c>
      <c r="I190" s="20">
        <f>I191</f>
        <v>200</v>
      </c>
      <c r="J190" s="117"/>
      <c r="K190" s="117"/>
      <c r="L190" s="117"/>
      <c r="M190" s="117"/>
      <c r="N190" s="117"/>
      <c r="O190" s="117"/>
      <c r="P190" s="117"/>
      <c r="Q190" s="117"/>
    </row>
    <row r="191" spans="1:17" s="26" customFormat="1" ht="25.5" x14ac:dyDescent="0.2">
      <c r="A191" s="28" t="s">
        <v>76</v>
      </c>
      <c r="B191" s="32">
        <v>905</v>
      </c>
      <c r="C191" s="24" t="s">
        <v>18</v>
      </c>
      <c r="D191" s="24" t="s">
        <v>23</v>
      </c>
      <c r="E191" s="24" t="s">
        <v>214</v>
      </c>
      <c r="F191" s="27" t="s">
        <v>68</v>
      </c>
      <c r="G191" s="25">
        <f>200-100-50</f>
        <v>50</v>
      </c>
      <c r="H191" s="25">
        <v>200</v>
      </c>
      <c r="I191" s="25">
        <v>200</v>
      </c>
      <c r="J191" s="118"/>
      <c r="K191" s="118"/>
      <c r="L191" s="118"/>
      <c r="M191" s="118"/>
      <c r="N191" s="118"/>
      <c r="O191" s="118"/>
      <c r="P191" s="118"/>
      <c r="Q191" s="118"/>
    </row>
    <row r="192" spans="1:17" s="3" customFormat="1" x14ac:dyDescent="0.2">
      <c r="A192" s="13" t="s">
        <v>30</v>
      </c>
      <c r="B192" s="42">
        <v>905</v>
      </c>
      <c r="C192" s="1" t="s">
        <v>31</v>
      </c>
      <c r="D192" s="1"/>
      <c r="E192" s="1"/>
      <c r="F192" s="1"/>
      <c r="G192" s="2">
        <f>G193</f>
        <v>2107.6999999999998</v>
      </c>
      <c r="H192" s="2">
        <f t="shared" ref="H192:I192" si="34">H193</f>
        <v>0</v>
      </c>
      <c r="I192" s="2">
        <f t="shared" si="34"/>
        <v>0</v>
      </c>
    </row>
    <row r="193" spans="1:23" s="9" customFormat="1" x14ac:dyDescent="0.2">
      <c r="A193" s="11" t="s">
        <v>32</v>
      </c>
      <c r="B193" s="14">
        <v>905</v>
      </c>
      <c r="C193" s="8" t="s">
        <v>31</v>
      </c>
      <c r="D193" s="8" t="s">
        <v>12</v>
      </c>
      <c r="E193" s="8"/>
      <c r="F193" s="8"/>
      <c r="G193" s="4">
        <f t="shared" ref="G193:I194" si="35">G194</f>
        <v>2107.6999999999998</v>
      </c>
      <c r="H193" s="4">
        <f t="shared" si="35"/>
        <v>0</v>
      </c>
      <c r="I193" s="4">
        <f t="shared" si="35"/>
        <v>0</v>
      </c>
    </row>
    <row r="194" spans="1:23" s="21" customFormat="1" ht="25.5" x14ac:dyDescent="0.2">
      <c r="A194" s="18" t="s">
        <v>215</v>
      </c>
      <c r="B194" s="22">
        <v>905</v>
      </c>
      <c r="C194" s="19" t="s">
        <v>31</v>
      </c>
      <c r="D194" s="19" t="s">
        <v>12</v>
      </c>
      <c r="E194" s="19" t="s">
        <v>216</v>
      </c>
      <c r="F194" s="19"/>
      <c r="G194" s="20">
        <f t="shared" si="35"/>
        <v>2107.6999999999998</v>
      </c>
      <c r="H194" s="20">
        <f t="shared" si="35"/>
        <v>0</v>
      </c>
      <c r="I194" s="20">
        <f t="shared" si="35"/>
        <v>0</v>
      </c>
    </row>
    <row r="195" spans="1:23" s="26" customFormat="1" ht="25.5" x14ac:dyDescent="0.2">
      <c r="A195" s="28" t="s">
        <v>76</v>
      </c>
      <c r="B195" s="31">
        <v>905</v>
      </c>
      <c r="C195" s="24" t="s">
        <v>31</v>
      </c>
      <c r="D195" s="24" t="s">
        <v>12</v>
      </c>
      <c r="E195" s="24" t="s">
        <v>216</v>
      </c>
      <c r="F195" s="24" t="s">
        <v>68</v>
      </c>
      <c r="G195" s="25">
        <v>2107.6999999999998</v>
      </c>
      <c r="H195" s="62">
        <v>0</v>
      </c>
      <c r="I195" s="62">
        <v>0</v>
      </c>
    </row>
    <row r="196" spans="1:23" s="9" customFormat="1" x14ac:dyDescent="0.2">
      <c r="A196" s="11" t="s">
        <v>52</v>
      </c>
      <c r="B196" s="14">
        <v>905</v>
      </c>
      <c r="C196" s="8" t="s">
        <v>51</v>
      </c>
      <c r="D196" s="8"/>
      <c r="E196" s="8"/>
      <c r="F196" s="8"/>
      <c r="G196" s="4">
        <f>G200+G197</f>
        <v>85528.599999999991</v>
      </c>
      <c r="H196" s="4">
        <f t="shared" ref="H196:I196" si="36">H200+H197</f>
        <v>57824.2</v>
      </c>
      <c r="I196" s="4">
        <f t="shared" si="36"/>
        <v>57824.2</v>
      </c>
    </row>
    <row r="197" spans="1:23" s="9" customFormat="1" x14ac:dyDescent="0.2">
      <c r="A197" s="11" t="s">
        <v>55</v>
      </c>
      <c r="B197" s="14">
        <v>905</v>
      </c>
      <c r="C197" s="8" t="s">
        <v>51</v>
      </c>
      <c r="D197" s="8" t="s">
        <v>16</v>
      </c>
      <c r="E197" s="8"/>
      <c r="F197" s="8"/>
      <c r="G197" s="4">
        <f>G198</f>
        <v>2568.1999999999998</v>
      </c>
      <c r="H197" s="4">
        <f t="shared" ref="H197:I198" si="37">H198</f>
        <v>0</v>
      </c>
      <c r="I197" s="4">
        <f t="shared" si="37"/>
        <v>0</v>
      </c>
      <c r="J197" s="127"/>
      <c r="K197" s="127"/>
      <c r="L197" s="127"/>
      <c r="M197" s="127"/>
      <c r="N197" s="127"/>
      <c r="O197" s="127"/>
      <c r="P197" s="127"/>
      <c r="Q197" s="127"/>
    </row>
    <row r="198" spans="1:23" ht="38.25" x14ac:dyDescent="0.2">
      <c r="A198" s="18" t="s">
        <v>341</v>
      </c>
      <c r="B198" s="22">
        <v>905</v>
      </c>
      <c r="C198" s="19" t="s">
        <v>51</v>
      </c>
      <c r="D198" s="19" t="s">
        <v>16</v>
      </c>
      <c r="E198" s="19" t="s">
        <v>170</v>
      </c>
      <c r="F198" s="19"/>
      <c r="G198" s="20">
        <f>G199</f>
        <v>2568.1999999999998</v>
      </c>
      <c r="H198" s="20">
        <f t="shared" si="37"/>
        <v>0</v>
      </c>
      <c r="I198" s="20">
        <f t="shared" si="37"/>
        <v>0</v>
      </c>
      <c r="J198" s="117"/>
      <c r="K198" s="117"/>
      <c r="L198" s="117"/>
      <c r="M198" s="117"/>
      <c r="N198" s="117"/>
      <c r="O198" s="117"/>
      <c r="P198" s="117"/>
      <c r="Q198" s="117"/>
    </row>
    <row r="199" spans="1:23" s="26" customFormat="1" ht="25.5" x14ac:dyDescent="0.2">
      <c r="A199" s="28" t="s">
        <v>83</v>
      </c>
      <c r="B199" s="31">
        <v>905</v>
      </c>
      <c r="C199" s="24" t="s">
        <v>51</v>
      </c>
      <c r="D199" s="24" t="s">
        <v>16</v>
      </c>
      <c r="E199" s="24" t="s">
        <v>170</v>
      </c>
      <c r="F199" s="24" t="s">
        <v>71</v>
      </c>
      <c r="G199" s="25">
        <f>1886.9+681.3</f>
        <v>2568.1999999999998</v>
      </c>
      <c r="H199" s="25">
        <v>0</v>
      </c>
      <c r="I199" s="25">
        <v>0</v>
      </c>
      <c r="J199" s="118"/>
      <c r="K199" s="118"/>
      <c r="L199" s="118"/>
      <c r="M199" s="118"/>
      <c r="N199" s="118"/>
      <c r="O199" s="118"/>
      <c r="P199" s="118"/>
      <c r="Q199" s="118"/>
    </row>
    <row r="200" spans="1:23" s="9" customFormat="1" x14ac:dyDescent="0.2">
      <c r="A200" s="11" t="s">
        <v>56</v>
      </c>
      <c r="B200" s="14">
        <v>905</v>
      </c>
      <c r="C200" s="8" t="s">
        <v>51</v>
      </c>
      <c r="D200" s="8" t="s">
        <v>18</v>
      </c>
      <c r="E200" s="8"/>
      <c r="F200" s="8"/>
      <c r="G200" s="4">
        <f>G201+G203</f>
        <v>82960.399999999994</v>
      </c>
      <c r="H200" s="4">
        <f t="shared" ref="H200:I200" si="38">H201+H203</f>
        <v>57824.2</v>
      </c>
      <c r="I200" s="4">
        <f t="shared" si="38"/>
        <v>57824.2</v>
      </c>
    </row>
    <row r="201" spans="1:23" s="21" customFormat="1" ht="39" customHeight="1" x14ac:dyDescent="0.2">
      <c r="A201" s="18" t="s">
        <v>217</v>
      </c>
      <c r="B201" s="22">
        <v>905</v>
      </c>
      <c r="C201" s="19" t="s">
        <v>51</v>
      </c>
      <c r="D201" s="16" t="s">
        <v>18</v>
      </c>
      <c r="E201" s="19" t="s">
        <v>133</v>
      </c>
      <c r="F201" s="19"/>
      <c r="G201" s="20">
        <f>G202</f>
        <v>24881.1</v>
      </c>
      <c r="H201" s="20">
        <f>H202</f>
        <v>25876.2</v>
      </c>
      <c r="I201" s="20">
        <f>I202</f>
        <v>25876.2</v>
      </c>
    </row>
    <row r="202" spans="1:23" s="26" customFormat="1" ht="25.5" x14ac:dyDescent="0.2">
      <c r="A202" s="28" t="s">
        <v>83</v>
      </c>
      <c r="B202" s="31">
        <v>905</v>
      </c>
      <c r="C202" s="24" t="s">
        <v>51</v>
      </c>
      <c r="D202" s="24" t="s">
        <v>18</v>
      </c>
      <c r="E202" s="19" t="s">
        <v>133</v>
      </c>
      <c r="F202" s="24" t="s">
        <v>71</v>
      </c>
      <c r="G202" s="25">
        <v>24881.1</v>
      </c>
      <c r="H202" s="25">
        <v>25876.2</v>
      </c>
      <c r="I202" s="25">
        <v>25876.2</v>
      </c>
    </row>
    <row r="203" spans="1:23" s="21" customFormat="1" ht="41.25" customHeight="1" x14ac:dyDescent="0.2">
      <c r="A203" s="18" t="s">
        <v>217</v>
      </c>
      <c r="B203" s="18">
        <v>905</v>
      </c>
      <c r="C203" s="19" t="s">
        <v>51</v>
      </c>
      <c r="D203" s="16" t="s">
        <v>18</v>
      </c>
      <c r="E203" s="19" t="s">
        <v>353</v>
      </c>
      <c r="F203" s="19"/>
      <c r="G203" s="20">
        <f>G204</f>
        <v>58079.3</v>
      </c>
      <c r="H203" s="20">
        <f>H204</f>
        <v>31948</v>
      </c>
      <c r="I203" s="20">
        <f>I204</f>
        <v>31948</v>
      </c>
      <c r="S203" s="270"/>
      <c r="T203" s="270"/>
      <c r="U203" s="270"/>
      <c r="V203" s="270"/>
      <c r="W203" s="270"/>
    </row>
    <row r="204" spans="1:23" s="79" customFormat="1" ht="25.5" x14ac:dyDescent="0.2">
      <c r="A204" s="87" t="s">
        <v>83</v>
      </c>
      <c r="B204" s="87">
        <v>905</v>
      </c>
      <c r="C204" s="82" t="s">
        <v>51</v>
      </c>
      <c r="D204" s="82" t="s">
        <v>18</v>
      </c>
      <c r="E204" s="77" t="s">
        <v>353</v>
      </c>
      <c r="F204" s="82" t="s">
        <v>71</v>
      </c>
      <c r="G204" s="62">
        <f>32117.2+25962.1</f>
        <v>58079.3</v>
      </c>
      <c r="H204" s="62">
        <v>31948</v>
      </c>
      <c r="I204" s="62">
        <v>31948</v>
      </c>
      <c r="S204" s="270"/>
      <c r="T204" s="270"/>
      <c r="U204" s="270"/>
      <c r="V204" s="270"/>
      <c r="W204" s="270"/>
    </row>
    <row r="205" spans="1:23" s="9" customFormat="1" ht="25.5" x14ac:dyDescent="0.2">
      <c r="A205" s="40" t="s">
        <v>63</v>
      </c>
      <c r="B205" s="37">
        <v>906</v>
      </c>
      <c r="C205" s="41"/>
      <c r="D205" s="41"/>
      <c r="E205" s="41"/>
      <c r="F205" s="41"/>
      <c r="G205" s="39">
        <f t="shared" ref="G205:I206" si="39">G206</f>
        <v>2941.3</v>
      </c>
      <c r="H205" s="39">
        <f t="shared" si="39"/>
        <v>2528.4</v>
      </c>
      <c r="I205" s="39">
        <f t="shared" si="39"/>
        <v>2528.4</v>
      </c>
    </row>
    <row r="206" spans="1:23" s="3" customFormat="1" x14ac:dyDescent="0.2">
      <c r="A206" s="13" t="s">
        <v>60</v>
      </c>
      <c r="B206" s="42">
        <v>906</v>
      </c>
      <c r="C206" s="1" t="s">
        <v>12</v>
      </c>
      <c r="D206" s="1"/>
      <c r="E206" s="1"/>
      <c r="F206" s="1"/>
      <c r="G206" s="2">
        <f t="shared" si="39"/>
        <v>2941.3</v>
      </c>
      <c r="H206" s="2">
        <f t="shared" si="39"/>
        <v>2528.4</v>
      </c>
      <c r="I206" s="2">
        <f t="shared" si="39"/>
        <v>2528.4</v>
      </c>
    </row>
    <row r="207" spans="1:23" s="9" customFormat="1" ht="38.25" x14ac:dyDescent="0.2">
      <c r="A207" s="11" t="s">
        <v>82</v>
      </c>
      <c r="B207" s="14">
        <v>906</v>
      </c>
      <c r="C207" s="8" t="s">
        <v>12</v>
      </c>
      <c r="D207" s="8" t="s">
        <v>50</v>
      </c>
      <c r="E207" s="8"/>
      <c r="F207" s="8"/>
      <c r="G207" s="4">
        <f>G208+G212</f>
        <v>2941.3</v>
      </c>
      <c r="H207" s="4">
        <f>H208+H212</f>
        <v>2528.4</v>
      </c>
      <c r="I207" s="4">
        <f>I208+I212</f>
        <v>2528.4</v>
      </c>
    </row>
    <row r="208" spans="1:23" s="21" customFormat="1" x14ac:dyDescent="0.2">
      <c r="A208" s="18" t="s">
        <v>219</v>
      </c>
      <c r="B208" s="22">
        <v>906</v>
      </c>
      <c r="C208" s="19" t="s">
        <v>12</v>
      </c>
      <c r="D208" s="19" t="s">
        <v>50</v>
      </c>
      <c r="E208" s="19" t="s">
        <v>218</v>
      </c>
      <c r="F208" s="19"/>
      <c r="G208" s="20">
        <f>+G209+G210+G211</f>
        <v>2175</v>
      </c>
      <c r="H208" s="20">
        <f>+H209+H210+H211</f>
        <v>1889.9</v>
      </c>
      <c r="I208" s="20">
        <f>+I209+I210+I211</f>
        <v>1889.9</v>
      </c>
      <c r="J208" s="117"/>
      <c r="K208" s="117"/>
      <c r="L208" s="117"/>
      <c r="M208" s="117"/>
      <c r="N208" s="117"/>
      <c r="O208" s="117"/>
      <c r="P208" s="117"/>
      <c r="Q208" s="117"/>
    </row>
    <row r="209" spans="1:17" s="26" customFormat="1" ht="53.25" customHeight="1" x14ac:dyDescent="0.2">
      <c r="A209" s="30" t="s">
        <v>66</v>
      </c>
      <c r="B209" s="32">
        <v>906</v>
      </c>
      <c r="C209" s="24" t="s">
        <v>12</v>
      </c>
      <c r="D209" s="24" t="s">
        <v>50</v>
      </c>
      <c r="E209" s="24" t="s">
        <v>218</v>
      </c>
      <c r="F209" s="27" t="s">
        <v>67</v>
      </c>
      <c r="G209" s="25">
        <f>1095.3+8.4+330.8+285.1</f>
        <v>1719.6</v>
      </c>
      <c r="H209" s="25">
        <f>1095.3+8.4+330.8</f>
        <v>1434.5</v>
      </c>
      <c r="I209" s="25">
        <f>1095.3+8.4+330.8</f>
        <v>1434.5</v>
      </c>
      <c r="J209" s="118"/>
      <c r="K209" s="118"/>
      <c r="L209" s="118"/>
      <c r="M209" s="118"/>
      <c r="N209" s="118"/>
      <c r="O209" s="118"/>
      <c r="P209" s="118"/>
      <c r="Q209" s="118"/>
    </row>
    <row r="210" spans="1:17" s="26" customFormat="1" ht="25.5" x14ac:dyDescent="0.2">
      <c r="A210" s="28" t="s">
        <v>76</v>
      </c>
      <c r="B210" s="31">
        <v>906</v>
      </c>
      <c r="C210" s="24" t="s">
        <v>12</v>
      </c>
      <c r="D210" s="24" t="s">
        <v>50</v>
      </c>
      <c r="E210" s="24" t="s">
        <v>218</v>
      </c>
      <c r="F210" s="27" t="s">
        <v>68</v>
      </c>
      <c r="G210" s="25">
        <f>44.7+67.6+67.3+3+171.1+45.8+2.5+40+10+3</f>
        <v>455</v>
      </c>
      <c r="H210" s="25">
        <f>44.7+67.6+67.3+3+171.1+45.8+2.5+40+10+3</f>
        <v>455</v>
      </c>
      <c r="I210" s="25">
        <f>44.7+67.6+67.3+3+171.1+45.8+2.5+40+10+3</f>
        <v>455</v>
      </c>
    </row>
    <row r="211" spans="1:17" s="26" customFormat="1" x14ac:dyDescent="0.2">
      <c r="A211" s="28" t="s">
        <v>72</v>
      </c>
      <c r="B211" s="31">
        <v>906</v>
      </c>
      <c r="C211" s="24" t="s">
        <v>12</v>
      </c>
      <c r="D211" s="24" t="s">
        <v>50</v>
      </c>
      <c r="E211" s="24" t="s">
        <v>218</v>
      </c>
      <c r="F211" s="24" t="s">
        <v>73</v>
      </c>
      <c r="G211" s="25">
        <v>0.4</v>
      </c>
      <c r="H211" s="25">
        <v>0.4</v>
      </c>
      <c r="I211" s="25">
        <v>0.4</v>
      </c>
    </row>
    <row r="212" spans="1:17" s="21" customFormat="1" x14ac:dyDescent="0.2">
      <c r="A212" s="18" t="s">
        <v>220</v>
      </c>
      <c r="B212" s="22">
        <v>906</v>
      </c>
      <c r="C212" s="19" t="s">
        <v>12</v>
      </c>
      <c r="D212" s="19" t="s">
        <v>50</v>
      </c>
      <c r="E212" s="19" t="s">
        <v>221</v>
      </c>
      <c r="F212" s="19"/>
      <c r="G212" s="20">
        <f>G213</f>
        <v>766.3</v>
      </c>
      <c r="H212" s="20">
        <f>H213</f>
        <v>638.5</v>
      </c>
      <c r="I212" s="20">
        <f>I213</f>
        <v>638.5</v>
      </c>
      <c r="J212" s="117"/>
      <c r="K212" s="117"/>
      <c r="L212" s="117"/>
      <c r="M212" s="117"/>
      <c r="N212" s="117"/>
      <c r="O212" s="117"/>
      <c r="P212" s="117"/>
      <c r="Q212" s="117"/>
    </row>
    <row r="213" spans="1:17" s="26" customFormat="1" ht="51" customHeight="1" x14ac:dyDescent="0.2">
      <c r="A213" s="30" t="s">
        <v>66</v>
      </c>
      <c r="B213" s="32">
        <v>906</v>
      </c>
      <c r="C213" s="24" t="s">
        <v>12</v>
      </c>
      <c r="D213" s="24" t="s">
        <v>50</v>
      </c>
      <c r="E213" s="24" t="s">
        <v>221</v>
      </c>
      <c r="F213" s="27" t="s">
        <v>67</v>
      </c>
      <c r="G213" s="25">
        <f>490.4+148.1+127.8</f>
        <v>766.3</v>
      </c>
      <c r="H213" s="25">
        <f>490.4+148.1</f>
        <v>638.5</v>
      </c>
      <c r="I213" s="25">
        <f>490.4+148.1</f>
        <v>638.5</v>
      </c>
      <c r="J213" s="118"/>
      <c r="K213" s="118"/>
      <c r="L213" s="118"/>
      <c r="M213" s="118"/>
      <c r="N213" s="118"/>
      <c r="O213" s="118"/>
      <c r="P213" s="118"/>
      <c r="Q213" s="118"/>
    </row>
    <row r="214" spans="1:17" s="9" customFormat="1" ht="25.5" x14ac:dyDescent="0.2">
      <c r="A214" s="40" t="s">
        <v>77</v>
      </c>
      <c r="B214" s="37">
        <v>907</v>
      </c>
      <c r="C214" s="41"/>
      <c r="D214" s="41"/>
      <c r="E214" s="41"/>
      <c r="F214" s="41"/>
      <c r="G214" s="39">
        <f>G215</f>
        <v>8410.8999999999978</v>
      </c>
      <c r="H214" s="39">
        <f>H215</f>
        <v>7479.4000000000005</v>
      </c>
      <c r="I214" s="39">
        <f>I215</f>
        <v>7479.4000000000005</v>
      </c>
    </row>
    <row r="215" spans="1:17" s="3" customFormat="1" x14ac:dyDescent="0.2">
      <c r="A215" s="13" t="s">
        <v>60</v>
      </c>
      <c r="B215" s="42">
        <v>907</v>
      </c>
      <c r="C215" s="1" t="s">
        <v>12</v>
      </c>
      <c r="D215" s="1"/>
      <c r="E215" s="1"/>
      <c r="F215" s="1"/>
      <c r="G215" s="2">
        <f>G216+G225</f>
        <v>8410.8999999999978</v>
      </c>
      <c r="H215" s="2">
        <f>H216+H225</f>
        <v>7479.4000000000005</v>
      </c>
      <c r="I215" s="2">
        <f>I216+I225</f>
        <v>7479.4000000000005</v>
      </c>
    </row>
    <row r="216" spans="1:17" s="9" customFormat="1" ht="51" x14ac:dyDescent="0.2">
      <c r="A216" s="11" t="s">
        <v>15</v>
      </c>
      <c r="B216" s="14">
        <v>907</v>
      </c>
      <c r="C216" s="8" t="s">
        <v>12</v>
      </c>
      <c r="D216" s="8" t="s">
        <v>16</v>
      </c>
      <c r="E216" s="8"/>
      <c r="F216" s="8"/>
      <c r="G216" s="4">
        <f>G217+G221+G223</f>
        <v>8266.5999999999985</v>
      </c>
      <c r="H216" s="4">
        <f>H217+H221+H223</f>
        <v>7335.1</v>
      </c>
      <c r="I216" s="4">
        <f>I217+I221+I223</f>
        <v>7335.1</v>
      </c>
      <c r="J216" s="127"/>
      <c r="K216" s="127"/>
      <c r="L216" s="127"/>
      <c r="M216" s="127"/>
      <c r="N216" s="127"/>
      <c r="O216" s="127"/>
      <c r="P216" s="127"/>
      <c r="Q216" s="127"/>
    </row>
    <row r="217" spans="1:17" s="21" customFormat="1" x14ac:dyDescent="0.2">
      <c r="A217" s="18" t="s">
        <v>219</v>
      </c>
      <c r="B217" s="22">
        <v>907</v>
      </c>
      <c r="C217" s="19" t="s">
        <v>12</v>
      </c>
      <c r="D217" s="19" t="s">
        <v>16</v>
      </c>
      <c r="E217" s="19" t="s">
        <v>218</v>
      </c>
      <c r="F217" s="19"/>
      <c r="G217" s="20">
        <f>G218+G219+G220</f>
        <v>3446.2999999999997</v>
      </c>
      <c r="H217" s="20">
        <f>H218+H219+H220</f>
        <v>3003.7</v>
      </c>
      <c r="I217" s="20">
        <f>I218+I219+I220</f>
        <v>3003.7</v>
      </c>
      <c r="J217" s="117"/>
      <c r="K217" s="117"/>
      <c r="L217" s="117"/>
      <c r="M217" s="117"/>
      <c r="N217" s="117"/>
      <c r="O217" s="117"/>
      <c r="P217" s="117"/>
      <c r="Q217" s="117"/>
    </row>
    <row r="218" spans="1:17" s="26" customFormat="1" ht="51.75" customHeight="1" x14ac:dyDescent="0.2">
      <c r="A218" s="30" t="s">
        <v>66</v>
      </c>
      <c r="B218" s="32">
        <v>907</v>
      </c>
      <c r="C218" s="24" t="s">
        <v>12</v>
      </c>
      <c r="D218" s="24" t="s">
        <v>16</v>
      </c>
      <c r="E218" s="24" t="s">
        <v>218</v>
      </c>
      <c r="F218" s="27" t="s">
        <v>67</v>
      </c>
      <c r="G218" s="25">
        <f>2547.6+442.6</f>
        <v>2990.2</v>
      </c>
      <c r="H218" s="25">
        <v>2547.6</v>
      </c>
      <c r="I218" s="25">
        <v>2547.6</v>
      </c>
      <c r="J218" s="118"/>
      <c r="K218" s="118"/>
      <c r="L218" s="118"/>
      <c r="M218" s="118"/>
      <c r="N218" s="118"/>
      <c r="O218" s="118"/>
      <c r="P218" s="118"/>
      <c r="Q218" s="118"/>
    </row>
    <row r="219" spans="1:17" s="26" customFormat="1" ht="25.5" x14ac:dyDescent="0.2">
      <c r="A219" s="28" t="s">
        <v>76</v>
      </c>
      <c r="B219" s="32">
        <v>907</v>
      </c>
      <c r="C219" s="24" t="s">
        <v>12</v>
      </c>
      <c r="D219" s="24" t="s">
        <v>16</v>
      </c>
      <c r="E219" s="24" t="s">
        <v>218</v>
      </c>
      <c r="F219" s="27" t="s">
        <v>68</v>
      </c>
      <c r="G219" s="25">
        <v>454.1</v>
      </c>
      <c r="H219" s="25">
        <v>454.1</v>
      </c>
      <c r="I219" s="25">
        <v>454.1</v>
      </c>
    </row>
    <row r="220" spans="1:17" s="26" customFormat="1" x14ac:dyDescent="0.2">
      <c r="A220" s="28" t="s">
        <v>72</v>
      </c>
      <c r="B220" s="31">
        <v>907</v>
      </c>
      <c r="C220" s="24" t="s">
        <v>12</v>
      </c>
      <c r="D220" s="24" t="s">
        <v>16</v>
      </c>
      <c r="E220" s="24" t="s">
        <v>218</v>
      </c>
      <c r="F220" s="24" t="s">
        <v>73</v>
      </c>
      <c r="G220" s="25">
        <v>2</v>
      </c>
      <c r="H220" s="25">
        <v>2</v>
      </c>
      <c r="I220" s="25">
        <v>2</v>
      </c>
    </row>
    <row r="221" spans="1:17" s="21" customFormat="1" ht="25.5" x14ac:dyDescent="0.2">
      <c r="A221" s="18" t="s">
        <v>222</v>
      </c>
      <c r="B221" s="22">
        <v>907</v>
      </c>
      <c r="C221" s="19" t="s">
        <v>12</v>
      </c>
      <c r="D221" s="19" t="s">
        <v>16</v>
      </c>
      <c r="E221" s="19" t="s">
        <v>224</v>
      </c>
      <c r="F221" s="19"/>
      <c r="G221" s="20">
        <f>G222</f>
        <v>1817</v>
      </c>
      <c r="H221" s="20">
        <f>H222</f>
        <v>1514.4</v>
      </c>
      <c r="I221" s="20">
        <f>I222</f>
        <v>1514.4</v>
      </c>
      <c r="J221" s="117"/>
      <c r="K221" s="117"/>
      <c r="L221" s="117"/>
      <c r="M221" s="117"/>
      <c r="N221" s="117"/>
      <c r="O221" s="117"/>
      <c r="P221" s="117"/>
      <c r="Q221" s="117"/>
    </row>
    <row r="222" spans="1:17" s="26" customFormat="1" ht="51.75" customHeight="1" x14ac:dyDescent="0.2">
      <c r="A222" s="30" t="s">
        <v>66</v>
      </c>
      <c r="B222" s="32">
        <v>907</v>
      </c>
      <c r="C222" s="24" t="s">
        <v>12</v>
      </c>
      <c r="D222" s="24" t="s">
        <v>16</v>
      </c>
      <c r="E222" s="24" t="s">
        <v>224</v>
      </c>
      <c r="F222" s="27" t="s">
        <v>67</v>
      </c>
      <c r="G222" s="25">
        <f>1514.4+302.6</f>
        <v>1817</v>
      </c>
      <c r="H222" s="25">
        <v>1514.4</v>
      </c>
      <c r="I222" s="25">
        <v>1514.4</v>
      </c>
      <c r="J222" s="118"/>
      <c r="K222" s="118"/>
      <c r="L222" s="118"/>
      <c r="M222" s="118"/>
      <c r="N222" s="118"/>
      <c r="O222" s="118"/>
      <c r="P222" s="118"/>
      <c r="Q222" s="118"/>
    </row>
    <row r="223" spans="1:17" s="21" customFormat="1" ht="25.5" x14ac:dyDescent="0.2">
      <c r="A223" s="18" t="s">
        <v>223</v>
      </c>
      <c r="B223" s="22">
        <v>907</v>
      </c>
      <c r="C223" s="19" t="s">
        <v>12</v>
      </c>
      <c r="D223" s="19" t="s">
        <v>16</v>
      </c>
      <c r="E223" s="19" t="s">
        <v>225</v>
      </c>
      <c r="F223" s="19"/>
      <c r="G223" s="20">
        <f>G224</f>
        <v>3003.3</v>
      </c>
      <c r="H223" s="20">
        <f>H224</f>
        <v>2817</v>
      </c>
      <c r="I223" s="20">
        <f>I224</f>
        <v>2817</v>
      </c>
      <c r="J223" s="117"/>
      <c r="K223" s="117"/>
      <c r="L223" s="117"/>
      <c r="M223" s="117"/>
      <c r="N223" s="117"/>
      <c r="O223" s="117"/>
      <c r="P223" s="117"/>
      <c r="Q223" s="117"/>
    </row>
    <row r="224" spans="1:17" s="26" customFormat="1" ht="51" customHeight="1" x14ac:dyDescent="0.2">
      <c r="A224" s="30" t="s">
        <v>66</v>
      </c>
      <c r="B224" s="32">
        <v>907</v>
      </c>
      <c r="C224" s="24" t="s">
        <v>12</v>
      </c>
      <c r="D224" s="24" t="s">
        <v>16</v>
      </c>
      <c r="E224" s="24" t="s">
        <v>225</v>
      </c>
      <c r="F224" s="27" t="s">
        <v>67</v>
      </c>
      <c r="G224" s="25">
        <f>2817+186.3</f>
        <v>3003.3</v>
      </c>
      <c r="H224" s="25">
        <v>2817</v>
      </c>
      <c r="I224" s="25">
        <v>2817</v>
      </c>
      <c r="J224" s="118"/>
      <c r="K224" s="118"/>
      <c r="L224" s="118"/>
      <c r="M224" s="118"/>
      <c r="N224" s="118"/>
      <c r="O224" s="118"/>
      <c r="P224" s="118"/>
      <c r="Q224" s="118"/>
    </row>
    <row r="225" spans="1:17" s="9" customFormat="1" x14ac:dyDescent="0.2">
      <c r="A225" s="11" t="s">
        <v>24</v>
      </c>
      <c r="B225" s="14">
        <v>907</v>
      </c>
      <c r="C225" s="8" t="s">
        <v>12</v>
      </c>
      <c r="D225" s="8" t="s">
        <v>61</v>
      </c>
      <c r="E225" s="8"/>
      <c r="F225" s="8"/>
      <c r="G225" s="4">
        <f t="shared" ref="G225:I226" si="40">G226</f>
        <v>144.30000000000001</v>
      </c>
      <c r="H225" s="4">
        <f t="shared" si="40"/>
        <v>144.30000000000001</v>
      </c>
      <c r="I225" s="4">
        <f t="shared" si="40"/>
        <v>144.30000000000001</v>
      </c>
    </row>
    <row r="226" spans="1:17" s="21" customFormat="1" x14ac:dyDescent="0.2">
      <c r="A226" s="18" t="s">
        <v>227</v>
      </c>
      <c r="B226" s="22">
        <v>907</v>
      </c>
      <c r="C226" s="19" t="s">
        <v>12</v>
      </c>
      <c r="D226" s="19" t="s">
        <v>61</v>
      </c>
      <c r="E226" s="19" t="s">
        <v>226</v>
      </c>
      <c r="F226" s="19"/>
      <c r="G226" s="20">
        <f t="shared" si="40"/>
        <v>144.30000000000001</v>
      </c>
      <c r="H226" s="20">
        <f t="shared" si="40"/>
        <v>144.30000000000001</v>
      </c>
      <c r="I226" s="20">
        <f t="shared" si="40"/>
        <v>144.30000000000001</v>
      </c>
    </row>
    <row r="227" spans="1:17" s="26" customFormat="1" x14ac:dyDescent="0.2">
      <c r="A227" s="28" t="s">
        <v>69</v>
      </c>
      <c r="B227" s="31">
        <v>907</v>
      </c>
      <c r="C227" s="24" t="s">
        <v>12</v>
      </c>
      <c r="D227" s="24" t="s">
        <v>61</v>
      </c>
      <c r="E227" s="24" t="s">
        <v>226</v>
      </c>
      <c r="F227" s="24" t="s">
        <v>70</v>
      </c>
      <c r="G227" s="25">
        <v>144.30000000000001</v>
      </c>
      <c r="H227" s="25">
        <v>144.30000000000001</v>
      </c>
      <c r="I227" s="25">
        <v>144.30000000000001</v>
      </c>
    </row>
    <row r="228" spans="1:17" s="9" customFormat="1" ht="25.5" x14ac:dyDescent="0.2">
      <c r="A228" s="40" t="s">
        <v>46</v>
      </c>
      <c r="B228" s="37">
        <v>911</v>
      </c>
      <c r="C228" s="41"/>
      <c r="D228" s="41"/>
      <c r="E228" s="41"/>
      <c r="F228" s="41"/>
      <c r="G228" s="39">
        <f>G229+G330</f>
        <v>1421667.3375000001</v>
      </c>
      <c r="H228" s="39">
        <f>H229+H330</f>
        <v>1219267.2000000002</v>
      </c>
      <c r="I228" s="39">
        <f>I229+I330</f>
        <v>1172635.6000000001</v>
      </c>
    </row>
    <row r="229" spans="1:17" s="99" customFormat="1" x14ac:dyDescent="0.2">
      <c r="A229" s="98" t="s">
        <v>37</v>
      </c>
      <c r="B229" s="64">
        <v>911</v>
      </c>
      <c r="C229" s="65" t="s">
        <v>19</v>
      </c>
      <c r="D229" s="65"/>
      <c r="E229" s="65"/>
      <c r="F229" s="65"/>
      <c r="G229" s="68">
        <f>G230+G247+G287+G296</f>
        <v>1360963.5375000001</v>
      </c>
      <c r="H229" s="68">
        <f>H230+H247+H287+H296</f>
        <v>1159429.0000000002</v>
      </c>
      <c r="I229" s="68">
        <f>I230+I247+I287+I296</f>
        <v>1114746.5</v>
      </c>
    </row>
    <row r="230" spans="1:17" s="9" customFormat="1" x14ac:dyDescent="0.2">
      <c r="A230" s="11" t="s">
        <v>38</v>
      </c>
      <c r="B230" s="14">
        <v>911</v>
      </c>
      <c r="C230" s="8" t="s">
        <v>19</v>
      </c>
      <c r="D230" s="8" t="s">
        <v>12</v>
      </c>
      <c r="E230" s="8"/>
      <c r="F230" s="8"/>
      <c r="G230" s="4">
        <f>G234+G236+G240+G231+G245</f>
        <v>460052.4</v>
      </c>
      <c r="H230" s="4">
        <f t="shared" ref="H230:I230" si="41">H234+H236+H240+H231+H245</f>
        <v>439750.1</v>
      </c>
      <c r="I230" s="4">
        <f t="shared" si="41"/>
        <v>431938.5</v>
      </c>
    </row>
    <row r="231" spans="1:17" ht="25.5" x14ac:dyDescent="0.2">
      <c r="A231" s="17" t="s">
        <v>163</v>
      </c>
      <c r="B231" s="17">
        <v>911</v>
      </c>
      <c r="C231" s="19" t="s">
        <v>19</v>
      </c>
      <c r="D231" s="19" t="s">
        <v>12</v>
      </c>
      <c r="E231" s="19" t="s">
        <v>162</v>
      </c>
      <c r="F231" s="5"/>
      <c r="G231" s="6">
        <f>G233+G232</f>
        <v>8853.5</v>
      </c>
      <c r="H231" s="6">
        <f t="shared" ref="H231:I231" si="42">H233+H232</f>
        <v>6701.7999999999993</v>
      </c>
      <c r="I231" s="6">
        <f t="shared" si="42"/>
        <v>6701.7999999999993</v>
      </c>
      <c r="J231" s="117"/>
      <c r="K231" s="117"/>
      <c r="L231" s="117"/>
      <c r="M231" s="117"/>
      <c r="N231" s="117"/>
      <c r="O231" s="117"/>
      <c r="P231" s="117"/>
      <c r="Q231" s="117"/>
    </row>
    <row r="232" spans="1:17" ht="25.5" x14ac:dyDescent="0.2">
      <c r="A232" s="28" t="s">
        <v>76</v>
      </c>
      <c r="B232" s="28">
        <v>911</v>
      </c>
      <c r="C232" s="24" t="s">
        <v>19</v>
      </c>
      <c r="D232" s="24" t="s">
        <v>12</v>
      </c>
      <c r="E232" s="24" t="s">
        <v>162</v>
      </c>
      <c r="F232" s="24" t="s">
        <v>68</v>
      </c>
      <c r="G232" s="25">
        <f>362+815+233.3+330.2+234.5+63.6</f>
        <v>2038.6</v>
      </c>
      <c r="H232" s="25">
        <f>362+815</f>
        <v>1177</v>
      </c>
      <c r="I232" s="25">
        <f>362+815</f>
        <v>1177</v>
      </c>
      <c r="J232" s="117"/>
      <c r="K232" s="117"/>
      <c r="L232" s="117"/>
      <c r="M232" s="117"/>
      <c r="N232" s="117"/>
      <c r="O232" s="117"/>
      <c r="P232" s="117"/>
      <c r="Q232" s="117"/>
    </row>
    <row r="233" spans="1:17" ht="25.5" x14ac:dyDescent="0.2">
      <c r="A233" s="28" t="s">
        <v>141</v>
      </c>
      <c r="B233" s="28">
        <v>911</v>
      </c>
      <c r="C233" s="24" t="s">
        <v>19</v>
      </c>
      <c r="D233" s="24" t="s">
        <v>12</v>
      </c>
      <c r="E233" s="24" t="s">
        <v>162</v>
      </c>
      <c r="F233" s="24" t="s">
        <v>65</v>
      </c>
      <c r="G233" s="25">
        <f>2104.2+3420.6+1152+479.1-899.6+190.5+368.1</f>
        <v>6814.9</v>
      </c>
      <c r="H233" s="25">
        <f>2104.2+3420.6</f>
        <v>5524.7999999999993</v>
      </c>
      <c r="I233" s="25">
        <f>2104.2+3420.6</f>
        <v>5524.7999999999993</v>
      </c>
      <c r="J233" s="117"/>
      <c r="K233" s="117"/>
      <c r="L233" s="117"/>
      <c r="M233" s="117"/>
      <c r="N233" s="117"/>
      <c r="O233" s="117"/>
      <c r="P233" s="117"/>
      <c r="Q233" s="117"/>
    </row>
    <row r="234" spans="1:17" x14ac:dyDescent="0.2">
      <c r="A234" s="18" t="s">
        <v>174</v>
      </c>
      <c r="B234" s="22">
        <v>911</v>
      </c>
      <c r="C234" s="19" t="s">
        <v>19</v>
      </c>
      <c r="D234" s="19" t="s">
        <v>12</v>
      </c>
      <c r="E234" s="24" t="s">
        <v>173</v>
      </c>
      <c r="F234" s="19"/>
      <c r="G234" s="20">
        <f>G235</f>
        <v>4135.5</v>
      </c>
      <c r="H234" s="20">
        <f>H235</f>
        <v>0</v>
      </c>
      <c r="I234" s="20">
        <f>I235</f>
        <v>0</v>
      </c>
      <c r="J234" s="117"/>
      <c r="K234" s="117"/>
      <c r="L234" s="117"/>
      <c r="M234" s="117"/>
      <c r="N234" s="117"/>
      <c r="O234" s="117"/>
      <c r="P234" s="117"/>
      <c r="Q234" s="117"/>
    </row>
    <row r="235" spans="1:17" s="26" customFormat="1" ht="25.5" x14ac:dyDescent="0.2">
      <c r="A235" s="28" t="s">
        <v>83</v>
      </c>
      <c r="B235" s="22">
        <v>911</v>
      </c>
      <c r="C235" s="19" t="s">
        <v>19</v>
      </c>
      <c r="D235" s="19" t="s">
        <v>12</v>
      </c>
      <c r="E235" s="24" t="s">
        <v>173</v>
      </c>
      <c r="F235" s="24" t="s">
        <v>71</v>
      </c>
      <c r="G235" s="25">
        <f>3323.7+811.8</f>
        <v>4135.5</v>
      </c>
      <c r="H235" s="25">
        <v>0</v>
      </c>
      <c r="I235" s="25">
        <v>0</v>
      </c>
      <c r="J235" s="118"/>
      <c r="K235" s="118"/>
      <c r="L235" s="118"/>
      <c r="M235" s="118"/>
      <c r="N235" s="118"/>
      <c r="O235" s="118"/>
      <c r="P235" s="118"/>
      <c r="Q235" s="118"/>
    </row>
    <row r="236" spans="1:17" s="117" customFormat="1" ht="51" x14ac:dyDescent="0.2">
      <c r="A236" s="264" t="s">
        <v>360</v>
      </c>
      <c r="B236" s="229">
        <v>911</v>
      </c>
      <c r="C236" s="230" t="s">
        <v>19</v>
      </c>
      <c r="D236" s="230" t="s">
        <v>12</v>
      </c>
      <c r="E236" s="230" t="s">
        <v>123</v>
      </c>
      <c r="F236" s="230"/>
      <c r="G236" s="231">
        <f>G239+G237+G238</f>
        <v>245466.7</v>
      </c>
      <c r="H236" s="231">
        <f t="shared" ref="H236:I236" si="43">H239+H237+H238</f>
        <v>256466.7</v>
      </c>
      <c r="I236" s="231">
        <f t="shared" si="43"/>
        <v>256466.7</v>
      </c>
    </row>
    <row r="237" spans="1:17" s="117" customFormat="1" ht="49.5" customHeight="1" x14ac:dyDescent="0.2">
      <c r="A237" s="251" t="s">
        <v>66</v>
      </c>
      <c r="B237" s="253">
        <v>911</v>
      </c>
      <c r="C237" s="225" t="s">
        <v>19</v>
      </c>
      <c r="D237" s="225" t="s">
        <v>12</v>
      </c>
      <c r="E237" s="225" t="s">
        <v>123</v>
      </c>
      <c r="F237" s="248" t="s">
        <v>67</v>
      </c>
      <c r="G237" s="226">
        <f>37630.8+3896.7-677</f>
        <v>40850.5</v>
      </c>
      <c r="H237" s="226">
        <f>37630.8+3896.7</f>
        <v>41527.5</v>
      </c>
      <c r="I237" s="226">
        <f>37630.8+3896.7</f>
        <v>41527.5</v>
      </c>
    </row>
    <row r="238" spans="1:17" s="21" customFormat="1" ht="25.5" x14ac:dyDescent="0.2">
      <c r="A238" s="28" t="s">
        <v>76</v>
      </c>
      <c r="B238" s="23">
        <v>911</v>
      </c>
      <c r="C238" s="24" t="s">
        <v>19</v>
      </c>
      <c r="D238" s="24" t="s">
        <v>12</v>
      </c>
      <c r="E238" s="24" t="s">
        <v>123</v>
      </c>
      <c r="F238" s="27" t="s">
        <v>68</v>
      </c>
      <c r="G238" s="25">
        <f>153-4.6</f>
        <v>148.4</v>
      </c>
      <c r="H238" s="25">
        <f>153-4.6</f>
        <v>148.4</v>
      </c>
      <c r="I238" s="25">
        <f>153-4.6</f>
        <v>148.4</v>
      </c>
    </row>
    <row r="239" spans="1:17" s="118" customFormat="1" ht="25.5" x14ac:dyDescent="0.2">
      <c r="A239" s="224" t="s">
        <v>141</v>
      </c>
      <c r="B239" s="227">
        <v>911</v>
      </c>
      <c r="C239" s="225" t="s">
        <v>19</v>
      </c>
      <c r="D239" s="225" t="s">
        <v>12</v>
      </c>
      <c r="E239" s="225" t="s">
        <v>123</v>
      </c>
      <c r="F239" s="225" t="s">
        <v>65</v>
      </c>
      <c r="G239" s="226">
        <f>197353.7+17437.1-10323</f>
        <v>204467.80000000002</v>
      </c>
      <c r="H239" s="226">
        <f>197353.7+17437.1</f>
        <v>214790.80000000002</v>
      </c>
      <c r="I239" s="226">
        <f>197353.7+17437.1</f>
        <v>214790.80000000002</v>
      </c>
    </row>
    <row r="240" spans="1:17" s="117" customFormat="1" ht="63.75" x14ac:dyDescent="0.2">
      <c r="A240" s="228" t="s">
        <v>344</v>
      </c>
      <c r="B240" s="229">
        <v>911</v>
      </c>
      <c r="C240" s="230" t="s">
        <v>19</v>
      </c>
      <c r="D240" s="230" t="s">
        <v>12</v>
      </c>
      <c r="E240" s="230" t="s">
        <v>237</v>
      </c>
      <c r="F240" s="230"/>
      <c r="G240" s="231">
        <f>G243+G242+G241+G244</f>
        <v>201332.69999999998</v>
      </c>
      <c r="H240" s="231">
        <f>H243+H242+H241+H244</f>
        <v>176581.59999999998</v>
      </c>
      <c r="I240" s="231">
        <f>I243+I242+I241+I244</f>
        <v>168770</v>
      </c>
    </row>
    <row r="241" spans="1:17" s="117" customFormat="1" ht="53.25" customHeight="1" x14ac:dyDescent="0.2">
      <c r="A241" s="251" t="s">
        <v>66</v>
      </c>
      <c r="B241" s="229">
        <v>911</v>
      </c>
      <c r="C241" s="230" t="s">
        <v>19</v>
      </c>
      <c r="D241" s="230" t="s">
        <v>12</v>
      </c>
      <c r="E241" s="230" t="s">
        <v>237</v>
      </c>
      <c r="F241" s="230" t="s">
        <v>67</v>
      </c>
      <c r="G241" s="231">
        <f>22781.9+1573.6</f>
        <v>24355.5</v>
      </c>
      <c r="H241" s="231">
        <v>22781.9</v>
      </c>
      <c r="I241" s="231">
        <v>22781.9</v>
      </c>
    </row>
    <row r="242" spans="1:17" s="117" customFormat="1" ht="25.5" x14ac:dyDescent="0.2">
      <c r="A242" s="224" t="s">
        <v>76</v>
      </c>
      <c r="B242" s="253">
        <v>911</v>
      </c>
      <c r="C242" s="225" t="s">
        <v>19</v>
      </c>
      <c r="D242" s="225" t="s">
        <v>12</v>
      </c>
      <c r="E242" s="225" t="s">
        <v>237</v>
      </c>
      <c r="F242" s="248" t="s">
        <v>68</v>
      </c>
      <c r="G242" s="226">
        <f>5701.8+4085.8-81.3-490-3.3+2428.2</f>
        <v>11641.2</v>
      </c>
      <c r="H242" s="226">
        <f>5701.8+4085.8-81.3</f>
        <v>9706.3000000000011</v>
      </c>
      <c r="I242" s="226">
        <f>5701.8+3176.2-81.3</f>
        <v>8796.7000000000007</v>
      </c>
    </row>
    <row r="243" spans="1:17" s="118" customFormat="1" ht="25.5" x14ac:dyDescent="0.2">
      <c r="A243" s="224" t="s">
        <v>141</v>
      </c>
      <c r="B243" s="227">
        <v>911</v>
      </c>
      <c r="C243" s="225" t="s">
        <v>19</v>
      </c>
      <c r="D243" s="225" t="s">
        <v>12</v>
      </c>
      <c r="E243" s="225" t="s">
        <v>237</v>
      </c>
      <c r="F243" s="225" t="s">
        <v>65</v>
      </c>
      <c r="G243" s="226">
        <f>147302.9-3800-2510-500-149-310+24932.3</f>
        <v>164966.19999999998</v>
      </c>
      <c r="H243" s="226">
        <f>147302.9-3800</f>
        <v>143502.9</v>
      </c>
      <c r="I243" s="226">
        <f>140400.9-3800</f>
        <v>136600.9</v>
      </c>
    </row>
    <row r="244" spans="1:17" s="26" customFormat="1" x14ac:dyDescent="0.2">
      <c r="A244" s="28" t="s">
        <v>72</v>
      </c>
      <c r="B244" s="31">
        <v>911</v>
      </c>
      <c r="C244" s="24" t="s">
        <v>19</v>
      </c>
      <c r="D244" s="24" t="s">
        <v>12</v>
      </c>
      <c r="E244" s="24" t="s">
        <v>237</v>
      </c>
      <c r="F244" s="24" t="s">
        <v>73</v>
      </c>
      <c r="G244" s="25">
        <f>590.5+3.3-24-200</f>
        <v>369.79999999999995</v>
      </c>
      <c r="H244" s="25">
        <v>590.5</v>
      </c>
      <c r="I244" s="25">
        <v>590.5</v>
      </c>
      <c r="J244" s="118"/>
      <c r="K244" s="118"/>
      <c r="L244" s="118"/>
      <c r="M244" s="118"/>
      <c r="N244" s="118"/>
      <c r="O244" s="118"/>
      <c r="P244" s="118"/>
      <c r="Q244" s="118"/>
    </row>
    <row r="245" spans="1:17" s="26" customFormat="1" ht="25.5" x14ac:dyDescent="0.2">
      <c r="A245" s="18" t="s">
        <v>699</v>
      </c>
      <c r="B245" s="22">
        <v>911</v>
      </c>
      <c r="C245" s="19" t="s">
        <v>19</v>
      </c>
      <c r="D245" s="19" t="s">
        <v>12</v>
      </c>
      <c r="E245" s="19" t="s">
        <v>717</v>
      </c>
      <c r="F245" s="24"/>
      <c r="G245" s="25">
        <f>G246</f>
        <v>264</v>
      </c>
      <c r="H245" s="25">
        <f t="shared" ref="H245:I245" si="44">H246</f>
        <v>0</v>
      </c>
      <c r="I245" s="25">
        <f t="shared" si="44"/>
        <v>0</v>
      </c>
      <c r="J245" s="118"/>
      <c r="K245" s="118"/>
      <c r="L245" s="118"/>
      <c r="M245" s="118"/>
      <c r="N245" s="118"/>
      <c r="O245" s="118"/>
      <c r="P245" s="118"/>
      <c r="Q245" s="118"/>
    </row>
    <row r="246" spans="1:17" s="26" customFormat="1" ht="25.5" x14ac:dyDescent="0.2">
      <c r="A246" s="28" t="s">
        <v>76</v>
      </c>
      <c r="B246" s="31">
        <v>911</v>
      </c>
      <c r="C246" s="24" t="s">
        <v>19</v>
      </c>
      <c r="D246" s="24" t="s">
        <v>12</v>
      </c>
      <c r="E246" s="24" t="s">
        <v>717</v>
      </c>
      <c r="F246" s="24" t="s">
        <v>68</v>
      </c>
      <c r="G246" s="25">
        <f>240+24</f>
        <v>264</v>
      </c>
      <c r="H246" s="25">
        <v>0</v>
      </c>
      <c r="I246" s="25">
        <v>0</v>
      </c>
      <c r="J246" s="118"/>
      <c r="K246" s="118"/>
      <c r="L246" s="118"/>
      <c r="M246" s="118"/>
      <c r="N246" s="118"/>
      <c r="O246" s="118"/>
      <c r="P246" s="118"/>
      <c r="Q246" s="118"/>
    </row>
    <row r="247" spans="1:17" s="9" customFormat="1" x14ac:dyDescent="0.2">
      <c r="A247" s="11" t="s">
        <v>39</v>
      </c>
      <c r="B247" s="14">
        <v>911</v>
      </c>
      <c r="C247" s="8" t="s">
        <v>19</v>
      </c>
      <c r="D247" s="8" t="s">
        <v>14</v>
      </c>
      <c r="E247" s="8"/>
      <c r="F247" s="8"/>
      <c r="G247" s="4">
        <f>G259+G263+G267+G269+G271+G275+G284+G281+G278+G252+G255+G248+G257+G250</f>
        <v>675145.23749999993</v>
      </c>
      <c r="H247" s="4">
        <f t="shared" ref="H247:I247" si="45">H259+H263+H267+H269+H271+H275+H284+H281+H278+H252+H255+H248+H257+H250</f>
        <v>517636.20000000007</v>
      </c>
      <c r="I247" s="4">
        <f t="shared" si="45"/>
        <v>484731.7</v>
      </c>
      <c r="J247" s="127"/>
      <c r="K247" s="127"/>
      <c r="L247" s="127"/>
      <c r="M247" s="127"/>
      <c r="N247" s="127"/>
      <c r="O247" s="127"/>
      <c r="P247" s="127"/>
      <c r="Q247" s="127"/>
    </row>
    <row r="248" spans="1:17" s="9" customFormat="1" ht="25.5" x14ac:dyDescent="0.2">
      <c r="A248" s="18" t="s">
        <v>443</v>
      </c>
      <c r="B248" s="18">
        <v>911</v>
      </c>
      <c r="C248" s="19" t="s">
        <v>19</v>
      </c>
      <c r="D248" s="19" t="s">
        <v>14</v>
      </c>
      <c r="E248" s="19" t="s">
        <v>691</v>
      </c>
      <c r="F248" s="19"/>
      <c r="G248" s="20">
        <f>G249</f>
        <v>1321.6100000000001</v>
      </c>
      <c r="H248" s="20">
        <f t="shared" ref="H248:I250" si="46">H249</f>
        <v>0</v>
      </c>
      <c r="I248" s="20">
        <f t="shared" si="46"/>
        <v>0</v>
      </c>
      <c r="J248" s="127"/>
      <c r="K248" s="127"/>
      <c r="L248" s="127"/>
      <c r="M248" s="127"/>
      <c r="N248" s="127"/>
      <c r="O248" s="127"/>
      <c r="P248" s="127"/>
      <c r="Q248" s="127"/>
    </row>
    <row r="249" spans="1:17" s="9" customFormat="1" ht="25.5" x14ac:dyDescent="0.2">
      <c r="A249" s="28" t="s">
        <v>141</v>
      </c>
      <c r="B249" s="28">
        <v>911</v>
      </c>
      <c r="C249" s="24" t="s">
        <v>19</v>
      </c>
      <c r="D249" s="24" t="s">
        <v>14</v>
      </c>
      <c r="E249" s="24" t="s">
        <v>691</v>
      </c>
      <c r="F249" s="24" t="s">
        <v>65</v>
      </c>
      <c r="G249" s="25">
        <f>200+900.615+220.995</f>
        <v>1321.6100000000001</v>
      </c>
      <c r="H249" s="25">
        <v>0</v>
      </c>
      <c r="I249" s="25">
        <v>0</v>
      </c>
      <c r="J249" s="127"/>
      <c r="K249" s="127"/>
      <c r="L249" s="127"/>
      <c r="M249" s="127"/>
      <c r="N249" s="127"/>
      <c r="O249" s="127"/>
      <c r="P249" s="127"/>
      <c r="Q249" s="127"/>
    </row>
    <row r="250" spans="1:17" s="9" customFormat="1" ht="25.5" x14ac:dyDescent="0.2">
      <c r="A250" s="18" t="s">
        <v>443</v>
      </c>
      <c r="B250" s="18">
        <v>911</v>
      </c>
      <c r="C250" s="19" t="s">
        <v>19</v>
      </c>
      <c r="D250" s="19" t="s">
        <v>14</v>
      </c>
      <c r="E250" s="19" t="s">
        <v>721</v>
      </c>
      <c r="F250" s="19"/>
      <c r="G250" s="20">
        <f>G251</f>
        <v>1250</v>
      </c>
      <c r="H250" s="20">
        <f t="shared" si="46"/>
        <v>0</v>
      </c>
      <c r="I250" s="20">
        <f t="shared" si="46"/>
        <v>0</v>
      </c>
      <c r="J250" s="127"/>
      <c r="K250" s="127"/>
      <c r="L250" s="127"/>
      <c r="M250" s="127"/>
      <c r="N250" s="127"/>
      <c r="O250" s="127"/>
      <c r="P250" s="127"/>
      <c r="Q250" s="127"/>
    </row>
    <row r="251" spans="1:17" s="9" customFormat="1" ht="25.5" x14ac:dyDescent="0.2">
      <c r="A251" s="28" t="s">
        <v>141</v>
      </c>
      <c r="B251" s="28">
        <v>911</v>
      </c>
      <c r="C251" s="24" t="s">
        <v>19</v>
      </c>
      <c r="D251" s="24" t="s">
        <v>14</v>
      </c>
      <c r="E251" s="24" t="s">
        <v>721</v>
      </c>
      <c r="F251" s="24" t="s">
        <v>65</v>
      </c>
      <c r="G251" s="25">
        <v>1250</v>
      </c>
      <c r="H251" s="25">
        <v>0</v>
      </c>
      <c r="I251" s="25">
        <v>0</v>
      </c>
      <c r="J251" s="127"/>
      <c r="K251" s="127"/>
      <c r="L251" s="127"/>
      <c r="M251" s="127"/>
      <c r="N251" s="127"/>
      <c r="O251" s="127"/>
      <c r="P251" s="127"/>
      <c r="Q251" s="127"/>
    </row>
    <row r="252" spans="1:17" ht="25.5" x14ac:dyDescent="0.2">
      <c r="A252" s="17" t="s">
        <v>163</v>
      </c>
      <c r="B252" s="17">
        <v>911</v>
      </c>
      <c r="C252" s="19" t="s">
        <v>19</v>
      </c>
      <c r="D252" s="19" t="s">
        <v>14</v>
      </c>
      <c r="E252" s="19" t="s">
        <v>162</v>
      </c>
      <c r="F252" s="5"/>
      <c r="G252" s="6">
        <f>G254+G253</f>
        <v>12421.895</v>
      </c>
      <c r="H252" s="6">
        <f t="shared" ref="H252:I252" si="47">H254+H253</f>
        <v>6744.9</v>
      </c>
      <c r="I252" s="6">
        <f t="shared" si="47"/>
        <v>6744.9</v>
      </c>
      <c r="J252" s="117"/>
      <c r="K252" s="117"/>
      <c r="L252" s="117"/>
      <c r="M252" s="117"/>
      <c r="N252" s="117"/>
      <c r="O252" s="117"/>
      <c r="P252" s="117"/>
      <c r="Q252" s="117"/>
    </row>
    <row r="253" spans="1:17" ht="25.5" x14ac:dyDescent="0.2">
      <c r="A253" s="28" t="s">
        <v>76</v>
      </c>
      <c r="B253" s="28">
        <v>911</v>
      </c>
      <c r="C253" s="24" t="s">
        <v>19</v>
      </c>
      <c r="D253" s="24" t="s">
        <v>14</v>
      </c>
      <c r="E253" s="24" t="s">
        <v>162</v>
      </c>
      <c r="F253" s="24" t="s">
        <v>68</v>
      </c>
      <c r="G253" s="25">
        <f>702.1+1300+285.8+247.3+214.4+219.295</f>
        <v>2968.8950000000004</v>
      </c>
      <c r="H253" s="25">
        <f>702.1+1300</f>
        <v>2002.1</v>
      </c>
      <c r="I253" s="25">
        <f>702.1+1300</f>
        <v>2002.1</v>
      </c>
      <c r="J253" s="117"/>
      <c r="K253" s="117"/>
      <c r="L253" s="117"/>
      <c r="M253" s="117"/>
      <c r="N253" s="117"/>
      <c r="O253" s="117"/>
      <c r="P253" s="117"/>
      <c r="Q253" s="117"/>
    </row>
    <row r="254" spans="1:17" ht="25.5" x14ac:dyDescent="0.2">
      <c r="A254" s="28" t="s">
        <v>141</v>
      </c>
      <c r="B254" s="28">
        <v>911</v>
      </c>
      <c r="C254" s="24" t="s">
        <v>19</v>
      </c>
      <c r="D254" s="24" t="s">
        <v>14</v>
      </c>
      <c r="E254" s="24" t="s">
        <v>162</v>
      </c>
      <c r="F254" s="24" t="s">
        <v>65</v>
      </c>
      <c r="G254" s="25">
        <f>2092.1+2650.7+1975.9+1487+899.6+347.7</f>
        <v>9453</v>
      </c>
      <c r="H254" s="25">
        <f>2092.1+2650.7</f>
        <v>4742.7999999999993</v>
      </c>
      <c r="I254" s="25">
        <f>2092.1+2650.7</f>
        <v>4742.7999999999993</v>
      </c>
      <c r="J254" s="117"/>
      <c r="K254" s="117"/>
      <c r="L254" s="117"/>
      <c r="M254" s="117"/>
      <c r="N254" s="117"/>
      <c r="O254" s="117"/>
      <c r="P254" s="117"/>
      <c r="Q254" s="117"/>
    </row>
    <row r="255" spans="1:17" s="117" customFormat="1" ht="38.25" x14ac:dyDescent="0.2">
      <c r="A255" s="228" t="s">
        <v>685</v>
      </c>
      <c r="B255" s="228">
        <v>911</v>
      </c>
      <c r="C255" s="230" t="s">
        <v>19</v>
      </c>
      <c r="D255" s="230" t="s">
        <v>14</v>
      </c>
      <c r="E255" s="230" t="s">
        <v>686</v>
      </c>
      <c r="F255" s="230"/>
      <c r="G255" s="231">
        <f>G256</f>
        <v>126558.6425</v>
      </c>
      <c r="H255" s="231">
        <f t="shared" ref="H255:I257" si="48">H256</f>
        <v>0</v>
      </c>
      <c r="I255" s="231">
        <f t="shared" si="48"/>
        <v>0</v>
      </c>
    </row>
    <row r="256" spans="1:17" s="118" customFormat="1" ht="25.5" x14ac:dyDescent="0.2">
      <c r="A256" s="224" t="s">
        <v>141</v>
      </c>
      <c r="B256" s="224">
        <v>911</v>
      </c>
      <c r="C256" s="225" t="s">
        <v>19</v>
      </c>
      <c r="D256" s="225" t="s">
        <v>14</v>
      </c>
      <c r="E256" s="225" t="s">
        <v>686</v>
      </c>
      <c r="F256" s="225" t="s">
        <v>65</v>
      </c>
      <c r="G256" s="226">
        <f>97969.208+28589.4345</f>
        <v>126558.6425</v>
      </c>
      <c r="H256" s="226">
        <v>0</v>
      </c>
      <c r="I256" s="226">
        <v>0</v>
      </c>
    </row>
    <row r="257" spans="1:17" s="26" customFormat="1" ht="38.25" x14ac:dyDescent="0.2">
      <c r="A257" s="18" t="s">
        <v>685</v>
      </c>
      <c r="B257" s="18">
        <v>911</v>
      </c>
      <c r="C257" s="19" t="s">
        <v>19</v>
      </c>
      <c r="D257" s="19" t="s">
        <v>14</v>
      </c>
      <c r="E257" s="19" t="s">
        <v>692</v>
      </c>
      <c r="F257" s="19"/>
      <c r="G257" s="20">
        <f>G258</f>
        <v>12187.400000000001</v>
      </c>
      <c r="H257" s="20">
        <f t="shared" si="48"/>
        <v>0</v>
      </c>
      <c r="I257" s="20">
        <f t="shared" si="48"/>
        <v>0</v>
      </c>
      <c r="J257" s="118"/>
      <c r="K257" s="118"/>
      <c r="L257" s="118"/>
      <c r="M257" s="118"/>
      <c r="N257" s="118"/>
      <c r="O257" s="118"/>
      <c r="P257" s="118"/>
      <c r="Q257" s="118"/>
    </row>
    <row r="258" spans="1:17" s="26" customFormat="1" ht="25.5" x14ac:dyDescent="0.2">
      <c r="A258" s="28" t="s">
        <v>141</v>
      </c>
      <c r="B258" s="28">
        <v>911</v>
      </c>
      <c r="C258" s="24" t="s">
        <v>19</v>
      </c>
      <c r="D258" s="24" t="s">
        <v>14</v>
      </c>
      <c r="E258" s="24" t="s">
        <v>692</v>
      </c>
      <c r="F258" s="24" t="s">
        <v>65</v>
      </c>
      <c r="G258" s="25">
        <f>5385.1+5156.3+3520.7-1874.7</f>
        <v>12187.400000000001</v>
      </c>
      <c r="H258" s="25">
        <v>0</v>
      </c>
      <c r="I258" s="25">
        <v>0</v>
      </c>
      <c r="J258" s="118"/>
      <c r="K258" s="118"/>
      <c r="L258" s="118"/>
      <c r="M258" s="118"/>
      <c r="N258" s="118"/>
      <c r="O258" s="118"/>
      <c r="P258" s="118"/>
      <c r="Q258" s="118"/>
    </row>
    <row r="259" spans="1:17" s="117" customFormat="1" ht="24.75" customHeight="1" x14ac:dyDescent="0.2">
      <c r="A259" s="228" t="s">
        <v>228</v>
      </c>
      <c r="B259" s="229">
        <v>911</v>
      </c>
      <c r="C259" s="230" t="s">
        <v>19</v>
      </c>
      <c r="D259" s="230" t="s">
        <v>14</v>
      </c>
      <c r="E259" s="230" t="s">
        <v>121</v>
      </c>
      <c r="F259" s="230"/>
      <c r="G259" s="231">
        <f>G260+G261+G262</f>
        <v>48898.299999999996</v>
      </c>
      <c r="H259" s="231">
        <f>H260+H261+H262</f>
        <v>46674.7</v>
      </c>
      <c r="I259" s="231">
        <f>I260+I261+I262</f>
        <v>46674.7</v>
      </c>
    </row>
    <row r="260" spans="1:17" s="26" customFormat="1" ht="50.25" customHeight="1" x14ac:dyDescent="0.2">
      <c r="A260" s="23" t="s">
        <v>66</v>
      </c>
      <c r="B260" s="31">
        <v>911</v>
      </c>
      <c r="C260" s="24" t="s">
        <v>19</v>
      </c>
      <c r="D260" s="24" t="s">
        <v>14</v>
      </c>
      <c r="E260" s="24" t="s">
        <v>121</v>
      </c>
      <c r="F260" s="27" t="s">
        <v>67</v>
      </c>
      <c r="G260" s="25">
        <f>33194.5+1658.7-19.9</f>
        <v>34833.299999999996</v>
      </c>
      <c r="H260" s="25">
        <f>33194.5+1658.7</f>
        <v>34853.199999999997</v>
      </c>
      <c r="I260" s="25">
        <f>33194.5+1658.7</f>
        <v>34853.199999999997</v>
      </c>
      <c r="J260" s="118"/>
      <c r="K260" s="118"/>
      <c r="L260" s="118"/>
      <c r="M260" s="118"/>
      <c r="N260" s="118"/>
      <c r="O260" s="118"/>
      <c r="P260" s="118"/>
      <c r="Q260" s="118"/>
    </row>
    <row r="261" spans="1:17" s="118" customFormat="1" ht="24.75" customHeight="1" x14ac:dyDescent="0.2">
      <c r="A261" s="224" t="s">
        <v>76</v>
      </c>
      <c r="B261" s="227">
        <v>911</v>
      </c>
      <c r="C261" s="225" t="s">
        <v>19</v>
      </c>
      <c r="D261" s="225" t="s">
        <v>14</v>
      </c>
      <c r="E261" s="225" t="s">
        <v>121</v>
      </c>
      <c r="F261" s="248" t="s">
        <v>68</v>
      </c>
      <c r="G261" s="226">
        <f>11009.1+37.1+19.9-33.4+1625.4+321</f>
        <v>12979.1</v>
      </c>
      <c r="H261" s="226">
        <f>11009.1+37.1</f>
        <v>11046.2</v>
      </c>
      <c r="I261" s="226">
        <f>11009.1+37.1</f>
        <v>11046.2</v>
      </c>
    </row>
    <row r="262" spans="1:17" s="118" customFormat="1" x14ac:dyDescent="0.2">
      <c r="A262" s="224" t="s">
        <v>72</v>
      </c>
      <c r="B262" s="227">
        <v>911</v>
      </c>
      <c r="C262" s="225" t="s">
        <v>19</v>
      </c>
      <c r="D262" s="225" t="s">
        <v>14</v>
      </c>
      <c r="E262" s="225" t="s">
        <v>121</v>
      </c>
      <c r="F262" s="225" t="s">
        <v>73</v>
      </c>
      <c r="G262" s="226">
        <f>775.3+33.4+598.2-321</f>
        <v>1085.9000000000001</v>
      </c>
      <c r="H262" s="226">
        <v>775.3</v>
      </c>
      <c r="I262" s="226">
        <v>775.3</v>
      </c>
    </row>
    <row r="263" spans="1:17" s="117" customFormat="1" ht="76.5" x14ac:dyDescent="0.2">
      <c r="A263" s="228" t="s">
        <v>229</v>
      </c>
      <c r="B263" s="229">
        <v>911</v>
      </c>
      <c r="C263" s="230" t="s">
        <v>19</v>
      </c>
      <c r="D263" s="230" t="s">
        <v>14</v>
      </c>
      <c r="E263" s="230" t="s">
        <v>119</v>
      </c>
      <c r="F263" s="230"/>
      <c r="G263" s="231">
        <f>G266+G264+G265</f>
        <v>391631.39999999997</v>
      </c>
      <c r="H263" s="231">
        <f>H266+H264+H265</f>
        <v>400168.9</v>
      </c>
      <c r="I263" s="231">
        <f>I266+I264+I265</f>
        <v>400168.9</v>
      </c>
    </row>
    <row r="264" spans="1:17" s="118" customFormat="1" ht="63.75" x14ac:dyDescent="0.2">
      <c r="A264" s="253" t="s">
        <v>66</v>
      </c>
      <c r="B264" s="227">
        <v>911</v>
      </c>
      <c r="C264" s="225" t="s">
        <v>19</v>
      </c>
      <c r="D264" s="225" t="s">
        <v>14</v>
      </c>
      <c r="E264" s="225" t="s">
        <v>119</v>
      </c>
      <c r="F264" s="248" t="s">
        <v>67</v>
      </c>
      <c r="G264" s="226">
        <f>69475.5+1458.3+91.9-989.6-2408.7</f>
        <v>67627.399999999994</v>
      </c>
      <c r="H264" s="226">
        <f>69475.5+1458.3</f>
        <v>70933.8</v>
      </c>
      <c r="I264" s="226">
        <f>69475.5+1458.3</f>
        <v>70933.8</v>
      </c>
    </row>
    <row r="265" spans="1:17" s="26" customFormat="1" ht="25.5" x14ac:dyDescent="0.2">
      <c r="A265" s="28" t="s">
        <v>76</v>
      </c>
      <c r="B265" s="31">
        <v>911</v>
      </c>
      <c r="C265" s="24" t="s">
        <v>19</v>
      </c>
      <c r="D265" s="24" t="s">
        <v>14</v>
      </c>
      <c r="E265" s="24" t="s">
        <v>119</v>
      </c>
      <c r="F265" s="27" t="s">
        <v>68</v>
      </c>
      <c r="G265" s="25">
        <f>1797.9+71.3-91.9</f>
        <v>1777.3</v>
      </c>
      <c r="H265" s="25">
        <f>1797.9+71.3</f>
        <v>1869.2</v>
      </c>
      <c r="I265" s="25">
        <f>1797.9+71.3</f>
        <v>1869.2</v>
      </c>
      <c r="J265" s="118"/>
      <c r="K265" s="118"/>
      <c r="L265" s="118"/>
      <c r="M265" s="118"/>
      <c r="N265" s="118"/>
      <c r="O265" s="118"/>
      <c r="P265" s="118"/>
      <c r="Q265" s="118"/>
    </row>
    <row r="266" spans="1:17" s="118" customFormat="1" ht="25.5" x14ac:dyDescent="0.2">
      <c r="A266" s="224" t="s">
        <v>141</v>
      </c>
      <c r="B266" s="227">
        <v>911</v>
      </c>
      <c r="C266" s="225" t="s">
        <v>19</v>
      </c>
      <c r="D266" s="225" t="s">
        <v>14</v>
      </c>
      <c r="E266" s="225" t="s">
        <v>119</v>
      </c>
      <c r="F266" s="225" t="s">
        <v>65</v>
      </c>
      <c r="G266" s="226">
        <f>310315.9+17050+989.6-6128.8</f>
        <v>322226.7</v>
      </c>
      <c r="H266" s="226">
        <f>310315.9+17050</f>
        <v>327365.90000000002</v>
      </c>
      <c r="I266" s="226">
        <f>310315.9+17050</f>
        <v>327365.90000000002</v>
      </c>
    </row>
    <row r="267" spans="1:17" s="21" customFormat="1" ht="38.25" x14ac:dyDescent="0.2">
      <c r="A267" s="18" t="s">
        <v>230</v>
      </c>
      <c r="B267" s="22">
        <v>911</v>
      </c>
      <c r="C267" s="19" t="s">
        <v>19</v>
      </c>
      <c r="D267" s="19" t="s">
        <v>14</v>
      </c>
      <c r="E267" s="19" t="s">
        <v>120</v>
      </c>
      <c r="F267" s="19"/>
      <c r="G267" s="20">
        <f>G268</f>
        <v>3738</v>
      </c>
      <c r="H267" s="20">
        <f>H268</f>
        <v>3738</v>
      </c>
      <c r="I267" s="20">
        <f>I268</f>
        <v>3738</v>
      </c>
    </row>
    <row r="268" spans="1:17" s="26" customFormat="1" ht="25.5" x14ac:dyDescent="0.2">
      <c r="A268" s="28" t="s">
        <v>76</v>
      </c>
      <c r="B268" s="31">
        <v>911</v>
      </c>
      <c r="C268" s="24" t="s">
        <v>19</v>
      </c>
      <c r="D268" s="24" t="s">
        <v>14</v>
      </c>
      <c r="E268" s="24" t="s">
        <v>120</v>
      </c>
      <c r="F268" s="27" t="s">
        <v>68</v>
      </c>
      <c r="G268" s="25">
        <v>3738</v>
      </c>
      <c r="H268" s="25">
        <v>3738</v>
      </c>
      <c r="I268" s="25">
        <v>3738</v>
      </c>
    </row>
    <row r="269" spans="1:17" s="117" customFormat="1" ht="63.75" x14ac:dyDescent="0.2">
      <c r="A269" s="228" t="s">
        <v>344</v>
      </c>
      <c r="B269" s="229">
        <v>911</v>
      </c>
      <c r="C269" s="230" t="s">
        <v>19</v>
      </c>
      <c r="D269" s="230" t="s">
        <v>14</v>
      </c>
      <c r="E269" s="230" t="s">
        <v>232</v>
      </c>
      <c r="F269" s="230"/>
      <c r="G269" s="231">
        <f>G270</f>
        <v>68271.09</v>
      </c>
      <c r="H269" s="231">
        <f>H270</f>
        <v>51697.999999999993</v>
      </c>
      <c r="I269" s="231">
        <f>I270</f>
        <v>19586.399999999994</v>
      </c>
    </row>
    <row r="270" spans="1:17" s="118" customFormat="1" ht="25.5" x14ac:dyDescent="0.2">
      <c r="A270" s="224" t="s">
        <v>141</v>
      </c>
      <c r="B270" s="227">
        <v>911</v>
      </c>
      <c r="C270" s="225" t="s">
        <v>19</v>
      </c>
      <c r="D270" s="225" t="s">
        <v>14</v>
      </c>
      <c r="E270" s="225" t="s">
        <v>232</v>
      </c>
      <c r="F270" s="225" t="s">
        <v>65</v>
      </c>
      <c r="G270" s="226">
        <f>53419.2-5045-530+5157.8+900+70+120-4675.4+700+5156.3-5156.3-3520.7+1880.09+1874.7+370+17550.4</f>
        <v>68271.09</v>
      </c>
      <c r="H270" s="226">
        <f>53419.2+3323.7+0.1-5045</f>
        <v>51697.999999999993</v>
      </c>
      <c r="I270" s="226">
        <f>45013.7+3323.7-5045-17368.5-1337.5-5000</f>
        <v>19586.399999999994</v>
      </c>
    </row>
    <row r="271" spans="1:17" s="117" customFormat="1" ht="63.75" x14ac:dyDescent="0.2">
      <c r="A271" s="228" t="s">
        <v>235</v>
      </c>
      <c r="B271" s="229">
        <v>911</v>
      </c>
      <c r="C271" s="230" t="s">
        <v>19</v>
      </c>
      <c r="D271" s="230" t="s">
        <v>14</v>
      </c>
      <c r="E271" s="230" t="s">
        <v>234</v>
      </c>
      <c r="F271" s="230"/>
      <c r="G271" s="231">
        <f>G272+G273+G274</f>
        <v>6248.4000000000005</v>
      </c>
      <c r="H271" s="231">
        <f>H272+H273+H274</f>
        <v>6143.2000000000007</v>
      </c>
      <c r="I271" s="231">
        <f>I272+I273+I274</f>
        <v>5402.6</v>
      </c>
    </row>
    <row r="272" spans="1:17" s="84" customFormat="1" ht="54.75" customHeight="1" x14ac:dyDescent="0.2">
      <c r="A272" s="80" t="s">
        <v>66</v>
      </c>
      <c r="B272" s="81">
        <v>911</v>
      </c>
      <c r="C272" s="82" t="s">
        <v>19</v>
      </c>
      <c r="D272" s="82" t="s">
        <v>14</v>
      </c>
      <c r="E272" s="82" t="s">
        <v>234</v>
      </c>
      <c r="F272" s="83" t="s">
        <v>67</v>
      </c>
      <c r="G272" s="62">
        <v>3.3</v>
      </c>
      <c r="H272" s="62">
        <v>3.3</v>
      </c>
      <c r="I272" s="62">
        <v>3.3</v>
      </c>
    </row>
    <row r="273" spans="1:17" s="118" customFormat="1" ht="25.5" x14ac:dyDescent="0.2">
      <c r="A273" s="224" t="s">
        <v>76</v>
      </c>
      <c r="B273" s="241">
        <v>911</v>
      </c>
      <c r="C273" s="225" t="s">
        <v>19</v>
      </c>
      <c r="D273" s="225" t="s">
        <v>14</v>
      </c>
      <c r="E273" s="225" t="s">
        <v>234</v>
      </c>
      <c r="F273" s="248" t="s">
        <v>68</v>
      </c>
      <c r="G273" s="226">
        <f>5080.1-150-400+22-290+399.7+1213.5-70-30</f>
        <v>5775.3</v>
      </c>
      <c r="H273" s="226">
        <f>5080.1-150</f>
        <v>4930.1000000000004</v>
      </c>
      <c r="I273" s="226">
        <f>4339.5-150</f>
        <v>4189.5</v>
      </c>
    </row>
    <row r="274" spans="1:17" s="26" customFormat="1" x14ac:dyDescent="0.2">
      <c r="A274" s="28" t="s">
        <v>72</v>
      </c>
      <c r="B274" s="31">
        <v>911</v>
      </c>
      <c r="C274" s="24" t="s">
        <v>19</v>
      </c>
      <c r="D274" s="24" t="s">
        <v>14</v>
      </c>
      <c r="E274" s="24" t="s">
        <v>234</v>
      </c>
      <c r="F274" s="24" t="s">
        <v>73</v>
      </c>
      <c r="G274" s="25">
        <f>1209.8-250-490</f>
        <v>469.79999999999995</v>
      </c>
      <c r="H274" s="25">
        <v>1209.8</v>
      </c>
      <c r="I274" s="25">
        <v>1209.8</v>
      </c>
      <c r="J274" s="118"/>
      <c r="K274" s="118"/>
      <c r="L274" s="118"/>
      <c r="M274" s="118"/>
      <c r="N274" s="118"/>
      <c r="O274" s="118"/>
      <c r="P274" s="118"/>
      <c r="Q274" s="118"/>
    </row>
    <row r="275" spans="1:17" ht="63.75" x14ac:dyDescent="0.2">
      <c r="A275" s="18" t="s">
        <v>235</v>
      </c>
      <c r="B275" s="22">
        <v>911</v>
      </c>
      <c r="C275" s="19" t="s">
        <v>19</v>
      </c>
      <c r="D275" s="19" t="s">
        <v>14</v>
      </c>
      <c r="E275" s="19" t="s">
        <v>238</v>
      </c>
      <c r="F275" s="19"/>
      <c r="G275" s="20">
        <f>G276+G277</f>
        <v>759.8</v>
      </c>
      <c r="H275" s="20">
        <f t="shared" ref="H275:I275" si="49">H276+H277</f>
        <v>759.8</v>
      </c>
      <c r="I275" s="20">
        <f t="shared" si="49"/>
        <v>707.5</v>
      </c>
      <c r="J275" s="117"/>
      <c r="K275" s="117"/>
      <c r="L275" s="117"/>
      <c r="M275" s="117"/>
      <c r="N275" s="117"/>
      <c r="O275" s="117"/>
      <c r="P275" s="117"/>
      <c r="Q275" s="117"/>
    </row>
    <row r="276" spans="1:17" s="26" customFormat="1" ht="25.5" x14ac:dyDescent="0.2">
      <c r="A276" s="28" t="s">
        <v>76</v>
      </c>
      <c r="B276" s="32">
        <v>911</v>
      </c>
      <c r="C276" s="24" t="s">
        <v>19</v>
      </c>
      <c r="D276" s="24" t="s">
        <v>14</v>
      </c>
      <c r="E276" s="24" t="s">
        <v>238</v>
      </c>
      <c r="F276" s="27" t="s">
        <v>68</v>
      </c>
      <c r="G276" s="25">
        <f>759.8-2-10</f>
        <v>747.8</v>
      </c>
      <c r="H276" s="25">
        <f>759.8</f>
        <v>759.8</v>
      </c>
      <c r="I276" s="25">
        <v>707.5</v>
      </c>
      <c r="J276" s="118"/>
      <c r="K276" s="118"/>
      <c r="L276" s="118"/>
      <c r="M276" s="118"/>
      <c r="N276" s="118"/>
      <c r="O276" s="118"/>
      <c r="P276" s="118"/>
      <c r="Q276" s="118"/>
    </row>
    <row r="277" spans="1:17" s="26" customFormat="1" x14ac:dyDescent="0.2">
      <c r="A277" s="28" t="s">
        <v>72</v>
      </c>
      <c r="B277" s="32">
        <v>911</v>
      </c>
      <c r="C277" s="24" t="s">
        <v>19</v>
      </c>
      <c r="D277" s="24" t="s">
        <v>14</v>
      </c>
      <c r="E277" s="24" t="s">
        <v>238</v>
      </c>
      <c r="F277" s="27" t="s">
        <v>73</v>
      </c>
      <c r="G277" s="25">
        <f>2+10</f>
        <v>12</v>
      </c>
      <c r="H277" s="25">
        <v>0</v>
      </c>
      <c r="I277" s="25">
        <v>0</v>
      </c>
      <c r="J277" s="118"/>
      <c r="K277" s="118"/>
      <c r="L277" s="118"/>
      <c r="M277" s="118"/>
      <c r="N277" s="118"/>
      <c r="O277" s="118"/>
      <c r="P277" s="118"/>
      <c r="Q277" s="118"/>
    </row>
    <row r="278" spans="1:17" s="21" customFormat="1" ht="25.5" x14ac:dyDescent="0.2">
      <c r="A278" s="18" t="s">
        <v>231</v>
      </c>
      <c r="B278" s="18">
        <v>911</v>
      </c>
      <c r="C278" s="19" t="s">
        <v>19</v>
      </c>
      <c r="D278" s="19" t="s">
        <v>14</v>
      </c>
      <c r="E278" s="19" t="s">
        <v>137</v>
      </c>
      <c r="F278" s="19"/>
      <c r="G278" s="20">
        <f>G280+G279</f>
        <v>249.7</v>
      </c>
      <c r="H278" s="20">
        <f t="shared" ref="H278:I278" si="50">H280+H279</f>
        <v>249.7</v>
      </c>
      <c r="I278" s="20">
        <f t="shared" si="50"/>
        <v>249.7</v>
      </c>
    </row>
    <row r="279" spans="1:17" s="26" customFormat="1" ht="25.5" x14ac:dyDescent="0.2">
      <c r="A279" s="28" t="s">
        <v>76</v>
      </c>
      <c r="B279" s="28">
        <v>911</v>
      </c>
      <c r="C279" s="24" t="s">
        <v>19</v>
      </c>
      <c r="D279" s="24" t="s">
        <v>14</v>
      </c>
      <c r="E279" s="24" t="s">
        <v>137</v>
      </c>
      <c r="F279" s="27" t="s">
        <v>68</v>
      </c>
      <c r="G279" s="25">
        <v>57.7</v>
      </c>
      <c r="H279" s="25">
        <v>57.7</v>
      </c>
      <c r="I279" s="25">
        <v>57.7</v>
      </c>
    </row>
    <row r="280" spans="1:17" s="21" customFormat="1" ht="25.5" x14ac:dyDescent="0.2">
      <c r="A280" s="28" t="s">
        <v>141</v>
      </c>
      <c r="B280" s="28">
        <v>911</v>
      </c>
      <c r="C280" s="24" t="s">
        <v>19</v>
      </c>
      <c r="D280" s="24" t="s">
        <v>14</v>
      </c>
      <c r="E280" s="24" t="s">
        <v>137</v>
      </c>
      <c r="F280" s="24" t="s">
        <v>65</v>
      </c>
      <c r="G280" s="25">
        <f>307.3-115.3</f>
        <v>192</v>
      </c>
      <c r="H280" s="25">
        <f>307.3-115.3</f>
        <v>192</v>
      </c>
      <c r="I280" s="25">
        <f>307.3-115.3</f>
        <v>192</v>
      </c>
    </row>
    <row r="281" spans="1:17" s="21" customFormat="1" ht="25.5" x14ac:dyDescent="0.2">
      <c r="A281" s="18" t="s">
        <v>236</v>
      </c>
      <c r="B281" s="18">
        <v>911</v>
      </c>
      <c r="C281" s="19" t="s">
        <v>19</v>
      </c>
      <c r="D281" s="19" t="s">
        <v>14</v>
      </c>
      <c r="E281" s="19" t="s">
        <v>138</v>
      </c>
      <c r="F281" s="19"/>
      <c r="G281" s="20">
        <f>G283+G282</f>
        <v>1209</v>
      </c>
      <c r="H281" s="20">
        <f>H283+H282</f>
        <v>1209</v>
      </c>
      <c r="I281" s="20">
        <f>I283+I282</f>
        <v>1209</v>
      </c>
    </row>
    <row r="282" spans="1:17" s="9" customFormat="1" x14ac:dyDescent="0.2">
      <c r="A282" s="28" t="s">
        <v>69</v>
      </c>
      <c r="B282" s="28">
        <v>911</v>
      </c>
      <c r="C282" s="24" t="s">
        <v>19</v>
      </c>
      <c r="D282" s="24" t="s">
        <v>14</v>
      </c>
      <c r="E282" s="19" t="s">
        <v>138</v>
      </c>
      <c r="F282" s="24" t="s">
        <v>70</v>
      </c>
      <c r="G282" s="25">
        <v>30</v>
      </c>
      <c r="H282" s="25">
        <v>30</v>
      </c>
      <c r="I282" s="25">
        <v>30</v>
      </c>
    </row>
    <row r="283" spans="1:17" s="21" customFormat="1" ht="25.5" x14ac:dyDescent="0.2">
      <c r="A283" s="28" t="s">
        <v>141</v>
      </c>
      <c r="B283" s="28">
        <v>911</v>
      </c>
      <c r="C283" s="24" t="s">
        <v>19</v>
      </c>
      <c r="D283" s="24" t="s">
        <v>14</v>
      </c>
      <c r="E283" s="19" t="s">
        <v>138</v>
      </c>
      <c r="F283" s="24" t="s">
        <v>65</v>
      </c>
      <c r="G283" s="25">
        <v>1179</v>
      </c>
      <c r="H283" s="25">
        <v>1179</v>
      </c>
      <c r="I283" s="25">
        <v>1179</v>
      </c>
    </row>
    <row r="284" spans="1:17" s="117" customFormat="1" ht="25.5" x14ac:dyDescent="0.2">
      <c r="A284" s="228" t="s">
        <v>347</v>
      </c>
      <c r="B284" s="228">
        <v>911</v>
      </c>
      <c r="C284" s="230" t="s">
        <v>19</v>
      </c>
      <c r="D284" s="230" t="s">
        <v>14</v>
      </c>
      <c r="E284" s="230" t="s">
        <v>330</v>
      </c>
      <c r="F284" s="230"/>
      <c r="G284" s="231">
        <f>G286+G285</f>
        <v>400</v>
      </c>
      <c r="H284" s="231">
        <f>H286+H285</f>
        <v>250</v>
      </c>
      <c r="I284" s="231">
        <f>I286+I285</f>
        <v>250</v>
      </c>
    </row>
    <row r="285" spans="1:17" s="117" customFormat="1" x14ac:dyDescent="0.2">
      <c r="A285" s="224" t="s">
        <v>69</v>
      </c>
      <c r="B285" s="224">
        <v>911</v>
      </c>
      <c r="C285" s="225" t="s">
        <v>19</v>
      </c>
      <c r="D285" s="225" t="s">
        <v>14</v>
      </c>
      <c r="E285" s="230" t="s">
        <v>330</v>
      </c>
      <c r="F285" s="225" t="s">
        <v>70</v>
      </c>
      <c r="G285" s="226">
        <f>2+10</f>
        <v>12</v>
      </c>
      <c r="H285" s="226">
        <v>2</v>
      </c>
      <c r="I285" s="226">
        <v>2</v>
      </c>
    </row>
    <row r="286" spans="1:17" s="117" customFormat="1" ht="25.5" x14ac:dyDescent="0.2">
      <c r="A286" s="224" t="s">
        <v>141</v>
      </c>
      <c r="B286" s="224">
        <v>911</v>
      </c>
      <c r="C286" s="225" t="s">
        <v>19</v>
      </c>
      <c r="D286" s="225" t="s">
        <v>14</v>
      </c>
      <c r="E286" s="230" t="s">
        <v>330</v>
      </c>
      <c r="F286" s="225" t="s">
        <v>65</v>
      </c>
      <c r="G286" s="226">
        <f>248+140</f>
        <v>388</v>
      </c>
      <c r="H286" s="226">
        <v>248</v>
      </c>
      <c r="I286" s="226">
        <v>248</v>
      </c>
    </row>
    <row r="287" spans="1:17" s="74" customFormat="1" x14ac:dyDescent="0.2">
      <c r="A287" s="70" t="s">
        <v>331</v>
      </c>
      <c r="B287" s="71">
        <v>911</v>
      </c>
      <c r="C287" s="72" t="s">
        <v>19</v>
      </c>
      <c r="D287" s="72" t="s">
        <v>16</v>
      </c>
      <c r="E287" s="72"/>
      <c r="F287" s="72"/>
      <c r="G287" s="73">
        <f>G292+G290+G288+G294</f>
        <v>144208.80000000002</v>
      </c>
      <c r="H287" s="73">
        <f t="shared" ref="H287:I287" si="51">H292+H290+H288+H294</f>
        <v>127634.1</v>
      </c>
      <c r="I287" s="73">
        <f t="shared" si="51"/>
        <v>124875.3</v>
      </c>
    </row>
    <row r="288" spans="1:17" ht="25.5" x14ac:dyDescent="0.2">
      <c r="A288" s="17" t="s">
        <v>163</v>
      </c>
      <c r="B288" s="17">
        <v>911</v>
      </c>
      <c r="C288" s="19" t="s">
        <v>19</v>
      </c>
      <c r="D288" s="19" t="s">
        <v>16</v>
      </c>
      <c r="E288" s="19" t="s">
        <v>162</v>
      </c>
      <c r="F288" s="5"/>
      <c r="G288" s="6">
        <f>G289</f>
        <v>3028</v>
      </c>
      <c r="H288" s="6">
        <f t="shared" ref="H288:I288" si="52">H289</f>
        <v>1968.7</v>
      </c>
      <c r="I288" s="6">
        <f t="shared" si="52"/>
        <v>1968.7</v>
      </c>
      <c r="J288" s="117"/>
      <c r="K288" s="117"/>
      <c r="L288" s="117"/>
      <c r="M288" s="117"/>
      <c r="N288" s="117"/>
      <c r="O288" s="117"/>
      <c r="P288" s="117"/>
      <c r="Q288" s="117"/>
    </row>
    <row r="289" spans="1:17" ht="25.5" x14ac:dyDescent="0.2">
      <c r="A289" s="28" t="s">
        <v>141</v>
      </c>
      <c r="B289" s="28">
        <v>911</v>
      </c>
      <c r="C289" s="24" t="s">
        <v>19</v>
      </c>
      <c r="D289" s="24" t="s">
        <v>16</v>
      </c>
      <c r="E289" s="24" t="s">
        <v>162</v>
      </c>
      <c r="F289" s="24" t="s">
        <v>65</v>
      </c>
      <c r="G289" s="25">
        <f>408.7+1560+53+456.4+63.5+486.4</f>
        <v>3028</v>
      </c>
      <c r="H289" s="25">
        <f>408.7+1560</f>
        <v>1968.7</v>
      </c>
      <c r="I289" s="25">
        <f>408.7+1560</f>
        <v>1968.7</v>
      </c>
      <c r="J289" s="117"/>
      <c r="K289" s="117"/>
      <c r="L289" s="117"/>
      <c r="M289" s="117"/>
      <c r="N289" s="117"/>
      <c r="O289" s="117"/>
      <c r="P289" s="117"/>
      <c r="Q289" s="117"/>
    </row>
    <row r="290" spans="1:17" s="21" customFormat="1" ht="25.5" x14ac:dyDescent="0.2">
      <c r="A290" s="18" t="s">
        <v>231</v>
      </c>
      <c r="B290" s="18">
        <v>911</v>
      </c>
      <c r="C290" s="19" t="s">
        <v>19</v>
      </c>
      <c r="D290" s="19" t="s">
        <v>16</v>
      </c>
      <c r="E290" s="19" t="s">
        <v>137</v>
      </c>
      <c r="F290" s="19"/>
      <c r="G290" s="20">
        <f>G291</f>
        <v>115.3</v>
      </c>
      <c r="H290" s="20">
        <f t="shared" ref="H290:I290" si="53">H291</f>
        <v>115.3</v>
      </c>
      <c r="I290" s="20">
        <f t="shared" si="53"/>
        <v>115.3</v>
      </c>
    </row>
    <row r="291" spans="1:17" s="21" customFormat="1" ht="25.5" x14ac:dyDescent="0.2">
      <c r="A291" s="28" t="s">
        <v>141</v>
      </c>
      <c r="B291" s="28">
        <v>911</v>
      </c>
      <c r="C291" s="24" t="s">
        <v>19</v>
      </c>
      <c r="D291" s="24" t="s">
        <v>16</v>
      </c>
      <c r="E291" s="24" t="s">
        <v>137</v>
      </c>
      <c r="F291" s="24" t="s">
        <v>65</v>
      </c>
      <c r="G291" s="25">
        <v>115.3</v>
      </c>
      <c r="H291" s="25">
        <v>115.3</v>
      </c>
      <c r="I291" s="25">
        <v>115.3</v>
      </c>
    </row>
    <row r="292" spans="1:17" s="117" customFormat="1" ht="63.75" x14ac:dyDescent="0.2">
      <c r="A292" s="228" t="s">
        <v>344</v>
      </c>
      <c r="B292" s="229">
        <v>911</v>
      </c>
      <c r="C292" s="230" t="s">
        <v>19</v>
      </c>
      <c r="D292" s="230" t="s">
        <v>16</v>
      </c>
      <c r="E292" s="230" t="s">
        <v>233</v>
      </c>
      <c r="F292" s="230"/>
      <c r="G292" s="231">
        <f>G293</f>
        <v>134986.30000000002</v>
      </c>
      <c r="H292" s="231">
        <f>H293</f>
        <v>125550.1</v>
      </c>
      <c r="I292" s="231">
        <f>I293</f>
        <v>122791.3</v>
      </c>
    </row>
    <row r="293" spans="1:17" s="118" customFormat="1" ht="25.5" x14ac:dyDescent="0.2">
      <c r="A293" s="224" t="s">
        <v>141</v>
      </c>
      <c r="B293" s="227">
        <v>911</v>
      </c>
      <c r="C293" s="225" t="s">
        <v>19</v>
      </c>
      <c r="D293" s="225" t="s">
        <v>16</v>
      </c>
      <c r="E293" s="225" t="s">
        <v>233</v>
      </c>
      <c r="F293" s="225" t="s">
        <v>65</v>
      </c>
      <c r="G293" s="226">
        <f>126200.1-650-650-150+450-90-6079.2-24+15979.4</f>
        <v>134986.30000000002</v>
      </c>
      <c r="H293" s="226">
        <f>126200.1-650</f>
        <v>125550.1</v>
      </c>
      <c r="I293" s="226">
        <f>123441.3-650</f>
        <v>122791.3</v>
      </c>
    </row>
    <row r="294" spans="1:17" ht="25.5" x14ac:dyDescent="0.2">
      <c r="A294" s="18" t="s">
        <v>701</v>
      </c>
      <c r="B294" s="22">
        <v>911</v>
      </c>
      <c r="C294" s="19" t="s">
        <v>19</v>
      </c>
      <c r="D294" s="19" t="s">
        <v>16</v>
      </c>
      <c r="E294" s="19" t="s">
        <v>702</v>
      </c>
      <c r="F294" s="19"/>
      <c r="G294" s="20">
        <f>G295</f>
        <v>6079.2</v>
      </c>
      <c r="H294" s="20">
        <f t="shared" ref="H294:I294" si="54">H295</f>
        <v>0</v>
      </c>
      <c r="I294" s="20">
        <f t="shared" si="54"/>
        <v>0</v>
      </c>
      <c r="J294" s="117"/>
      <c r="K294" s="117"/>
      <c r="L294" s="117"/>
      <c r="M294" s="117"/>
      <c r="N294" s="117"/>
      <c r="O294" s="117"/>
      <c r="P294" s="117"/>
      <c r="Q294" s="117"/>
    </row>
    <row r="295" spans="1:17" s="26" customFormat="1" ht="25.5" x14ac:dyDescent="0.2">
      <c r="A295" s="28" t="s">
        <v>141</v>
      </c>
      <c r="B295" s="31">
        <v>911</v>
      </c>
      <c r="C295" s="24" t="s">
        <v>19</v>
      </c>
      <c r="D295" s="24" t="s">
        <v>16</v>
      </c>
      <c r="E295" s="24" t="s">
        <v>702</v>
      </c>
      <c r="F295" s="24" t="s">
        <v>65</v>
      </c>
      <c r="G295" s="25">
        <v>6079.2</v>
      </c>
      <c r="H295" s="25">
        <v>0</v>
      </c>
      <c r="I295" s="25">
        <v>0</v>
      </c>
      <c r="J295" s="118"/>
      <c r="K295" s="118"/>
      <c r="L295" s="118"/>
      <c r="M295" s="118"/>
      <c r="N295" s="118"/>
      <c r="O295" s="118"/>
      <c r="P295" s="118"/>
      <c r="Q295" s="118"/>
    </row>
    <row r="296" spans="1:17" s="74" customFormat="1" x14ac:dyDescent="0.2">
      <c r="A296" s="70" t="s">
        <v>41</v>
      </c>
      <c r="B296" s="71">
        <v>911</v>
      </c>
      <c r="C296" s="72" t="s">
        <v>19</v>
      </c>
      <c r="D296" s="72" t="s">
        <v>26</v>
      </c>
      <c r="E296" s="72"/>
      <c r="F296" s="72"/>
      <c r="G296" s="73">
        <f>G305+G307+G310+G313+G317+G320+G323+G325+G302+G297+G300</f>
        <v>81557.100000000006</v>
      </c>
      <c r="H296" s="73">
        <f t="shared" ref="H296:I296" si="55">H305+H307+H310+H313+H317+H320+H323+H325+H302+H297+H300</f>
        <v>74408.599999999991</v>
      </c>
      <c r="I296" s="73">
        <f t="shared" si="55"/>
        <v>73201</v>
      </c>
    </row>
    <row r="297" spans="1:17" s="79" customFormat="1" ht="25.5" x14ac:dyDescent="0.2">
      <c r="A297" s="89" t="s">
        <v>163</v>
      </c>
      <c r="B297" s="89">
        <v>911</v>
      </c>
      <c r="C297" s="77" t="s">
        <v>19</v>
      </c>
      <c r="D297" s="77" t="s">
        <v>26</v>
      </c>
      <c r="E297" s="77" t="s">
        <v>162</v>
      </c>
      <c r="F297" s="90"/>
      <c r="G297" s="91">
        <f>G299+G298</f>
        <v>173.7</v>
      </c>
      <c r="H297" s="91">
        <f t="shared" ref="H297:I297" si="56">H299+H298</f>
        <v>173.7</v>
      </c>
      <c r="I297" s="91">
        <f t="shared" si="56"/>
        <v>173.7</v>
      </c>
    </row>
    <row r="298" spans="1:17" s="79" customFormat="1" ht="25.5" x14ac:dyDescent="0.2">
      <c r="A298" s="28" t="s">
        <v>76</v>
      </c>
      <c r="B298" s="87">
        <v>911</v>
      </c>
      <c r="C298" s="82" t="s">
        <v>19</v>
      </c>
      <c r="D298" s="82" t="s">
        <v>26</v>
      </c>
      <c r="E298" s="82" t="s">
        <v>162</v>
      </c>
      <c r="F298" s="82" t="s">
        <v>68</v>
      </c>
      <c r="G298" s="62">
        <v>110</v>
      </c>
      <c r="H298" s="62">
        <v>110</v>
      </c>
      <c r="I298" s="62">
        <v>110</v>
      </c>
    </row>
    <row r="299" spans="1:17" s="79" customFormat="1" ht="25.5" x14ac:dyDescent="0.2">
      <c r="A299" s="87" t="s">
        <v>141</v>
      </c>
      <c r="B299" s="87">
        <v>911</v>
      </c>
      <c r="C299" s="82" t="s">
        <v>19</v>
      </c>
      <c r="D299" s="82" t="s">
        <v>26</v>
      </c>
      <c r="E299" s="82" t="s">
        <v>162</v>
      </c>
      <c r="F299" s="82" t="s">
        <v>65</v>
      </c>
      <c r="G299" s="62">
        <v>63.7</v>
      </c>
      <c r="H299" s="62">
        <v>63.7</v>
      </c>
      <c r="I299" s="62">
        <v>63.7</v>
      </c>
    </row>
    <row r="300" spans="1:17" s="117" customFormat="1" ht="25.5" x14ac:dyDescent="0.2">
      <c r="A300" s="228" t="s">
        <v>231</v>
      </c>
      <c r="B300" s="228">
        <v>911</v>
      </c>
      <c r="C300" s="230" t="s">
        <v>19</v>
      </c>
      <c r="D300" s="230" t="s">
        <v>14</v>
      </c>
      <c r="E300" s="230" t="s">
        <v>137</v>
      </c>
      <c r="F300" s="230"/>
      <c r="G300" s="231">
        <f>G301</f>
        <v>100</v>
      </c>
      <c r="H300" s="231">
        <f t="shared" ref="H300:I300" si="57">H301</f>
        <v>0</v>
      </c>
      <c r="I300" s="231">
        <f t="shared" si="57"/>
        <v>0</v>
      </c>
    </row>
    <row r="301" spans="1:17" s="117" customFormat="1" ht="25.5" x14ac:dyDescent="0.2">
      <c r="A301" s="224" t="s">
        <v>141</v>
      </c>
      <c r="B301" s="224">
        <v>911</v>
      </c>
      <c r="C301" s="225" t="s">
        <v>19</v>
      </c>
      <c r="D301" s="225" t="s">
        <v>14</v>
      </c>
      <c r="E301" s="225" t="s">
        <v>137</v>
      </c>
      <c r="F301" s="225" t="s">
        <v>65</v>
      </c>
      <c r="G301" s="226">
        <v>100</v>
      </c>
      <c r="H301" s="226">
        <v>0</v>
      </c>
      <c r="I301" s="226">
        <v>0</v>
      </c>
    </row>
    <row r="302" spans="1:17" s="117" customFormat="1" ht="25.5" x14ac:dyDescent="0.2">
      <c r="A302" s="228" t="s">
        <v>188</v>
      </c>
      <c r="B302" s="228">
        <v>911</v>
      </c>
      <c r="C302" s="230" t="s">
        <v>19</v>
      </c>
      <c r="D302" s="230" t="s">
        <v>26</v>
      </c>
      <c r="E302" s="230" t="s">
        <v>136</v>
      </c>
      <c r="F302" s="230"/>
      <c r="G302" s="231">
        <f>G304+G303</f>
        <v>4391</v>
      </c>
      <c r="H302" s="231">
        <f t="shared" ref="H302:I302" si="58">H304+H303</f>
        <v>4391</v>
      </c>
      <c r="I302" s="231">
        <f t="shared" si="58"/>
        <v>4391</v>
      </c>
    </row>
    <row r="303" spans="1:17" s="117" customFormat="1" ht="25.5" x14ac:dyDescent="0.2">
      <c r="A303" s="224" t="s">
        <v>76</v>
      </c>
      <c r="B303" s="224">
        <v>911</v>
      </c>
      <c r="C303" s="225" t="s">
        <v>19</v>
      </c>
      <c r="D303" s="225" t="s">
        <v>26</v>
      </c>
      <c r="E303" s="225" t="s">
        <v>136</v>
      </c>
      <c r="F303" s="225" t="s">
        <v>68</v>
      </c>
      <c r="G303" s="226">
        <f>67.5+33.8+12.5</f>
        <v>113.8</v>
      </c>
      <c r="H303" s="226">
        <f>67.5+12.5</f>
        <v>80</v>
      </c>
      <c r="I303" s="226">
        <f>67.5+12.5</f>
        <v>80</v>
      </c>
    </row>
    <row r="304" spans="1:17" s="117" customFormat="1" ht="25.5" x14ac:dyDescent="0.2">
      <c r="A304" s="224" t="s">
        <v>141</v>
      </c>
      <c r="B304" s="224">
        <v>911</v>
      </c>
      <c r="C304" s="225" t="s">
        <v>19</v>
      </c>
      <c r="D304" s="225" t="s">
        <v>26</v>
      </c>
      <c r="E304" s="225" t="s">
        <v>136</v>
      </c>
      <c r="F304" s="225" t="s">
        <v>65</v>
      </c>
      <c r="G304" s="226">
        <f>3600.5+300-33.8+410.5</f>
        <v>4277.2</v>
      </c>
      <c r="H304" s="226">
        <f>3600.5+300+410.5</f>
        <v>4311</v>
      </c>
      <c r="I304" s="226">
        <f>3600.5+300+410.5</f>
        <v>4311</v>
      </c>
    </row>
    <row r="305" spans="1:17" ht="25.5" x14ac:dyDescent="0.2">
      <c r="A305" s="18" t="s">
        <v>345</v>
      </c>
      <c r="B305" s="22">
        <v>911</v>
      </c>
      <c r="C305" s="19" t="s">
        <v>19</v>
      </c>
      <c r="D305" s="19" t="s">
        <v>26</v>
      </c>
      <c r="E305" s="19" t="s">
        <v>240</v>
      </c>
      <c r="F305" s="19"/>
      <c r="G305" s="20">
        <f>+G306</f>
        <v>0</v>
      </c>
      <c r="H305" s="20">
        <f t="shared" ref="H305:I305" si="59">+H306</f>
        <v>100</v>
      </c>
      <c r="I305" s="20">
        <f t="shared" si="59"/>
        <v>100</v>
      </c>
      <c r="J305" s="117"/>
      <c r="K305" s="117"/>
      <c r="L305" s="117"/>
      <c r="M305" s="117"/>
      <c r="N305" s="117"/>
      <c r="O305" s="117"/>
      <c r="P305" s="117"/>
      <c r="Q305" s="117"/>
    </row>
    <row r="306" spans="1:17" s="26" customFormat="1" ht="25.5" x14ac:dyDescent="0.2">
      <c r="A306" s="28" t="s">
        <v>141</v>
      </c>
      <c r="B306" s="31">
        <v>911</v>
      </c>
      <c r="C306" s="24" t="s">
        <v>19</v>
      </c>
      <c r="D306" s="24" t="s">
        <v>26</v>
      </c>
      <c r="E306" s="24" t="s">
        <v>240</v>
      </c>
      <c r="F306" s="24" t="s">
        <v>65</v>
      </c>
      <c r="G306" s="25">
        <f>100-100</f>
        <v>0</v>
      </c>
      <c r="H306" s="25">
        <v>100</v>
      </c>
      <c r="I306" s="25">
        <v>100</v>
      </c>
      <c r="J306" s="118"/>
      <c r="K306" s="118"/>
      <c r="L306" s="118"/>
      <c r="M306" s="118"/>
      <c r="N306" s="118"/>
      <c r="O306" s="118"/>
      <c r="P306" s="118"/>
      <c r="Q306" s="118"/>
    </row>
    <row r="307" spans="1:17" s="79" customFormat="1" ht="25.5" x14ac:dyDescent="0.2">
      <c r="A307" s="75" t="s">
        <v>345</v>
      </c>
      <c r="B307" s="76">
        <v>911</v>
      </c>
      <c r="C307" s="77" t="s">
        <v>19</v>
      </c>
      <c r="D307" s="77" t="s">
        <v>26</v>
      </c>
      <c r="E307" s="77" t="s">
        <v>189</v>
      </c>
      <c r="F307" s="77"/>
      <c r="G307" s="78">
        <f>G309+G308</f>
        <v>390.7</v>
      </c>
      <c r="H307" s="78">
        <f t="shared" ref="H307:I307" si="60">H309+H308</f>
        <v>390.7</v>
      </c>
      <c r="I307" s="78">
        <f t="shared" si="60"/>
        <v>390.7</v>
      </c>
    </row>
    <row r="308" spans="1:17" s="26" customFormat="1" ht="25.5" x14ac:dyDescent="0.2">
      <c r="A308" s="28" t="s">
        <v>76</v>
      </c>
      <c r="B308" s="31">
        <v>911</v>
      </c>
      <c r="C308" s="24" t="s">
        <v>19</v>
      </c>
      <c r="D308" s="24" t="s">
        <v>26</v>
      </c>
      <c r="E308" s="24" t="s">
        <v>189</v>
      </c>
      <c r="F308" s="24" t="s">
        <v>68</v>
      </c>
      <c r="G308" s="25">
        <v>4</v>
      </c>
      <c r="H308" s="25">
        <v>4</v>
      </c>
      <c r="I308" s="25">
        <v>4</v>
      </c>
    </row>
    <row r="309" spans="1:17" s="84" customFormat="1" ht="25.5" x14ac:dyDescent="0.2">
      <c r="A309" s="87" t="s">
        <v>141</v>
      </c>
      <c r="B309" s="86">
        <v>911</v>
      </c>
      <c r="C309" s="82" t="s">
        <v>19</v>
      </c>
      <c r="D309" s="82" t="s">
        <v>26</v>
      </c>
      <c r="E309" s="82" t="s">
        <v>189</v>
      </c>
      <c r="F309" s="82" t="s">
        <v>65</v>
      </c>
      <c r="G309" s="62">
        <v>386.7</v>
      </c>
      <c r="H309" s="62">
        <v>386.7</v>
      </c>
      <c r="I309" s="62">
        <v>386.7</v>
      </c>
    </row>
    <row r="310" spans="1:17" ht="51" x14ac:dyDescent="0.2">
      <c r="A310" s="18" t="s">
        <v>346</v>
      </c>
      <c r="B310" s="22">
        <v>911</v>
      </c>
      <c r="C310" s="19" t="s">
        <v>19</v>
      </c>
      <c r="D310" s="19" t="s">
        <v>26</v>
      </c>
      <c r="E310" s="19" t="s">
        <v>241</v>
      </c>
      <c r="F310" s="19"/>
      <c r="G310" s="20">
        <f>G311+G312</f>
        <v>784.19999999999993</v>
      </c>
      <c r="H310" s="20">
        <f>H311+H312</f>
        <v>714.19999999999993</v>
      </c>
      <c r="I310" s="20">
        <f>I311+I312</f>
        <v>714.19999999999993</v>
      </c>
      <c r="J310" s="117"/>
      <c r="K310" s="117"/>
      <c r="L310" s="117"/>
      <c r="M310" s="117"/>
      <c r="N310" s="117"/>
      <c r="O310" s="117"/>
      <c r="P310" s="117"/>
      <c r="Q310" s="117"/>
    </row>
    <row r="311" spans="1:17" s="26" customFormat="1" ht="49.5" customHeight="1" x14ac:dyDescent="0.2">
      <c r="A311" s="30" t="s">
        <v>66</v>
      </c>
      <c r="B311" s="32">
        <v>911</v>
      </c>
      <c r="C311" s="24" t="s">
        <v>19</v>
      </c>
      <c r="D311" s="24" t="s">
        <v>26</v>
      </c>
      <c r="E311" s="24" t="s">
        <v>241</v>
      </c>
      <c r="F311" s="27" t="s">
        <v>67</v>
      </c>
      <c r="G311" s="25">
        <f>54.4+10.4</f>
        <v>64.8</v>
      </c>
      <c r="H311" s="25">
        <v>54.4</v>
      </c>
      <c r="I311" s="25">
        <v>54.4</v>
      </c>
      <c r="J311" s="118"/>
      <c r="K311" s="118"/>
      <c r="L311" s="118"/>
      <c r="M311" s="118"/>
      <c r="N311" s="118"/>
      <c r="O311" s="118"/>
      <c r="P311" s="118"/>
      <c r="Q311" s="118"/>
    </row>
    <row r="312" spans="1:17" s="26" customFormat="1" ht="25.5" x14ac:dyDescent="0.2">
      <c r="A312" s="28" t="s">
        <v>141</v>
      </c>
      <c r="B312" s="31">
        <v>911</v>
      </c>
      <c r="C312" s="24" t="s">
        <v>19</v>
      </c>
      <c r="D312" s="24" t="s">
        <v>26</v>
      </c>
      <c r="E312" s="24" t="s">
        <v>241</v>
      </c>
      <c r="F312" s="24" t="s">
        <v>65</v>
      </c>
      <c r="G312" s="25">
        <f>659.8-10.4+70</f>
        <v>719.4</v>
      </c>
      <c r="H312" s="25">
        <v>659.8</v>
      </c>
      <c r="I312" s="25">
        <v>659.8</v>
      </c>
      <c r="J312" s="118"/>
      <c r="K312" s="118"/>
      <c r="L312" s="118"/>
      <c r="M312" s="118"/>
      <c r="N312" s="118"/>
      <c r="O312" s="118"/>
      <c r="P312" s="118"/>
      <c r="Q312" s="118"/>
    </row>
    <row r="313" spans="1:17" s="79" customFormat="1" ht="25.5" x14ac:dyDescent="0.2">
      <c r="A313" s="75" t="s">
        <v>243</v>
      </c>
      <c r="B313" s="76">
        <v>911</v>
      </c>
      <c r="C313" s="77" t="s">
        <v>19</v>
      </c>
      <c r="D313" s="77" t="s">
        <v>26</v>
      </c>
      <c r="E313" s="77" t="s">
        <v>242</v>
      </c>
      <c r="F313" s="77"/>
      <c r="G313" s="78">
        <f>G316+G315+G314</f>
        <v>643.4</v>
      </c>
      <c r="H313" s="78">
        <f t="shared" ref="H313:I313" si="61">H316+H315+H314</f>
        <v>643.4</v>
      </c>
      <c r="I313" s="78">
        <f t="shared" si="61"/>
        <v>643.4</v>
      </c>
    </row>
    <row r="314" spans="1:17" s="26" customFormat="1" ht="63.75" x14ac:dyDescent="0.2">
      <c r="A314" s="23" t="s">
        <v>66</v>
      </c>
      <c r="B314" s="31">
        <v>911</v>
      </c>
      <c r="C314" s="24" t="s">
        <v>19</v>
      </c>
      <c r="D314" s="24" t="s">
        <v>26</v>
      </c>
      <c r="E314" s="24" t="s">
        <v>242</v>
      </c>
      <c r="F314" s="24" t="s">
        <v>67</v>
      </c>
      <c r="G314" s="25">
        <v>22.6</v>
      </c>
      <c r="H314" s="25">
        <v>22.6</v>
      </c>
      <c r="I314" s="25">
        <v>22.6</v>
      </c>
      <c r="J314" s="118"/>
      <c r="K314" s="118"/>
      <c r="L314" s="118"/>
      <c r="M314" s="118"/>
      <c r="N314" s="118"/>
      <c r="O314" s="118"/>
      <c r="P314" s="118"/>
      <c r="Q314" s="118"/>
    </row>
    <row r="315" spans="1:17" s="26" customFormat="1" ht="25.5" x14ac:dyDescent="0.2">
      <c r="A315" s="28" t="s">
        <v>76</v>
      </c>
      <c r="B315" s="31">
        <v>911</v>
      </c>
      <c r="C315" s="24" t="s">
        <v>19</v>
      </c>
      <c r="D315" s="24" t="s">
        <v>26</v>
      </c>
      <c r="E315" s="24" t="s">
        <v>242</v>
      </c>
      <c r="F315" s="24" t="s">
        <v>68</v>
      </c>
      <c r="G315" s="25">
        <v>105</v>
      </c>
      <c r="H315" s="25">
        <v>105</v>
      </c>
      <c r="I315" s="25">
        <v>105</v>
      </c>
      <c r="J315" s="118"/>
      <c r="K315" s="118"/>
      <c r="L315" s="118"/>
      <c r="M315" s="118"/>
      <c r="N315" s="118"/>
      <c r="O315" s="118"/>
      <c r="P315" s="118"/>
      <c r="Q315" s="118"/>
    </row>
    <row r="316" spans="1:17" s="26" customFormat="1" ht="25.5" x14ac:dyDescent="0.2">
      <c r="A316" s="28" t="s">
        <v>141</v>
      </c>
      <c r="B316" s="31">
        <v>911</v>
      </c>
      <c r="C316" s="24" t="s">
        <v>19</v>
      </c>
      <c r="D316" s="24" t="s">
        <v>26</v>
      </c>
      <c r="E316" s="24" t="s">
        <v>242</v>
      </c>
      <c r="F316" s="24" t="s">
        <v>65</v>
      </c>
      <c r="G316" s="25">
        <v>515.79999999999995</v>
      </c>
      <c r="H316" s="25">
        <v>515.79999999999995</v>
      </c>
      <c r="I316" s="25">
        <v>515.79999999999995</v>
      </c>
      <c r="J316" s="118"/>
      <c r="K316" s="118"/>
      <c r="L316" s="118"/>
      <c r="M316" s="118"/>
      <c r="N316" s="118"/>
      <c r="O316" s="118"/>
      <c r="P316" s="118"/>
      <c r="Q316" s="118"/>
    </row>
    <row r="317" spans="1:17" s="21" customFormat="1" ht="114.75" x14ac:dyDescent="0.2">
      <c r="A317" s="18" t="s">
        <v>435</v>
      </c>
      <c r="B317" s="22">
        <v>911</v>
      </c>
      <c r="C317" s="5" t="s">
        <v>19</v>
      </c>
      <c r="D317" s="5" t="s">
        <v>26</v>
      </c>
      <c r="E317" s="5" t="s">
        <v>122</v>
      </c>
      <c r="F317" s="19"/>
      <c r="G317" s="20">
        <f>G318+G319</f>
        <v>3115.1</v>
      </c>
      <c r="H317" s="20">
        <f>H318+H319</f>
        <v>3115.1</v>
      </c>
      <c r="I317" s="20">
        <f>I318+I319</f>
        <v>3115.1</v>
      </c>
    </row>
    <row r="318" spans="1:17" s="26" customFormat="1" ht="51" customHeight="1" x14ac:dyDescent="0.2">
      <c r="A318" s="23" t="s">
        <v>66</v>
      </c>
      <c r="B318" s="31">
        <v>911</v>
      </c>
      <c r="C318" s="24" t="s">
        <v>19</v>
      </c>
      <c r="D318" s="24" t="s">
        <v>26</v>
      </c>
      <c r="E318" s="24" t="s">
        <v>122</v>
      </c>
      <c r="F318" s="27" t="s">
        <v>67</v>
      </c>
      <c r="G318" s="25">
        <f>2304+460.5</f>
        <v>2764.5</v>
      </c>
      <c r="H318" s="25">
        <f>2304+460.5</f>
        <v>2764.5</v>
      </c>
      <c r="I318" s="25">
        <f>2304+460.5</f>
        <v>2764.5</v>
      </c>
    </row>
    <row r="319" spans="1:17" s="26" customFormat="1" ht="25.5" x14ac:dyDescent="0.2">
      <c r="A319" s="28" t="s">
        <v>76</v>
      </c>
      <c r="B319" s="53">
        <v>911</v>
      </c>
      <c r="C319" s="24" t="s">
        <v>19</v>
      </c>
      <c r="D319" s="24" t="s">
        <v>26</v>
      </c>
      <c r="E319" s="24" t="s">
        <v>122</v>
      </c>
      <c r="F319" s="27" t="s">
        <v>68</v>
      </c>
      <c r="G319" s="25">
        <v>350.6</v>
      </c>
      <c r="H319" s="25">
        <v>350.6</v>
      </c>
      <c r="I319" s="25">
        <v>350.6</v>
      </c>
    </row>
    <row r="320" spans="1:17" s="117" customFormat="1" ht="25.5" x14ac:dyDescent="0.2">
      <c r="A320" s="228" t="s">
        <v>348</v>
      </c>
      <c r="B320" s="229">
        <v>911</v>
      </c>
      <c r="C320" s="230" t="s">
        <v>19</v>
      </c>
      <c r="D320" s="230" t="s">
        <v>26</v>
      </c>
      <c r="E320" s="230" t="s">
        <v>244</v>
      </c>
      <c r="F320" s="230"/>
      <c r="G320" s="231">
        <f>G321+G322</f>
        <v>4894.2</v>
      </c>
      <c r="H320" s="231">
        <f>H321+H322</f>
        <v>3681.4</v>
      </c>
      <c r="I320" s="231">
        <f>I321+I322</f>
        <v>3681.4</v>
      </c>
    </row>
    <row r="321" spans="1:17" s="118" customFormat="1" ht="51" customHeight="1" x14ac:dyDescent="0.2">
      <c r="A321" s="253" t="s">
        <v>66</v>
      </c>
      <c r="B321" s="227">
        <v>911</v>
      </c>
      <c r="C321" s="225" t="s">
        <v>19</v>
      </c>
      <c r="D321" s="225" t="s">
        <v>26</v>
      </c>
      <c r="E321" s="225" t="s">
        <v>244</v>
      </c>
      <c r="F321" s="248" t="s">
        <v>67</v>
      </c>
      <c r="G321" s="226">
        <f>3641.4+10+1212.8</f>
        <v>4864.2</v>
      </c>
      <c r="H321" s="226">
        <v>3641.4</v>
      </c>
      <c r="I321" s="226">
        <v>3641.4</v>
      </c>
    </row>
    <row r="322" spans="1:17" s="26" customFormat="1" ht="25.5" x14ac:dyDescent="0.2">
      <c r="A322" s="28" t="s">
        <v>76</v>
      </c>
      <c r="B322" s="31">
        <v>911</v>
      </c>
      <c r="C322" s="24" t="s">
        <v>19</v>
      </c>
      <c r="D322" s="24" t="s">
        <v>26</v>
      </c>
      <c r="E322" s="24" t="s">
        <v>244</v>
      </c>
      <c r="F322" s="27" t="s">
        <v>68</v>
      </c>
      <c r="G322" s="25">
        <f>40-10</f>
        <v>30</v>
      </c>
      <c r="H322" s="25">
        <v>40</v>
      </c>
      <c r="I322" s="25">
        <v>40</v>
      </c>
      <c r="J322" s="118"/>
      <c r="K322" s="118"/>
      <c r="L322" s="118"/>
      <c r="M322" s="118"/>
      <c r="N322" s="118"/>
      <c r="O322" s="118"/>
      <c r="P322" s="118"/>
      <c r="Q322" s="118"/>
    </row>
    <row r="323" spans="1:17" s="117" customFormat="1" ht="25.5" x14ac:dyDescent="0.2">
      <c r="A323" s="228" t="s">
        <v>348</v>
      </c>
      <c r="B323" s="229">
        <v>911</v>
      </c>
      <c r="C323" s="230" t="s">
        <v>19</v>
      </c>
      <c r="D323" s="230" t="s">
        <v>26</v>
      </c>
      <c r="E323" s="230" t="s">
        <v>245</v>
      </c>
      <c r="F323" s="230"/>
      <c r="G323" s="231">
        <f>G324</f>
        <v>22445.200000000001</v>
      </c>
      <c r="H323" s="231">
        <f>H324</f>
        <v>20310.8</v>
      </c>
      <c r="I323" s="231">
        <f>I324</f>
        <v>19969.7</v>
      </c>
    </row>
    <row r="324" spans="1:17" s="118" customFormat="1" ht="25.5" x14ac:dyDescent="0.2">
      <c r="A324" s="224" t="s">
        <v>141</v>
      </c>
      <c r="B324" s="227">
        <v>911</v>
      </c>
      <c r="C324" s="225" t="s">
        <v>19</v>
      </c>
      <c r="D324" s="225" t="s">
        <v>26</v>
      </c>
      <c r="E324" s="225" t="s">
        <v>245</v>
      </c>
      <c r="F324" s="225" t="s">
        <v>65</v>
      </c>
      <c r="G324" s="226">
        <f>20330.8-20-150+2-50+2232.4+70+30</f>
        <v>22445.200000000001</v>
      </c>
      <c r="H324" s="226">
        <f>20330.8-20</f>
        <v>20310.8</v>
      </c>
      <c r="I324" s="226">
        <f>19989.7-20</f>
        <v>19969.7</v>
      </c>
    </row>
    <row r="325" spans="1:17" s="117" customFormat="1" ht="25.5" x14ac:dyDescent="0.2">
      <c r="A325" s="228" t="s">
        <v>348</v>
      </c>
      <c r="B325" s="229">
        <v>911</v>
      </c>
      <c r="C325" s="230" t="s">
        <v>19</v>
      </c>
      <c r="D325" s="230" t="s">
        <v>26</v>
      </c>
      <c r="E325" s="230" t="s">
        <v>246</v>
      </c>
      <c r="F325" s="230"/>
      <c r="G325" s="231">
        <f>G326+G327+G328+G329</f>
        <v>44619.600000000006</v>
      </c>
      <c r="H325" s="231">
        <f>H326+H327+H328+H329</f>
        <v>40888.300000000003</v>
      </c>
      <c r="I325" s="231">
        <f>I326+I327+I328+I329</f>
        <v>40021.800000000003</v>
      </c>
    </row>
    <row r="326" spans="1:17" s="118" customFormat="1" ht="51.75" customHeight="1" x14ac:dyDescent="0.2">
      <c r="A326" s="251" t="s">
        <v>66</v>
      </c>
      <c r="B326" s="241">
        <v>911</v>
      </c>
      <c r="C326" s="225" t="s">
        <v>19</v>
      </c>
      <c r="D326" s="225" t="s">
        <v>26</v>
      </c>
      <c r="E326" s="225" t="s">
        <v>246</v>
      </c>
      <c r="F326" s="248" t="s">
        <v>67</v>
      </c>
      <c r="G326" s="226">
        <f>20676.4+1769.6</f>
        <v>22446</v>
      </c>
      <c r="H326" s="226">
        <v>20676.400000000001</v>
      </c>
      <c r="I326" s="226">
        <v>20676.400000000001</v>
      </c>
    </row>
    <row r="327" spans="1:17" s="118" customFormat="1" ht="25.5" x14ac:dyDescent="0.2">
      <c r="A327" s="224" t="s">
        <v>76</v>
      </c>
      <c r="B327" s="241">
        <v>911</v>
      </c>
      <c r="C327" s="225" t="s">
        <v>19</v>
      </c>
      <c r="D327" s="225" t="s">
        <v>26</v>
      </c>
      <c r="E327" s="225" t="s">
        <v>246</v>
      </c>
      <c r="F327" s="248" t="s">
        <v>68</v>
      </c>
      <c r="G327" s="226">
        <f>2835.6-170+5-204-199.7+1351.1</f>
        <v>3618</v>
      </c>
      <c r="H327" s="226">
        <v>2835.6</v>
      </c>
      <c r="I327" s="226">
        <v>2240.8000000000002</v>
      </c>
    </row>
    <row r="328" spans="1:17" s="118" customFormat="1" ht="25.5" x14ac:dyDescent="0.2">
      <c r="A328" s="224" t="s">
        <v>141</v>
      </c>
      <c r="B328" s="227">
        <v>911</v>
      </c>
      <c r="C328" s="225" t="s">
        <v>19</v>
      </c>
      <c r="D328" s="225" t="s">
        <v>26</v>
      </c>
      <c r="E328" s="225" t="s">
        <v>246</v>
      </c>
      <c r="F328" s="225" t="s">
        <v>65</v>
      </c>
      <c r="G328" s="226">
        <f>17304.9-257.8-187.5+1624.5</f>
        <v>18484.100000000002</v>
      </c>
      <c r="H328" s="226">
        <f>17304.9-0.1</f>
        <v>17304.800000000003</v>
      </c>
      <c r="I328" s="226">
        <v>17033.099999999999</v>
      </c>
    </row>
    <row r="329" spans="1:17" s="26" customFormat="1" x14ac:dyDescent="0.2">
      <c r="A329" s="28" t="s">
        <v>72</v>
      </c>
      <c r="B329" s="31">
        <v>911</v>
      </c>
      <c r="C329" s="24" t="s">
        <v>19</v>
      </c>
      <c r="D329" s="24" t="s">
        <v>26</v>
      </c>
      <c r="E329" s="24" t="s">
        <v>246</v>
      </c>
      <c r="F329" s="24" t="s">
        <v>73</v>
      </c>
      <c r="G329" s="25">
        <v>71.5</v>
      </c>
      <c r="H329" s="25">
        <v>71.5</v>
      </c>
      <c r="I329" s="25">
        <v>71.5</v>
      </c>
      <c r="J329" s="118"/>
      <c r="K329" s="118"/>
      <c r="L329" s="118"/>
      <c r="M329" s="118"/>
      <c r="N329" s="118"/>
      <c r="O329" s="118"/>
      <c r="P329" s="118"/>
      <c r="Q329" s="118"/>
    </row>
    <row r="330" spans="1:17" s="99" customFormat="1" x14ac:dyDescent="0.2">
      <c r="A330" s="98" t="s">
        <v>52</v>
      </c>
      <c r="B330" s="64">
        <v>911</v>
      </c>
      <c r="C330" s="65" t="s">
        <v>51</v>
      </c>
      <c r="D330" s="65"/>
      <c r="E330" s="65"/>
      <c r="F330" s="65"/>
      <c r="G330" s="68">
        <f>G331+G346+G364</f>
        <v>60703.799999999996</v>
      </c>
      <c r="H330" s="68">
        <f t="shared" ref="H330:Q330" si="62">H331+H346+H364</f>
        <v>59838.2</v>
      </c>
      <c r="I330" s="68">
        <f t="shared" si="62"/>
        <v>57889.099999999991</v>
      </c>
      <c r="J330" s="68">
        <f t="shared" si="62"/>
        <v>0</v>
      </c>
      <c r="K330" s="68">
        <f t="shared" si="62"/>
        <v>0</v>
      </c>
      <c r="L330" s="68">
        <f t="shared" si="62"/>
        <v>0</v>
      </c>
      <c r="M330" s="68">
        <f t="shared" si="62"/>
        <v>0</v>
      </c>
      <c r="N330" s="68">
        <f t="shared" si="62"/>
        <v>0</v>
      </c>
      <c r="O330" s="68">
        <f t="shared" si="62"/>
        <v>0</v>
      </c>
      <c r="P330" s="68">
        <f t="shared" si="62"/>
        <v>0</v>
      </c>
      <c r="Q330" s="68">
        <f t="shared" si="62"/>
        <v>0</v>
      </c>
    </row>
    <row r="331" spans="1:17" s="74" customFormat="1" x14ac:dyDescent="0.2">
      <c r="A331" s="70" t="s">
        <v>55</v>
      </c>
      <c r="B331" s="71">
        <v>911</v>
      </c>
      <c r="C331" s="72" t="s">
        <v>51</v>
      </c>
      <c r="D331" s="72" t="s">
        <v>16</v>
      </c>
      <c r="E331" s="72"/>
      <c r="F331" s="72"/>
      <c r="G331" s="73">
        <f>G332+G337+G335+G342+G344+G339</f>
        <v>12550.4</v>
      </c>
      <c r="H331" s="73">
        <f t="shared" ref="H331:I331" si="63">H332+H337+H335+H342+H344+H339</f>
        <v>11473.8</v>
      </c>
      <c r="I331" s="73">
        <f t="shared" si="63"/>
        <v>11473.8</v>
      </c>
    </row>
    <row r="332" spans="1:17" s="21" customFormat="1" ht="25.5" x14ac:dyDescent="0.2">
      <c r="A332" s="60" t="s">
        <v>361</v>
      </c>
      <c r="B332" s="22">
        <v>911</v>
      </c>
      <c r="C332" s="19" t="s">
        <v>51</v>
      </c>
      <c r="D332" s="19" t="s">
        <v>16</v>
      </c>
      <c r="E332" s="19" t="s">
        <v>85</v>
      </c>
      <c r="F332" s="19"/>
      <c r="G332" s="20">
        <f>G334+G333</f>
        <v>1396</v>
      </c>
      <c r="H332" s="20">
        <f>H334+H333</f>
        <v>1396</v>
      </c>
      <c r="I332" s="20">
        <f>I334+I333</f>
        <v>1396</v>
      </c>
    </row>
    <row r="333" spans="1:17" s="21" customFormat="1" x14ac:dyDescent="0.2">
      <c r="A333" s="59" t="s">
        <v>69</v>
      </c>
      <c r="B333" s="23">
        <v>911</v>
      </c>
      <c r="C333" s="24" t="s">
        <v>51</v>
      </c>
      <c r="D333" s="24" t="s">
        <v>16</v>
      </c>
      <c r="E333" s="24" t="s">
        <v>85</v>
      </c>
      <c r="F333" s="27" t="s">
        <v>70</v>
      </c>
      <c r="G333" s="25">
        <f>26.7</f>
        <v>26.7</v>
      </c>
      <c r="H333" s="25">
        <f>26.7</f>
        <v>26.7</v>
      </c>
      <c r="I333" s="25">
        <f>26.7</f>
        <v>26.7</v>
      </c>
    </row>
    <row r="334" spans="1:17" s="26" customFormat="1" ht="25.5" x14ac:dyDescent="0.2">
      <c r="A334" s="28" t="s">
        <v>141</v>
      </c>
      <c r="B334" s="31">
        <v>911</v>
      </c>
      <c r="C334" s="24" t="s">
        <v>51</v>
      </c>
      <c r="D334" s="24" t="s">
        <v>16</v>
      </c>
      <c r="E334" s="24" t="s">
        <v>85</v>
      </c>
      <c r="F334" s="24" t="s">
        <v>65</v>
      </c>
      <c r="G334" s="25">
        <f>1289.3+80</f>
        <v>1369.3</v>
      </c>
      <c r="H334" s="25">
        <f>1289.3+80</f>
        <v>1369.3</v>
      </c>
      <c r="I334" s="25">
        <f>1289.3+80</f>
        <v>1369.3</v>
      </c>
    </row>
    <row r="335" spans="1:17" s="21" customFormat="1" ht="51" x14ac:dyDescent="0.2">
      <c r="A335" s="18" t="s">
        <v>247</v>
      </c>
      <c r="B335" s="22">
        <v>911</v>
      </c>
      <c r="C335" s="19" t="s">
        <v>51</v>
      </c>
      <c r="D335" s="19" t="s">
        <v>16</v>
      </c>
      <c r="E335" s="19" t="s">
        <v>126</v>
      </c>
      <c r="F335" s="19"/>
      <c r="G335" s="20">
        <f>G336</f>
        <v>207</v>
      </c>
      <c r="H335" s="20">
        <f>H336</f>
        <v>207</v>
      </c>
      <c r="I335" s="20">
        <f>I336</f>
        <v>207</v>
      </c>
    </row>
    <row r="336" spans="1:17" s="26" customFormat="1" x14ac:dyDescent="0.2">
      <c r="A336" s="59" t="s">
        <v>69</v>
      </c>
      <c r="B336" s="31">
        <v>911</v>
      </c>
      <c r="C336" s="24" t="s">
        <v>51</v>
      </c>
      <c r="D336" s="24" t="s">
        <v>16</v>
      </c>
      <c r="E336" s="24" t="s">
        <v>126</v>
      </c>
      <c r="F336" s="29">
        <v>300</v>
      </c>
      <c r="G336" s="25">
        <v>207</v>
      </c>
      <c r="H336" s="25">
        <v>207</v>
      </c>
      <c r="I336" s="25">
        <v>207</v>
      </c>
    </row>
    <row r="337" spans="1:17" s="21" customFormat="1" ht="38.25" x14ac:dyDescent="0.2">
      <c r="A337" s="47" t="s">
        <v>249</v>
      </c>
      <c r="B337" s="22">
        <v>911</v>
      </c>
      <c r="C337" s="19" t="s">
        <v>51</v>
      </c>
      <c r="D337" s="19" t="s">
        <v>16</v>
      </c>
      <c r="E337" s="19" t="s">
        <v>124</v>
      </c>
      <c r="F337" s="19"/>
      <c r="G337" s="20">
        <f>G338</f>
        <v>570</v>
      </c>
      <c r="H337" s="20">
        <f>H338</f>
        <v>570</v>
      </c>
      <c r="I337" s="20">
        <f>I338</f>
        <v>570</v>
      </c>
    </row>
    <row r="338" spans="1:17" s="26" customFormat="1" x14ac:dyDescent="0.2">
      <c r="A338" s="59" t="s">
        <v>69</v>
      </c>
      <c r="B338" s="31">
        <v>911</v>
      </c>
      <c r="C338" s="24" t="s">
        <v>51</v>
      </c>
      <c r="D338" s="24" t="s">
        <v>16</v>
      </c>
      <c r="E338" s="24" t="s">
        <v>124</v>
      </c>
      <c r="F338" s="24" t="s">
        <v>70</v>
      </c>
      <c r="G338" s="25">
        <v>570</v>
      </c>
      <c r="H338" s="25">
        <v>570</v>
      </c>
      <c r="I338" s="25">
        <v>570</v>
      </c>
    </row>
    <row r="339" spans="1:17" ht="25.5" x14ac:dyDescent="0.2">
      <c r="A339" s="47" t="s">
        <v>250</v>
      </c>
      <c r="B339" s="239" t="s">
        <v>131</v>
      </c>
      <c r="C339" s="19" t="s">
        <v>51</v>
      </c>
      <c r="D339" s="19" t="s">
        <v>16</v>
      </c>
      <c r="E339" s="19" t="s">
        <v>132</v>
      </c>
      <c r="F339" s="19"/>
      <c r="G339" s="20">
        <f>G341+G340</f>
        <v>2112.6</v>
      </c>
      <c r="H339" s="20">
        <f>H341+H340</f>
        <v>636</v>
      </c>
      <c r="I339" s="20">
        <f>I341+I340</f>
        <v>636</v>
      </c>
      <c r="J339" s="117"/>
      <c r="K339" s="117"/>
      <c r="L339" s="117"/>
      <c r="M339" s="117"/>
      <c r="N339" s="117"/>
      <c r="O339" s="117"/>
      <c r="P339" s="117"/>
      <c r="Q339" s="117"/>
    </row>
    <row r="340" spans="1:17" ht="25.5" x14ac:dyDescent="0.2">
      <c r="A340" s="28" t="s">
        <v>76</v>
      </c>
      <c r="B340" s="23">
        <v>911</v>
      </c>
      <c r="C340" s="24" t="s">
        <v>51</v>
      </c>
      <c r="D340" s="24" t="s">
        <v>16</v>
      </c>
      <c r="E340" s="24" t="s">
        <v>132</v>
      </c>
      <c r="F340" s="27" t="s">
        <v>68</v>
      </c>
      <c r="G340" s="25">
        <f>118.8+32.4+325.4</f>
        <v>476.59999999999997</v>
      </c>
      <c r="H340" s="25">
        <v>118.8</v>
      </c>
      <c r="I340" s="25">
        <v>118.8</v>
      </c>
      <c r="J340" s="117"/>
      <c r="K340" s="117"/>
      <c r="L340" s="117"/>
      <c r="M340" s="117"/>
      <c r="N340" s="117"/>
      <c r="O340" s="117"/>
      <c r="P340" s="117"/>
      <c r="Q340" s="117"/>
    </row>
    <row r="341" spans="1:17" ht="25.5" x14ac:dyDescent="0.2">
      <c r="A341" s="28" t="s">
        <v>141</v>
      </c>
      <c r="B341" s="28">
        <v>911</v>
      </c>
      <c r="C341" s="24" t="s">
        <v>51</v>
      </c>
      <c r="D341" s="24" t="s">
        <v>16</v>
      </c>
      <c r="E341" s="24" t="s">
        <v>132</v>
      </c>
      <c r="F341" s="24" t="s">
        <v>65</v>
      </c>
      <c r="G341" s="25">
        <f>483.6+33.6-32.4+1151.2</f>
        <v>1636</v>
      </c>
      <c r="H341" s="25">
        <f>483.6+33.6</f>
        <v>517.20000000000005</v>
      </c>
      <c r="I341" s="25">
        <f>483.6+33.6</f>
        <v>517.20000000000005</v>
      </c>
      <c r="J341" s="117"/>
      <c r="K341" s="117"/>
      <c r="L341" s="117"/>
      <c r="M341" s="117"/>
      <c r="N341" s="117"/>
      <c r="O341" s="117"/>
      <c r="P341" s="117"/>
      <c r="Q341" s="117"/>
    </row>
    <row r="342" spans="1:17" ht="78" customHeight="1" x14ac:dyDescent="0.2">
      <c r="A342" s="18" t="s">
        <v>458</v>
      </c>
      <c r="B342" s="22">
        <v>911</v>
      </c>
      <c r="C342" s="19" t="s">
        <v>51</v>
      </c>
      <c r="D342" s="19" t="s">
        <v>16</v>
      </c>
      <c r="E342" s="19" t="s">
        <v>127</v>
      </c>
      <c r="F342" s="19"/>
      <c r="G342" s="20">
        <f>G343</f>
        <v>600</v>
      </c>
      <c r="H342" s="20">
        <f>H343</f>
        <v>1000</v>
      </c>
      <c r="I342" s="20">
        <f>I343</f>
        <v>1000</v>
      </c>
      <c r="J342" s="117"/>
      <c r="K342" s="117"/>
      <c r="L342" s="117"/>
      <c r="M342" s="117"/>
      <c r="N342" s="117"/>
      <c r="O342" s="117"/>
      <c r="P342" s="117"/>
      <c r="Q342" s="117"/>
    </row>
    <row r="343" spans="1:17" s="26" customFormat="1" x14ac:dyDescent="0.2">
      <c r="A343" s="28" t="s">
        <v>69</v>
      </c>
      <c r="B343" s="31">
        <v>911</v>
      </c>
      <c r="C343" s="24" t="s">
        <v>51</v>
      </c>
      <c r="D343" s="24" t="s">
        <v>16</v>
      </c>
      <c r="E343" s="24" t="s">
        <v>127</v>
      </c>
      <c r="F343" s="24" t="s">
        <v>70</v>
      </c>
      <c r="G343" s="25">
        <f>1000-400</f>
        <v>600</v>
      </c>
      <c r="H343" s="25">
        <v>1000</v>
      </c>
      <c r="I343" s="25">
        <v>1000</v>
      </c>
      <c r="J343" s="118"/>
      <c r="K343" s="118"/>
      <c r="L343" s="118"/>
      <c r="M343" s="118"/>
      <c r="N343" s="118"/>
      <c r="O343" s="118"/>
      <c r="P343" s="118"/>
      <c r="Q343" s="118"/>
    </row>
    <row r="344" spans="1:17" s="21" customFormat="1" ht="51" x14ac:dyDescent="0.2">
      <c r="A344" s="18" t="s">
        <v>252</v>
      </c>
      <c r="B344" s="22">
        <v>911</v>
      </c>
      <c r="C344" s="19" t="s">
        <v>51</v>
      </c>
      <c r="D344" s="19" t="s">
        <v>16</v>
      </c>
      <c r="E344" s="19" t="s">
        <v>108</v>
      </c>
      <c r="F344" s="19"/>
      <c r="G344" s="20">
        <f>G345</f>
        <v>7664.8</v>
      </c>
      <c r="H344" s="20">
        <f>H345</f>
        <v>7664.8</v>
      </c>
      <c r="I344" s="20">
        <f>I345</f>
        <v>7664.8</v>
      </c>
    </row>
    <row r="345" spans="1:17" s="26" customFormat="1" ht="25.5" x14ac:dyDescent="0.2">
      <c r="A345" s="28" t="s">
        <v>141</v>
      </c>
      <c r="B345" s="31">
        <v>911</v>
      </c>
      <c r="C345" s="24" t="s">
        <v>51</v>
      </c>
      <c r="D345" s="24" t="s">
        <v>16</v>
      </c>
      <c r="E345" s="24" t="s">
        <v>108</v>
      </c>
      <c r="F345" s="24" t="s">
        <v>65</v>
      </c>
      <c r="G345" s="25">
        <v>7664.8</v>
      </c>
      <c r="H345" s="25">
        <v>7664.8</v>
      </c>
      <c r="I345" s="25">
        <v>7664.8</v>
      </c>
    </row>
    <row r="346" spans="1:17" s="74" customFormat="1" x14ac:dyDescent="0.2">
      <c r="A346" s="70" t="s">
        <v>56</v>
      </c>
      <c r="B346" s="71">
        <v>911</v>
      </c>
      <c r="C346" s="72" t="s">
        <v>51</v>
      </c>
      <c r="D346" s="72" t="s">
        <v>18</v>
      </c>
      <c r="E346" s="72"/>
      <c r="F346" s="72"/>
      <c r="G346" s="73">
        <f>G347+G349+G355+G359+G361+G353+G357</f>
        <v>48093.399999999994</v>
      </c>
      <c r="H346" s="73">
        <f t="shared" ref="H346:I346" si="64">H347+H349+H355+H359+H361+H353+H357</f>
        <v>48364.399999999994</v>
      </c>
      <c r="I346" s="73">
        <f t="shared" si="64"/>
        <v>46415.299999999996</v>
      </c>
    </row>
    <row r="347" spans="1:17" s="21" customFormat="1" ht="38.25" x14ac:dyDescent="0.2">
      <c r="A347" s="18" t="s">
        <v>253</v>
      </c>
      <c r="B347" s="22">
        <v>911</v>
      </c>
      <c r="C347" s="19" t="s">
        <v>51</v>
      </c>
      <c r="D347" s="19" t="s">
        <v>18</v>
      </c>
      <c r="E347" s="19" t="s">
        <v>130</v>
      </c>
      <c r="F347" s="19"/>
      <c r="G347" s="20">
        <f>G348</f>
        <v>1288</v>
      </c>
      <c r="H347" s="20">
        <f>H348</f>
        <v>1000</v>
      </c>
      <c r="I347" s="20">
        <f>I348</f>
        <v>1300</v>
      </c>
    </row>
    <row r="348" spans="1:17" s="26" customFormat="1" x14ac:dyDescent="0.2">
      <c r="A348" s="28" t="s">
        <v>69</v>
      </c>
      <c r="B348" s="31">
        <v>911</v>
      </c>
      <c r="C348" s="24" t="s">
        <v>51</v>
      </c>
      <c r="D348" s="24" t="s">
        <v>18</v>
      </c>
      <c r="E348" s="24" t="s">
        <v>130</v>
      </c>
      <c r="F348" s="24" t="s">
        <v>70</v>
      </c>
      <c r="G348" s="25">
        <v>1288</v>
      </c>
      <c r="H348" s="25">
        <v>1000</v>
      </c>
      <c r="I348" s="25">
        <v>1300</v>
      </c>
    </row>
    <row r="349" spans="1:17" s="117" customFormat="1" ht="38.25" customHeight="1" x14ac:dyDescent="0.2">
      <c r="A349" s="228" t="s">
        <v>254</v>
      </c>
      <c r="B349" s="229">
        <v>911</v>
      </c>
      <c r="C349" s="230" t="s">
        <v>51</v>
      </c>
      <c r="D349" s="230" t="s">
        <v>18</v>
      </c>
      <c r="E349" s="230" t="s">
        <v>128</v>
      </c>
      <c r="F349" s="230"/>
      <c r="G349" s="231">
        <f>G351+G352+G350</f>
        <v>3000.0000000000005</v>
      </c>
      <c r="H349" s="231">
        <f>H351+H352+H350</f>
        <v>3754</v>
      </c>
      <c r="I349" s="231">
        <f>I351+I352+I350</f>
        <v>3754</v>
      </c>
    </row>
    <row r="350" spans="1:17" s="118" customFormat="1" ht="25.5" x14ac:dyDescent="0.2">
      <c r="A350" s="224" t="s">
        <v>76</v>
      </c>
      <c r="B350" s="241">
        <v>911</v>
      </c>
      <c r="C350" s="225" t="s">
        <v>51</v>
      </c>
      <c r="D350" s="225" t="s">
        <v>18</v>
      </c>
      <c r="E350" s="225" t="s">
        <v>128</v>
      </c>
      <c r="F350" s="248" t="s">
        <v>68</v>
      </c>
      <c r="G350" s="226">
        <f>4.2-2.1-0.8</f>
        <v>1.3</v>
      </c>
      <c r="H350" s="226">
        <v>4.2</v>
      </c>
      <c r="I350" s="226">
        <v>4.2</v>
      </c>
    </row>
    <row r="351" spans="1:17" s="118" customFormat="1" x14ac:dyDescent="0.2">
      <c r="A351" s="233" t="s">
        <v>69</v>
      </c>
      <c r="B351" s="227">
        <v>911</v>
      </c>
      <c r="C351" s="225" t="s">
        <v>51</v>
      </c>
      <c r="D351" s="225" t="s">
        <v>18</v>
      </c>
      <c r="E351" s="225" t="s">
        <v>128</v>
      </c>
      <c r="F351" s="263">
        <v>300</v>
      </c>
      <c r="G351" s="226">
        <f>419+2.1-150</f>
        <v>271.10000000000002</v>
      </c>
      <c r="H351" s="226">
        <v>419</v>
      </c>
      <c r="I351" s="226">
        <v>419</v>
      </c>
    </row>
    <row r="352" spans="1:17" s="118" customFormat="1" ht="25.5" x14ac:dyDescent="0.2">
      <c r="A352" s="224" t="s">
        <v>141</v>
      </c>
      <c r="B352" s="227">
        <v>911</v>
      </c>
      <c r="C352" s="225" t="s">
        <v>51</v>
      </c>
      <c r="D352" s="225" t="s">
        <v>18</v>
      </c>
      <c r="E352" s="225" t="s">
        <v>128</v>
      </c>
      <c r="F352" s="225" t="s">
        <v>65</v>
      </c>
      <c r="G352" s="226">
        <f>3330.8-603.2</f>
        <v>2727.6000000000004</v>
      </c>
      <c r="H352" s="226">
        <v>3330.8</v>
      </c>
      <c r="I352" s="226">
        <v>3330.8</v>
      </c>
    </row>
    <row r="353" spans="1:24" s="21" customFormat="1" ht="29.25" customHeight="1" x14ac:dyDescent="0.2">
      <c r="A353" s="60" t="s">
        <v>448</v>
      </c>
      <c r="B353" s="22">
        <v>911</v>
      </c>
      <c r="C353" s="19" t="s">
        <v>51</v>
      </c>
      <c r="D353" s="19" t="s">
        <v>18</v>
      </c>
      <c r="E353" s="19" t="s">
        <v>447</v>
      </c>
      <c r="F353" s="19"/>
      <c r="G353" s="20">
        <f>G354</f>
        <v>0</v>
      </c>
      <c r="H353" s="20">
        <f>H354</f>
        <v>5</v>
      </c>
      <c r="I353" s="20">
        <f>I354</f>
        <v>0</v>
      </c>
    </row>
    <row r="354" spans="1:24" s="26" customFormat="1" x14ac:dyDescent="0.2">
      <c r="A354" s="28" t="s">
        <v>69</v>
      </c>
      <c r="B354" s="31">
        <v>911</v>
      </c>
      <c r="C354" s="24" t="s">
        <v>51</v>
      </c>
      <c r="D354" s="24" t="s">
        <v>18</v>
      </c>
      <c r="E354" s="24" t="s">
        <v>447</v>
      </c>
      <c r="F354" s="24" t="s">
        <v>70</v>
      </c>
      <c r="G354" s="25">
        <v>0</v>
      </c>
      <c r="H354" s="25">
        <v>5</v>
      </c>
      <c r="I354" s="25">
        <v>0</v>
      </c>
    </row>
    <row r="355" spans="1:24" s="21" customFormat="1" ht="112.5" customHeight="1" x14ac:dyDescent="0.2">
      <c r="A355" s="60" t="s">
        <v>453</v>
      </c>
      <c r="B355" s="22">
        <v>911</v>
      </c>
      <c r="C355" s="19" t="s">
        <v>51</v>
      </c>
      <c r="D355" s="19" t="s">
        <v>18</v>
      </c>
      <c r="E355" s="19" t="s">
        <v>129</v>
      </c>
      <c r="F355" s="19"/>
      <c r="G355" s="20">
        <f>G356</f>
        <v>38467</v>
      </c>
      <c r="H355" s="20">
        <f>H356</f>
        <v>38467</v>
      </c>
      <c r="I355" s="20">
        <f>I356</f>
        <v>38467</v>
      </c>
      <c r="S355" s="270"/>
      <c r="T355" s="270"/>
      <c r="U355" s="270"/>
      <c r="V355" s="270"/>
      <c r="W355" s="270"/>
      <c r="X355" s="270"/>
    </row>
    <row r="356" spans="1:24" s="26" customFormat="1" x14ac:dyDescent="0.2">
      <c r="A356" s="28" t="s">
        <v>69</v>
      </c>
      <c r="B356" s="31">
        <v>911</v>
      </c>
      <c r="C356" s="24" t="s">
        <v>51</v>
      </c>
      <c r="D356" s="24" t="s">
        <v>18</v>
      </c>
      <c r="E356" s="24" t="s">
        <v>129</v>
      </c>
      <c r="F356" s="24" t="s">
        <v>70</v>
      </c>
      <c r="G356" s="25">
        <f>38517-50</f>
        <v>38467</v>
      </c>
      <c r="H356" s="25">
        <f>38517-50</f>
        <v>38467</v>
      </c>
      <c r="I356" s="25">
        <f>38517-50</f>
        <v>38467</v>
      </c>
    </row>
    <row r="357" spans="1:24" ht="112.5" customHeight="1" x14ac:dyDescent="0.2">
      <c r="A357" s="60" t="s">
        <v>450</v>
      </c>
      <c r="B357" s="22">
        <v>911</v>
      </c>
      <c r="C357" s="19" t="s">
        <v>51</v>
      </c>
      <c r="D357" s="19" t="s">
        <v>18</v>
      </c>
      <c r="E357" s="19" t="s">
        <v>449</v>
      </c>
      <c r="F357" s="19"/>
      <c r="G357" s="20">
        <f>G358</f>
        <v>250</v>
      </c>
      <c r="H357" s="20">
        <f>H358</f>
        <v>50</v>
      </c>
      <c r="I357" s="20">
        <f>I358</f>
        <v>50</v>
      </c>
      <c r="J357" s="117"/>
      <c r="K357" s="117"/>
      <c r="L357" s="117"/>
      <c r="M357" s="117"/>
      <c r="N357" s="117"/>
      <c r="O357" s="117"/>
      <c r="P357" s="117"/>
      <c r="Q357" s="117"/>
    </row>
    <row r="358" spans="1:24" s="26" customFormat="1" x14ac:dyDescent="0.2">
      <c r="A358" s="28" t="s">
        <v>69</v>
      </c>
      <c r="B358" s="31">
        <v>911</v>
      </c>
      <c r="C358" s="24" t="s">
        <v>51</v>
      </c>
      <c r="D358" s="24" t="s">
        <v>18</v>
      </c>
      <c r="E358" s="24" t="s">
        <v>449</v>
      </c>
      <c r="F358" s="24" t="s">
        <v>70</v>
      </c>
      <c r="G358" s="25">
        <f>50+200</f>
        <v>250</v>
      </c>
      <c r="H358" s="25">
        <v>50</v>
      </c>
      <c r="I358" s="25">
        <v>50</v>
      </c>
      <c r="J358" s="118"/>
      <c r="K358" s="118"/>
      <c r="L358" s="118"/>
      <c r="M358" s="118"/>
      <c r="N358" s="118"/>
      <c r="O358" s="118"/>
      <c r="P358" s="118"/>
      <c r="Q358" s="118"/>
    </row>
    <row r="359" spans="1:24" s="21" customFormat="1" ht="38.25" x14ac:dyDescent="0.2">
      <c r="A359" s="18" t="s">
        <v>424</v>
      </c>
      <c r="B359" s="22">
        <v>911</v>
      </c>
      <c r="C359" s="19" t="s">
        <v>51</v>
      </c>
      <c r="D359" s="19" t="s">
        <v>18</v>
      </c>
      <c r="E359" s="19" t="s">
        <v>425</v>
      </c>
      <c r="F359" s="19"/>
      <c r="G359" s="20">
        <f>G360</f>
        <v>3643.2</v>
      </c>
      <c r="H359" s="20">
        <f>H360</f>
        <v>3643.2</v>
      </c>
      <c r="I359" s="20">
        <f>I360</f>
        <v>1399.0999999999997</v>
      </c>
    </row>
    <row r="360" spans="1:24" s="26" customFormat="1" ht="25.5" x14ac:dyDescent="0.2">
      <c r="A360" s="87" t="s">
        <v>141</v>
      </c>
      <c r="B360" s="31">
        <v>911</v>
      </c>
      <c r="C360" s="24" t="s">
        <v>51</v>
      </c>
      <c r="D360" s="24" t="s">
        <v>18</v>
      </c>
      <c r="E360" s="24" t="s">
        <v>425</v>
      </c>
      <c r="F360" s="24" t="s">
        <v>65</v>
      </c>
      <c r="G360" s="25">
        <v>3643.2</v>
      </c>
      <c r="H360" s="25">
        <v>3643.2</v>
      </c>
      <c r="I360" s="25">
        <f>3643.2-2099.8-144.3</f>
        <v>1399.0999999999997</v>
      </c>
    </row>
    <row r="361" spans="1:24" s="21" customFormat="1" ht="38.25" x14ac:dyDescent="0.2">
      <c r="A361" s="18" t="s">
        <v>423</v>
      </c>
      <c r="B361" s="22">
        <v>911</v>
      </c>
      <c r="C361" s="19" t="s">
        <v>51</v>
      </c>
      <c r="D361" s="19" t="s">
        <v>18</v>
      </c>
      <c r="E361" s="19" t="s">
        <v>422</v>
      </c>
      <c r="F361" s="19"/>
      <c r="G361" s="20">
        <f>G363+G362</f>
        <v>1445.2</v>
      </c>
      <c r="H361" s="20">
        <f t="shared" ref="H361:I361" si="65">H363+H362</f>
        <v>1445.2</v>
      </c>
      <c r="I361" s="20">
        <f t="shared" si="65"/>
        <v>1445.2</v>
      </c>
    </row>
    <row r="362" spans="1:24" s="26" customFormat="1" ht="25.5" x14ac:dyDescent="0.2">
      <c r="A362" s="87" t="s">
        <v>76</v>
      </c>
      <c r="B362" s="31">
        <v>911</v>
      </c>
      <c r="C362" s="24" t="s">
        <v>51</v>
      </c>
      <c r="D362" s="24" t="s">
        <v>18</v>
      </c>
      <c r="E362" s="24" t="s">
        <v>422</v>
      </c>
      <c r="F362" s="24" t="s">
        <v>68</v>
      </c>
      <c r="G362" s="25">
        <v>420</v>
      </c>
      <c r="H362" s="25">
        <v>420</v>
      </c>
      <c r="I362" s="25">
        <v>420</v>
      </c>
    </row>
    <row r="363" spans="1:24" s="26" customFormat="1" ht="25.5" x14ac:dyDescent="0.2">
      <c r="A363" s="87" t="s">
        <v>141</v>
      </c>
      <c r="B363" s="31">
        <v>911</v>
      </c>
      <c r="C363" s="24" t="s">
        <v>51</v>
      </c>
      <c r="D363" s="24" t="s">
        <v>18</v>
      </c>
      <c r="E363" s="24" t="s">
        <v>422</v>
      </c>
      <c r="F363" s="24" t="s">
        <v>65</v>
      </c>
      <c r="G363" s="25">
        <v>1025.2</v>
      </c>
      <c r="H363" s="25">
        <v>1025.2</v>
      </c>
      <c r="I363" s="25">
        <v>1025.2</v>
      </c>
    </row>
    <row r="364" spans="1:24" s="26" customFormat="1" x14ac:dyDescent="0.2">
      <c r="A364" s="11" t="s">
        <v>57</v>
      </c>
      <c r="B364" s="14">
        <v>911</v>
      </c>
      <c r="C364" s="8" t="s">
        <v>51</v>
      </c>
      <c r="D364" s="8" t="s">
        <v>50</v>
      </c>
      <c r="E364" s="8"/>
      <c r="F364" s="24"/>
      <c r="G364" s="25">
        <f>G365</f>
        <v>60</v>
      </c>
      <c r="H364" s="25">
        <f t="shared" ref="H364:I365" si="66">H365</f>
        <v>0</v>
      </c>
      <c r="I364" s="25">
        <f t="shared" si="66"/>
        <v>0</v>
      </c>
      <c r="J364" s="118"/>
      <c r="K364" s="118"/>
      <c r="L364" s="118"/>
      <c r="M364" s="118"/>
      <c r="N364" s="118"/>
      <c r="O364" s="118"/>
      <c r="P364" s="118"/>
      <c r="Q364" s="118"/>
    </row>
    <row r="365" spans="1:24" s="26" customFormat="1" x14ac:dyDescent="0.2">
      <c r="A365" s="18" t="s">
        <v>322</v>
      </c>
      <c r="B365" s="22">
        <v>911</v>
      </c>
      <c r="C365" s="19" t="s">
        <v>51</v>
      </c>
      <c r="D365" s="19" t="s">
        <v>50</v>
      </c>
      <c r="E365" s="19" t="s">
        <v>323</v>
      </c>
      <c r="F365" s="24"/>
      <c r="G365" s="25">
        <f>G366</f>
        <v>60</v>
      </c>
      <c r="H365" s="25">
        <f t="shared" si="66"/>
        <v>0</v>
      </c>
      <c r="I365" s="25">
        <f t="shared" si="66"/>
        <v>0</v>
      </c>
      <c r="J365" s="118"/>
      <c r="K365" s="118"/>
      <c r="L365" s="118"/>
      <c r="M365" s="118"/>
      <c r="N365" s="118"/>
      <c r="O365" s="118"/>
      <c r="P365" s="118"/>
      <c r="Q365" s="118"/>
    </row>
    <row r="366" spans="1:24" s="26" customFormat="1" ht="25.5" x14ac:dyDescent="0.2">
      <c r="A366" s="28" t="s">
        <v>141</v>
      </c>
      <c r="B366" s="31">
        <v>911</v>
      </c>
      <c r="C366" s="24" t="s">
        <v>51</v>
      </c>
      <c r="D366" s="24" t="s">
        <v>50</v>
      </c>
      <c r="E366" s="24" t="s">
        <v>323</v>
      </c>
      <c r="F366" s="24" t="s">
        <v>65</v>
      </c>
      <c r="G366" s="25">
        <v>60</v>
      </c>
      <c r="H366" s="25">
        <v>0</v>
      </c>
      <c r="I366" s="25">
        <v>0</v>
      </c>
      <c r="J366" s="118"/>
      <c r="K366" s="118"/>
      <c r="L366" s="118"/>
      <c r="M366" s="118"/>
      <c r="N366" s="118"/>
      <c r="O366" s="118"/>
      <c r="P366" s="118"/>
      <c r="Q366" s="118"/>
    </row>
    <row r="367" spans="1:24" s="9" customFormat="1" ht="25.5" x14ac:dyDescent="0.2">
      <c r="A367" s="40" t="s">
        <v>7</v>
      </c>
      <c r="B367" s="37">
        <v>913</v>
      </c>
      <c r="C367" s="41"/>
      <c r="D367" s="41"/>
      <c r="E367" s="41"/>
      <c r="F367" s="41"/>
      <c r="G367" s="39">
        <f>G368+G382+G410</f>
        <v>165006.70000000001</v>
      </c>
      <c r="H367" s="39">
        <f>H368+H382+H410</f>
        <v>125130</v>
      </c>
      <c r="I367" s="39">
        <f>I368+I382+I410</f>
        <v>123523.6</v>
      </c>
    </row>
    <row r="368" spans="1:24" s="99" customFormat="1" x14ac:dyDescent="0.2">
      <c r="A368" s="98" t="s">
        <v>37</v>
      </c>
      <c r="B368" s="64">
        <v>913</v>
      </c>
      <c r="C368" s="65" t="s">
        <v>19</v>
      </c>
      <c r="D368" s="65"/>
      <c r="E368" s="65"/>
      <c r="F368" s="65"/>
      <c r="G368" s="68">
        <f>G369+G377</f>
        <v>34193.199999999997</v>
      </c>
      <c r="H368" s="68">
        <f>H369+H377</f>
        <v>35712.300000000003</v>
      </c>
      <c r="I368" s="68">
        <f>I369+I377</f>
        <v>36322.300000000003</v>
      </c>
    </row>
    <row r="369" spans="1:17" s="74" customFormat="1" x14ac:dyDescent="0.2">
      <c r="A369" s="70" t="s">
        <v>331</v>
      </c>
      <c r="B369" s="71">
        <v>913</v>
      </c>
      <c r="C369" s="72" t="s">
        <v>19</v>
      </c>
      <c r="D369" s="72" t="s">
        <v>16</v>
      </c>
      <c r="E369" s="72"/>
      <c r="F369" s="72"/>
      <c r="G369" s="73">
        <f>G374+G372+G370</f>
        <v>34126.199999999997</v>
      </c>
      <c r="H369" s="73">
        <f t="shared" ref="H369:I369" si="67">H374+H372+H370</f>
        <v>35645.300000000003</v>
      </c>
      <c r="I369" s="73">
        <f t="shared" si="67"/>
        <v>36255.300000000003</v>
      </c>
    </row>
    <row r="370" spans="1:17" s="12" customFormat="1" ht="25.5" x14ac:dyDescent="0.2">
      <c r="A370" s="17" t="s">
        <v>163</v>
      </c>
      <c r="B370" s="44">
        <v>913</v>
      </c>
      <c r="C370" s="19" t="s">
        <v>19</v>
      </c>
      <c r="D370" s="19" t="s">
        <v>16</v>
      </c>
      <c r="E370" s="19" t="s">
        <v>162</v>
      </c>
      <c r="F370" s="5"/>
      <c r="G370" s="6">
        <f>G371</f>
        <v>1107</v>
      </c>
      <c r="H370" s="6">
        <f>H371</f>
        <v>407</v>
      </c>
      <c r="I370" s="6">
        <f>I371</f>
        <v>407</v>
      </c>
      <c r="J370" s="128"/>
      <c r="K370" s="128"/>
      <c r="L370" s="128"/>
      <c r="M370" s="128"/>
      <c r="N370" s="128"/>
      <c r="O370" s="128"/>
      <c r="P370" s="128"/>
      <c r="Q370" s="128"/>
    </row>
    <row r="371" spans="1:17" s="26" customFormat="1" ht="25.5" x14ac:dyDescent="0.2">
      <c r="A371" s="28" t="s">
        <v>141</v>
      </c>
      <c r="B371" s="31">
        <v>913</v>
      </c>
      <c r="C371" s="24" t="s">
        <v>19</v>
      </c>
      <c r="D371" s="24" t="s">
        <v>16</v>
      </c>
      <c r="E371" s="24" t="s">
        <v>162</v>
      </c>
      <c r="F371" s="24" t="s">
        <v>65</v>
      </c>
      <c r="G371" s="25">
        <f>300+107+200+500</f>
        <v>1107</v>
      </c>
      <c r="H371" s="25">
        <f>300+107</f>
        <v>407</v>
      </c>
      <c r="I371" s="25">
        <f>300+107</f>
        <v>407</v>
      </c>
      <c r="J371" s="118"/>
      <c r="K371" s="118"/>
      <c r="L371" s="118"/>
      <c r="M371" s="118"/>
      <c r="N371" s="118"/>
      <c r="O371" s="118"/>
      <c r="P371" s="118"/>
      <c r="Q371" s="118"/>
    </row>
    <row r="372" spans="1:17" s="21" customFormat="1" x14ac:dyDescent="0.2">
      <c r="A372" s="18" t="s">
        <v>172</v>
      </c>
      <c r="B372" s="22">
        <v>913</v>
      </c>
      <c r="C372" s="19" t="s">
        <v>19</v>
      </c>
      <c r="D372" s="19" t="s">
        <v>16</v>
      </c>
      <c r="E372" s="19" t="s">
        <v>171</v>
      </c>
      <c r="F372" s="19"/>
      <c r="G372" s="20">
        <f>G373</f>
        <v>0</v>
      </c>
      <c r="H372" s="20">
        <f t="shared" ref="H372:I372" si="68">H373</f>
        <v>8000</v>
      </c>
      <c r="I372" s="20">
        <f t="shared" si="68"/>
        <v>8812.6</v>
      </c>
      <c r="J372" s="117"/>
      <c r="K372" s="117"/>
      <c r="L372" s="117"/>
      <c r="M372" s="117"/>
      <c r="N372" s="117"/>
      <c r="O372" s="117"/>
      <c r="P372" s="117"/>
      <c r="Q372" s="117"/>
    </row>
    <row r="373" spans="1:17" s="26" customFormat="1" ht="23.25" customHeight="1" x14ac:dyDescent="0.2">
      <c r="A373" s="28" t="s">
        <v>83</v>
      </c>
      <c r="B373" s="31">
        <v>913</v>
      </c>
      <c r="C373" s="24" t="s">
        <v>19</v>
      </c>
      <c r="D373" s="24" t="s">
        <v>16</v>
      </c>
      <c r="E373" s="24" t="s">
        <v>171</v>
      </c>
      <c r="F373" s="24" t="s">
        <v>71</v>
      </c>
      <c r="G373" s="25">
        <f>16812.6-16812.6</f>
        <v>0</v>
      </c>
      <c r="H373" s="25">
        <v>8000</v>
      </c>
      <c r="I373" s="25">
        <v>8812.6</v>
      </c>
      <c r="J373" s="118"/>
      <c r="K373" s="118"/>
      <c r="L373" s="118"/>
      <c r="M373" s="118"/>
      <c r="N373" s="118"/>
      <c r="O373" s="118"/>
      <c r="P373" s="118"/>
      <c r="Q373" s="118"/>
    </row>
    <row r="374" spans="1:17" ht="63.75" x14ac:dyDescent="0.2">
      <c r="A374" s="18" t="s">
        <v>344</v>
      </c>
      <c r="B374" s="22">
        <v>913</v>
      </c>
      <c r="C374" s="19" t="s">
        <v>19</v>
      </c>
      <c r="D374" s="19" t="s">
        <v>16</v>
      </c>
      <c r="E374" s="19" t="s">
        <v>233</v>
      </c>
      <c r="F374" s="19"/>
      <c r="G374" s="20">
        <f>G376+G375</f>
        <v>33019.199999999997</v>
      </c>
      <c r="H374" s="20">
        <f t="shared" ref="H374:I374" si="69">H376+H375</f>
        <v>27238.3</v>
      </c>
      <c r="I374" s="20">
        <f t="shared" si="69"/>
        <v>27035.7</v>
      </c>
      <c r="J374" s="117"/>
      <c r="K374" s="117"/>
      <c r="L374" s="117"/>
      <c r="M374" s="117"/>
      <c r="N374" s="117"/>
      <c r="O374" s="117"/>
      <c r="P374" s="117"/>
      <c r="Q374" s="117"/>
    </row>
    <row r="375" spans="1:17" s="26" customFormat="1" x14ac:dyDescent="0.2">
      <c r="A375" s="28" t="s">
        <v>69</v>
      </c>
      <c r="B375" s="31">
        <v>913</v>
      </c>
      <c r="C375" s="24" t="s">
        <v>19</v>
      </c>
      <c r="D375" s="24" t="s">
        <v>16</v>
      </c>
      <c r="E375" s="24" t="s">
        <v>233</v>
      </c>
      <c r="F375" s="27" t="s">
        <v>70</v>
      </c>
      <c r="G375" s="25">
        <v>30</v>
      </c>
      <c r="H375" s="25">
        <v>30</v>
      </c>
      <c r="I375" s="25">
        <v>30</v>
      </c>
    </row>
    <row r="376" spans="1:17" s="118" customFormat="1" ht="25.5" x14ac:dyDescent="0.2">
      <c r="A376" s="224" t="s">
        <v>141</v>
      </c>
      <c r="B376" s="224">
        <v>913</v>
      </c>
      <c r="C376" s="225" t="s">
        <v>19</v>
      </c>
      <c r="D376" s="225" t="s">
        <v>16</v>
      </c>
      <c r="E376" s="225" t="s">
        <v>233</v>
      </c>
      <c r="F376" s="225" t="s">
        <v>65</v>
      </c>
      <c r="G376" s="226">
        <f>27315.3-107+4654.8+22.4+1.5-7.5+600+61.1+448.6</f>
        <v>32989.199999999997</v>
      </c>
      <c r="H376" s="226">
        <f>27315.3-107</f>
        <v>27208.3</v>
      </c>
      <c r="I376" s="226">
        <f>27112.7-107</f>
        <v>27005.7</v>
      </c>
    </row>
    <row r="377" spans="1:17" s="74" customFormat="1" x14ac:dyDescent="0.2">
      <c r="A377" s="70" t="s">
        <v>41</v>
      </c>
      <c r="B377" s="71">
        <v>913</v>
      </c>
      <c r="C377" s="72" t="s">
        <v>19</v>
      </c>
      <c r="D377" s="72" t="s">
        <v>26</v>
      </c>
      <c r="E377" s="72"/>
      <c r="F377" s="72"/>
      <c r="G377" s="73">
        <f>G380+G378</f>
        <v>67</v>
      </c>
      <c r="H377" s="73">
        <f t="shared" ref="H377:I377" si="70">H380+H378</f>
        <v>67</v>
      </c>
      <c r="I377" s="73">
        <f t="shared" si="70"/>
        <v>67</v>
      </c>
    </row>
    <row r="378" spans="1:17" s="21" customFormat="1" ht="25.5" x14ac:dyDescent="0.2">
      <c r="A378" s="18" t="s">
        <v>188</v>
      </c>
      <c r="B378" s="18">
        <v>913</v>
      </c>
      <c r="C378" s="19" t="s">
        <v>19</v>
      </c>
      <c r="D378" s="19" t="s">
        <v>26</v>
      </c>
      <c r="E378" s="19" t="s">
        <v>136</v>
      </c>
      <c r="F378" s="19"/>
      <c r="G378" s="20">
        <f>G379</f>
        <v>54</v>
      </c>
      <c r="H378" s="20">
        <f>H379</f>
        <v>54</v>
      </c>
      <c r="I378" s="20">
        <f>I379</f>
        <v>54</v>
      </c>
    </row>
    <row r="379" spans="1:17" s="21" customFormat="1" ht="25.5" x14ac:dyDescent="0.2">
      <c r="A379" s="28" t="s">
        <v>141</v>
      </c>
      <c r="B379" s="28">
        <v>913</v>
      </c>
      <c r="C379" s="24" t="s">
        <v>19</v>
      </c>
      <c r="D379" s="24" t="s">
        <v>26</v>
      </c>
      <c r="E379" s="24" t="s">
        <v>136</v>
      </c>
      <c r="F379" s="24" t="s">
        <v>65</v>
      </c>
      <c r="G379" s="25">
        <v>54</v>
      </c>
      <c r="H379" s="25">
        <v>54</v>
      </c>
      <c r="I379" s="25">
        <v>54</v>
      </c>
    </row>
    <row r="380" spans="1:17" s="21" customFormat="1" ht="25.5" x14ac:dyDescent="0.2">
      <c r="A380" s="18" t="s">
        <v>345</v>
      </c>
      <c r="B380" s="22">
        <v>913</v>
      </c>
      <c r="C380" s="19" t="s">
        <v>19</v>
      </c>
      <c r="D380" s="19" t="s">
        <v>26</v>
      </c>
      <c r="E380" s="19" t="s">
        <v>189</v>
      </c>
      <c r="F380" s="19"/>
      <c r="G380" s="20">
        <f>G381</f>
        <v>13</v>
      </c>
      <c r="H380" s="20">
        <f>H381</f>
        <v>13</v>
      </c>
      <c r="I380" s="20">
        <f>I381</f>
        <v>13</v>
      </c>
    </row>
    <row r="381" spans="1:17" s="26" customFormat="1" ht="25.5" x14ac:dyDescent="0.2">
      <c r="A381" s="28" t="s">
        <v>141</v>
      </c>
      <c r="B381" s="31">
        <v>913</v>
      </c>
      <c r="C381" s="24" t="s">
        <v>19</v>
      </c>
      <c r="D381" s="24" t="s">
        <v>26</v>
      </c>
      <c r="E381" s="24" t="s">
        <v>189</v>
      </c>
      <c r="F381" s="24" t="s">
        <v>65</v>
      </c>
      <c r="G381" s="25">
        <v>13</v>
      </c>
      <c r="H381" s="25">
        <v>13</v>
      </c>
      <c r="I381" s="25">
        <v>13</v>
      </c>
    </row>
    <row r="382" spans="1:17" s="99" customFormat="1" ht="25.5" x14ac:dyDescent="0.2">
      <c r="A382" s="98" t="s">
        <v>42</v>
      </c>
      <c r="B382" s="64">
        <v>913</v>
      </c>
      <c r="C382" s="65" t="s">
        <v>43</v>
      </c>
      <c r="D382" s="65"/>
      <c r="E382" s="65"/>
      <c r="F382" s="65"/>
      <c r="G382" s="68">
        <f>G383+G402</f>
        <v>130609.5</v>
      </c>
      <c r="H382" s="68">
        <f>H383+H402</f>
        <v>89213.7</v>
      </c>
      <c r="I382" s="68">
        <f>I383+I402</f>
        <v>86997.3</v>
      </c>
    </row>
    <row r="383" spans="1:17" s="74" customFormat="1" x14ac:dyDescent="0.2">
      <c r="A383" s="70" t="s">
        <v>44</v>
      </c>
      <c r="B383" s="71">
        <v>913</v>
      </c>
      <c r="C383" s="72" t="s">
        <v>43</v>
      </c>
      <c r="D383" s="72" t="s">
        <v>12</v>
      </c>
      <c r="E383" s="72"/>
      <c r="F383" s="72"/>
      <c r="G383" s="73">
        <f>G394+G397+G399+G386+G390+G384+G392+G388</f>
        <v>107091.2</v>
      </c>
      <c r="H383" s="73">
        <f t="shared" ref="H383:I383" si="71">H394+H397+H399+H386+H390+H384+H392+H388</f>
        <v>69362.3</v>
      </c>
      <c r="I383" s="73">
        <f t="shared" si="71"/>
        <v>67145.900000000009</v>
      </c>
      <c r="J383" s="73" t="e">
        <f>J394+J397+J399+J386+J390+#REF!+J384</f>
        <v>#REF!</v>
      </c>
      <c r="K383" s="73" t="e">
        <f>K394+K397+K399+K386+K390+#REF!+K384</f>
        <v>#REF!</v>
      </c>
      <c r="L383" s="73" t="e">
        <f>L394+L397+L399+L386+L390+#REF!+L384</f>
        <v>#REF!</v>
      </c>
      <c r="M383" s="73" t="e">
        <f>M394+M397+M399+M386+M390+#REF!+M384</f>
        <v>#REF!</v>
      </c>
      <c r="N383" s="73" t="e">
        <f>N394+N397+N399+N386+N390+#REF!+N384</f>
        <v>#REF!</v>
      </c>
      <c r="O383" s="73" t="e">
        <f>O394+O397+O399+O386+O390+#REF!+O384</f>
        <v>#REF!</v>
      </c>
      <c r="P383" s="73" t="e">
        <f>P394+P397+P399+P386+P390+#REF!+P384</f>
        <v>#REF!</v>
      </c>
      <c r="Q383" s="73" t="e">
        <f>Q394+Q397+Q399+Q386+Q390+#REF!+Q384</f>
        <v>#REF!</v>
      </c>
    </row>
    <row r="384" spans="1:17" s="128" customFormat="1" ht="25.5" x14ac:dyDescent="0.2">
      <c r="A384" s="252" t="s">
        <v>163</v>
      </c>
      <c r="B384" s="257">
        <v>913</v>
      </c>
      <c r="C384" s="230" t="s">
        <v>43</v>
      </c>
      <c r="D384" s="230" t="s">
        <v>12</v>
      </c>
      <c r="E384" s="230" t="s">
        <v>162</v>
      </c>
      <c r="F384" s="249"/>
      <c r="G384" s="250">
        <f>G385</f>
        <v>2258.3000000000002</v>
      </c>
      <c r="H384" s="250">
        <f>H385</f>
        <v>2295.8000000000002</v>
      </c>
      <c r="I384" s="250">
        <f>I385</f>
        <v>2295.8000000000002</v>
      </c>
    </row>
    <row r="385" spans="1:17" s="118" customFormat="1" ht="25.5" x14ac:dyDescent="0.2">
      <c r="A385" s="224" t="s">
        <v>141</v>
      </c>
      <c r="B385" s="227">
        <v>913</v>
      </c>
      <c r="C385" s="225" t="s">
        <v>43</v>
      </c>
      <c r="D385" s="225" t="s">
        <v>12</v>
      </c>
      <c r="E385" s="225" t="s">
        <v>162</v>
      </c>
      <c r="F385" s="225" t="s">
        <v>65</v>
      </c>
      <c r="G385" s="226">
        <f>1856.2+439.6-124.6+87.1</f>
        <v>2258.3000000000002</v>
      </c>
      <c r="H385" s="226">
        <f>1856.2+439.6</f>
        <v>2295.8000000000002</v>
      </c>
      <c r="I385" s="226">
        <f>1856.2+439.6</f>
        <v>2295.8000000000002</v>
      </c>
    </row>
    <row r="386" spans="1:17" s="117" customFormat="1" x14ac:dyDescent="0.2">
      <c r="A386" s="228" t="s">
        <v>174</v>
      </c>
      <c r="B386" s="229">
        <v>913</v>
      </c>
      <c r="C386" s="230" t="s">
        <v>43</v>
      </c>
      <c r="D386" s="230" t="s">
        <v>12</v>
      </c>
      <c r="E386" s="225" t="s">
        <v>173</v>
      </c>
      <c r="F386" s="230"/>
      <c r="G386" s="231">
        <f>G387</f>
        <v>7111.2999999999993</v>
      </c>
      <c r="H386" s="231">
        <f t="shared" ref="H386:I386" si="72">H387</f>
        <v>0</v>
      </c>
      <c r="I386" s="231">
        <f t="shared" si="72"/>
        <v>0</v>
      </c>
    </row>
    <row r="387" spans="1:17" s="118" customFormat="1" ht="25.5" x14ac:dyDescent="0.2">
      <c r="A387" s="224" t="s">
        <v>76</v>
      </c>
      <c r="B387" s="229">
        <v>913</v>
      </c>
      <c r="C387" s="225" t="s">
        <v>43</v>
      </c>
      <c r="D387" s="225" t="s">
        <v>12</v>
      </c>
      <c r="E387" s="225" t="s">
        <v>173</v>
      </c>
      <c r="F387" s="225" t="s">
        <v>68</v>
      </c>
      <c r="G387" s="226">
        <f>7259.5-61.1-87.1</f>
        <v>7111.2999999999993</v>
      </c>
      <c r="H387" s="226">
        <v>0</v>
      </c>
      <c r="I387" s="226">
        <v>0</v>
      </c>
    </row>
    <row r="388" spans="1:17" s="117" customFormat="1" x14ac:dyDescent="0.2">
      <c r="A388" s="228" t="s">
        <v>723</v>
      </c>
      <c r="B388" s="229">
        <v>913</v>
      </c>
      <c r="C388" s="230" t="s">
        <v>43</v>
      </c>
      <c r="D388" s="230" t="s">
        <v>12</v>
      </c>
      <c r="E388" s="230" t="s">
        <v>724</v>
      </c>
      <c r="F388" s="230"/>
      <c r="G388" s="231">
        <f>G389</f>
        <v>5600</v>
      </c>
      <c r="H388" s="231">
        <f t="shared" ref="H388:I388" si="73">H389</f>
        <v>0</v>
      </c>
      <c r="I388" s="231">
        <f t="shared" si="73"/>
        <v>0</v>
      </c>
    </row>
    <row r="389" spans="1:17" s="117" customFormat="1" ht="25.5" x14ac:dyDescent="0.2">
      <c r="A389" s="224" t="s">
        <v>141</v>
      </c>
      <c r="B389" s="224">
        <v>913</v>
      </c>
      <c r="C389" s="225" t="s">
        <v>43</v>
      </c>
      <c r="D389" s="225" t="s">
        <v>12</v>
      </c>
      <c r="E389" s="225" t="s">
        <v>724</v>
      </c>
      <c r="F389" s="225" t="s">
        <v>65</v>
      </c>
      <c r="G389" s="226">
        <v>5600</v>
      </c>
      <c r="H389" s="226">
        <v>0</v>
      </c>
      <c r="I389" s="226">
        <v>0</v>
      </c>
    </row>
    <row r="390" spans="1:17" s="117" customFormat="1" ht="38.25" x14ac:dyDescent="0.2">
      <c r="A390" s="228" t="s">
        <v>370</v>
      </c>
      <c r="B390" s="228">
        <v>913</v>
      </c>
      <c r="C390" s="230" t="s">
        <v>43</v>
      </c>
      <c r="D390" s="230" t="s">
        <v>12</v>
      </c>
      <c r="E390" s="230" t="s">
        <v>371</v>
      </c>
      <c r="F390" s="230"/>
      <c r="G390" s="231">
        <f>G391</f>
        <v>4464</v>
      </c>
      <c r="H390" s="231">
        <f>H391</f>
        <v>4564</v>
      </c>
      <c r="I390" s="231">
        <f>I391</f>
        <v>4564</v>
      </c>
    </row>
    <row r="391" spans="1:17" s="117" customFormat="1" ht="25.5" x14ac:dyDescent="0.2">
      <c r="A391" s="224" t="s">
        <v>141</v>
      </c>
      <c r="B391" s="224">
        <v>913</v>
      </c>
      <c r="C391" s="225" t="s">
        <v>43</v>
      </c>
      <c r="D391" s="225" t="s">
        <v>12</v>
      </c>
      <c r="E391" s="225" t="s">
        <v>371</v>
      </c>
      <c r="F391" s="225" t="s">
        <v>65</v>
      </c>
      <c r="G391" s="226">
        <f>4564-100</f>
        <v>4464</v>
      </c>
      <c r="H391" s="226">
        <v>4564</v>
      </c>
      <c r="I391" s="226">
        <v>4564</v>
      </c>
    </row>
    <row r="392" spans="1:17" ht="25.5" x14ac:dyDescent="0.2">
      <c r="A392" s="18" t="s">
        <v>380</v>
      </c>
      <c r="B392" s="18">
        <v>913</v>
      </c>
      <c r="C392" s="19" t="s">
        <v>43</v>
      </c>
      <c r="D392" s="19" t="s">
        <v>12</v>
      </c>
      <c r="E392" s="19" t="s">
        <v>379</v>
      </c>
      <c r="F392" s="19"/>
      <c r="G392" s="20">
        <f>G393</f>
        <v>140</v>
      </c>
      <c r="H392" s="20">
        <f>H393</f>
        <v>0</v>
      </c>
      <c r="I392" s="20">
        <f>I393</f>
        <v>0</v>
      </c>
      <c r="J392" s="117"/>
      <c r="K392" s="117"/>
      <c r="L392" s="117"/>
      <c r="M392" s="117"/>
      <c r="N392" s="117"/>
      <c r="O392" s="117"/>
      <c r="P392" s="117"/>
      <c r="Q392" s="117"/>
    </row>
    <row r="393" spans="1:17" ht="25.5" x14ac:dyDescent="0.2">
      <c r="A393" s="28" t="s">
        <v>141</v>
      </c>
      <c r="B393" s="28">
        <v>913</v>
      </c>
      <c r="C393" s="24" t="s">
        <v>43</v>
      </c>
      <c r="D393" s="24" t="s">
        <v>12</v>
      </c>
      <c r="E393" s="24" t="s">
        <v>379</v>
      </c>
      <c r="F393" s="24" t="s">
        <v>65</v>
      </c>
      <c r="G393" s="25">
        <v>140</v>
      </c>
      <c r="H393" s="25">
        <v>0</v>
      </c>
      <c r="I393" s="25">
        <v>0</v>
      </c>
      <c r="J393" s="117"/>
      <c r="K393" s="117"/>
      <c r="L393" s="117"/>
      <c r="M393" s="117"/>
      <c r="N393" s="117"/>
      <c r="O393" s="117"/>
      <c r="P393" s="117"/>
      <c r="Q393" s="117"/>
    </row>
    <row r="394" spans="1:17" s="117" customFormat="1" x14ac:dyDescent="0.2">
      <c r="A394" s="228" t="s">
        <v>256</v>
      </c>
      <c r="B394" s="229">
        <v>913</v>
      </c>
      <c r="C394" s="230" t="s">
        <v>43</v>
      </c>
      <c r="D394" s="230" t="s">
        <v>12</v>
      </c>
      <c r="E394" s="230" t="s">
        <v>255</v>
      </c>
      <c r="F394" s="230"/>
      <c r="G394" s="231">
        <f>G396+G395</f>
        <v>62258.399999999994</v>
      </c>
      <c r="H394" s="231">
        <f>H396+H395</f>
        <v>41649.699999999997</v>
      </c>
      <c r="I394" s="231">
        <f>I396+I395</f>
        <v>39724.700000000004</v>
      </c>
    </row>
    <row r="395" spans="1:17" s="26" customFormat="1" x14ac:dyDescent="0.2">
      <c r="A395" s="28" t="s">
        <v>69</v>
      </c>
      <c r="B395" s="28">
        <v>913</v>
      </c>
      <c r="C395" s="24" t="s">
        <v>43</v>
      </c>
      <c r="D395" s="24" t="s">
        <v>12</v>
      </c>
      <c r="E395" s="24" t="s">
        <v>255</v>
      </c>
      <c r="F395" s="27" t="s">
        <v>70</v>
      </c>
      <c r="G395" s="25">
        <v>15</v>
      </c>
      <c r="H395" s="25">
        <v>15</v>
      </c>
      <c r="I395" s="25">
        <v>15</v>
      </c>
    </row>
    <row r="396" spans="1:17" s="118" customFormat="1" ht="25.5" x14ac:dyDescent="0.2">
      <c r="A396" s="224" t="s">
        <v>141</v>
      </c>
      <c r="B396" s="227">
        <v>913</v>
      </c>
      <c r="C396" s="225" t="s">
        <v>43</v>
      </c>
      <c r="D396" s="225" t="s">
        <v>12</v>
      </c>
      <c r="E396" s="225" t="s">
        <v>255</v>
      </c>
      <c r="F396" s="225" t="s">
        <v>65</v>
      </c>
      <c r="G396" s="226">
        <f>49991.7-357+5389.2+43.4+150+253.3+400+858-100+825+5.1+4.6+300+3116.1+1045+69+250</f>
        <v>62243.399999999994</v>
      </c>
      <c r="H396" s="226">
        <f>49991.7-357-8000</f>
        <v>41634.699999999997</v>
      </c>
      <c r="I396" s="226">
        <f>48879.3-357-8812.6</f>
        <v>39709.700000000004</v>
      </c>
    </row>
    <row r="397" spans="1:17" s="117" customFormat="1" x14ac:dyDescent="0.2">
      <c r="A397" s="228" t="s">
        <v>258</v>
      </c>
      <c r="B397" s="229">
        <v>913</v>
      </c>
      <c r="C397" s="230" t="s">
        <v>43</v>
      </c>
      <c r="D397" s="230" t="s">
        <v>12</v>
      </c>
      <c r="E397" s="230" t="s">
        <v>257</v>
      </c>
      <c r="F397" s="230"/>
      <c r="G397" s="231">
        <f>G398</f>
        <v>4567.9000000000005</v>
      </c>
      <c r="H397" s="231">
        <f>H398</f>
        <v>3721.4</v>
      </c>
      <c r="I397" s="231">
        <f>I398</f>
        <v>3673.4</v>
      </c>
    </row>
    <row r="398" spans="1:17" s="118" customFormat="1" ht="25.5" x14ac:dyDescent="0.2">
      <c r="A398" s="224" t="s">
        <v>141</v>
      </c>
      <c r="B398" s="227">
        <v>913</v>
      </c>
      <c r="C398" s="225" t="s">
        <v>43</v>
      </c>
      <c r="D398" s="225" t="s">
        <v>12</v>
      </c>
      <c r="E398" s="225" t="s">
        <v>257</v>
      </c>
      <c r="F398" s="225" t="s">
        <v>65</v>
      </c>
      <c r="G398" s="226">
        <f>3721.4+589.3+12.6+43.1+100-5.1+106.6</f>
        <v>4567.9000000000005</v>
      </c>
      <c r="H398" s="226">
        <v>3721.4</v>
      </c>
      <c r="I398" s="226">
        <v>3673.4</v>
      </c>
    </row>
    <row r="399" spans="1:17" s="117" customFormat="1" x14ac:dyDescent="0.2">
      <c r="A399" s="228" t="s">
        <v>260</v>
      </c>
      <c r="B399" s="229">
        <v>913</v>
      </c>
      <c r="C399" s="230" t="s">
        <v>43</v>
      </c>
      <c r="D399" s="230" t="s">
        <v>12</v>
      </c>
      <c r="E399" s="230" t="s">
        <v>259</v>
      </c>
      <c r="F399" s="230"/>
      <c r="G399" s="231">
        <f>G401+G400</f>
        <v>20691.3</v>
      </c>
      <c r="H399" s="231">
        <f>H401+H400</f>
        <v>17131.400000000001</v>
      </c>
      <c r="I399" s="231">
        <f>I401+I400</f>
        <v>16888</v>
      </c>
    </row>
    <row r="400" spans="1:17" s="26" customFormat="1" x14ac:dyDescent="0.2">
      <c r="A400" s="28" t="s">
        <v>69</v>
      </c>
      <c r="B400" s="28">
        <v>913</v>
      </c>
      <c r="C400" s="24" t="s">
        <v>43</v>
      </c>
      <c r="D400" s="24" t="s">
        <v>12</v>
      </c>
      <c r="E400" s="24" t="s">
        <v>259</v>
      </c>
      <c r="F400" s="27" t="s">
        <v>70</v>
      </c>
      <c r="G400" s="25">
        <v>15</v>
      </c>
      <c r="H400" s="25">
        <v>15</v>
      </c>
      <c r="I400" s="25">
        <v>15</v>
      </c>
    </row>
    <row r="401" spans="1:17" s="118" customFormat="1" ht="25.5" x14ac:dyDescent="0.2">
      <c r="A401" s="224" t="s">
        <v>141</v>
      </c>
      <c r="B401" s="227">
        <v>913</v>
      </c>
      <c r="C401" s="225" t="s">
        <v>43</v>
      </c>
      <c r="D401" s="225" t="s">
        <v>12</v>
      </c>
      <c r="E401" s="225" t="s">
        <v>259</v>
      </c>
      <c r="F401" s="225" t="s">
        <v>65</v>
      </c>
      <c r="G401" s="226">
        <f>17199-82.6+2868.8+28+663.1</f>
        <v>20676.3</v>
      </c>
      <c r="H401" s="226">
        <f>17199-82.6</f>
        <v>17116.400000000001</v>
      </c>
      <c r="I401" s="226">
        <f>16955.6-82.6</f>
        <v>16873</v>
      </c>
    </row>
    <row r="402" spans="1:17" s="9" customFormat="1" ht="16.5" customHeight="1" x14ac:dyDescent="0.2">
      <c r="A402" s="11" t="s">
        <v>25</v>
      </c>
      <c r="B402" s="14">
        <v>913</v>
      </c>
      <c r="C402" s="8" t="s">
        <v>43</v>
      </c>
      <c r="D402" s="8" t="s">
        <v>18</v>
      </c>
      <c r="E402" s="8"/>
      <c r="F402" s="8"/>
      <c r="G402" s="4">
        <f>G403+G407</f>
        <v>23518.3</v>
      </c>
      <c r="H402" s="4">
        <f>H403+H407</f>
        <v>19851.399999999998</v>
      </c>
      <c r="I402" s="4">
        <f>I403+I407</f>
        <v>19851.399999999998</v>
      </c>
      <c r="J402" s="127"/>
      <c r="K402" s="127"/>
      <c r="L402" s="127"/>
      <c r="M402" s="127"/>
      <c r="N402" s="127"/>
      <c r="O402" s="127"/>
      <c r="P402" s="127"/>
      <c r="Q402" s="127"/>
    </row>
    <row r="403" spans="1:17" s="117" customFormat="1" x14ac:dyDescent="0.2">
      <c r="A403" s="228" t="s">
        <v>349</v>
      </c>
      <c r="B403" s="229">
        <v>913</v>
      </c>
      <c r="C403" s="230" t="s">
        <v>43</v>
      </c>
      <c r="D403" s="230" t="s">
        <v>18</v>
      </c>
      <c r="E403" s="230" t="s">
        <v>261</v>
      </c>
      <c r="F403" s="230"/>
      <c r="G403" s="231">
        <f>G404+G405+G406</f>
        <v>1398.5</v>
      </c>
      <c r="H403" s="231">
        <f>H404+H405+H406</f>
        <v>1057.5</v>
      </c>
      <c r="I403" s="231">
        <f>I404+I405+I406</f>
        <v>1057.5</v>
      </c>
    </row>
    <row r="404" spans="1:17" s="118" customFormat="1" ht="51.75" customHeight="1" x14ac:dyDescent="0.2">
      <c r="A404" s="253" t="s">
        <v>66</v>
      </c>
      <c r="B404" s="227">
        <v>913</v>
      </c>
      <c r="C404" s="225" t="s">
        <v>43</v>
      </c>
      <c r="D404" s="225" t="s">
        <v>18</v>
      </c>
      <c r="E404" s="225" t="s">
        <v>261</v>
      </c>
      <c r="F404" s="248" t="s">
        <v>67</v>
      </c>
      <c r="G404" s="226">
        <f>968.5+335.3</f>
        <v>1303.8</v>
      </c>
      <c r="H404" s="226">
        <v>968.5</v>
      </c>
      <c r="I404" s="226">
        <v>968.5</v>
      </c>
    </row>
    <row r="405" spans="1:17" s="26" customFormat="1" ht="25.5" x14ac:dyDescent="0.2">
      <c r="A405" s="28" t="s">
        <v>76</v>
      </c>
      <c r="B405" s="31">
        <v>913</v>
      </c>
      <c r="C405" s="24" t="s">
        <v>43</v>
      </c>
      <c r="D405" s="24" t="s">
        <v>18</v>
      </c>
      <c r="E405" s="24" t="s">
        <v>261</v>
      </c>
      <c r="F405" s="27" t="s">
        <v>68</v>
      </c>
      <c r="G405" s="25">
        <f>80.5+2.8</f>
        <v>83.3</v>
      </c>
      <c r="H405" s="25">
        <v>80.5</v>
      </c>
      <c r="I405" s="25">
        <v>80.5</v>
      </c>
      <c r="J405" s="118"/>
      <c r="K405" s="118"/>
      <c r="L405" s="118"/>
      <c r="M405" s="118"/>
      <c r="N405" s="118"/>
      <c r="O405" s="118"/>
      <c r="P405" s="118"/>
      <c r="Q405" s="118"/>
    </row>
    <row r="406" spans="1:17" s="26" customFormat="1" x14ac:dyDescent="0.2">
      <c r="A406" s="28" t="s">
        <v>72</v>
      </c>
      <c r="B406" s="31">
        <v>913</v>
      </c>
      <c r="C406" s="24" t="s">
        <v>43</v>
      </c>
      <c r="D406" s="24" t="s">
        <v>18</v>
      </c>
      <c r="E406" s="24" t="s">
        <v>261</v>
      </c>
      <c r="F406" s="24" t="s">
        <v>73</v>
      </c>
      <c r="G406" s="25">
        <f>8.5+2.9</f>
        <v>11.4</v>
      </c>
      <c r="H406" s="25">
        <v>8.5</v>
      </c>
      <c r="I406" s="25">
        <v>8.5</v>
      </c>
      <c r="J406" s="118"/>
      <c r="K406" s="118"/>
      <c r="L406" s="118"/>
      <c r="M406" s="118"/>
      <c r="N406" s="118"/>
      <c r="O406" s="118"/>
      <c r="P406" s="118"/>
      <c r="Q406" s="118"/>
    </row>
    <row r="407" spans="1:17" x14ac:dyDescent="0.2">
      <c r="A407" s="18" t="s">
        <v>349</v>
      </c>
      <c r="B407" s="22">
        <v>913</v>
      </c>
      <c r="C407" s="19" t="s">
        <v>43</v>
      </c>
      <c r="D407" s="19" t="s">
        <v>18</v>
      </c>
      <c r="E407" s="19" t="s">
        <v>426</v>
      </c>
      <c r="F407" s="19"/>
      <c r="G407" s="20">
        <f>G408+G409</f>
        <v>22119.8</v>
      </c>
      <c r="H407" s="20">
        <f t="shared" ref="H407:I407" si="74">H408+H409</f>
        <v>18793.899999999998</v>
      </c>
      <c r="I407" s="20">
        <f t="shared" si="74"/>
        <v>18793.899999999998</v>
      </c>
      <c r="J407" s="117"/>
      <c r="K407" s="117"/>
      <c r="L407" s="117"/>
      <c r="M407" s="117"/>
      <c r="N407" s="117"/>
      <c r="O407" s="117"/>
      <c r="P407" s="117"/>
      <c r="Q407" s="117"/>
    </row>
    <row r="408" spans="1:17" s="26" customFormat="1" ht="52.5" customHeight="1" x14ac:dyDescent="0.2">
      <c r="A408" s="23" t="s">
        <v>66</v>
      </c>
      <c r="B408" s="31">
        <v>913</v>
      </c>
      <c r="C408" s="24" t="s">
        <v>43</v>
      </c>
      <c r="D408" s="24" t="s">
        <v>18</v>
      </c>
      <c r="E408" s="24" t="s">
        <v>426</v>
      </c>
      <c r="F408" s="27" t="s">
        <v>67</v>
      </c>
      <c r="G408" s="25">
        <f>18319.6+3310.5</f>
        <v>21630.1</v>
      </c>
      <c r="H408" s="25">
        <v>18319.599999999999</v>
      </c>
      <c r="I408" s="25">
        <v>18319.599999999999</v>
      </c>
      <c r="J408" s="118"/>
      <c r="K408" s="118"/>
      <c r="L408" s="118"/>
      <c r="M408" s="118"/>
      <c r="N408" s="118"/>
      <c r="O408" s="118"/>
      <c r="P408" s="118"/>
      <c r="Q408" s="118"/>
    </row>
    <row r="409" spans="1:17" s="26" customFormat="1" ht="25.5" x14ac:dyDescent="0.2">
      <c r="A409" s="28" t="s">
        <v>76</v>
      </c>
      <c r="B409" s="31">
        <v>913</v>
      </c>
      <c r="C409" s="24" t="s">
        <v>43</v>
      </c>
      <c r="D409" s="24" t="s">
        <v>18</v>
      </c>
      <c r="E409" s="24" t="s">
        <v>426</v>
      </c>
      <c r="F409" s="27" t="s">
        <v>68</v>
      </c>
      <c r="G409" s="25">
        <f>474.3+15.4</f>
        <v>489.7</v>
      </c>
      <c r="H409" s="25">
        <v>474.3</v>
      </c>
      <c r="I409" s="25">
        <v>474.3</v>
      </c>
      <c r="J409" s="118"/>
      <c r="K409" s="118"/>
      <c r="L409" s="118"/>
      <c r="M409" s="118"/>
      <c r="N409" s="118"/>
      <c r="O409" s="118"/>
      <c r="P409" s="118"/>
      <c r="Q409" s="118"/>
    </row>
    <row r="410" spans="1:17" s="3" customFormat="1" x14ac:dyDescent="0.2">
      <c r="A410" s="13" t="s">
        <v>52</v>
      </c>
      <c r="B410" s="42">
        <v>913</v>
      </c>
      <c r="C410" s="1" t="s">
        <v>51</v>
      </c>
      <c r="D410" s="1"/>
      <c r="E410" s="1"/>
      <c r="F410" s="1"/>
      <c r="G410" s="2">
        <f>G411</f>
        <v>204</v>
      </c>
      <c r="H410" s="2">
        <f>H411</f>
        <v>204</v>
      </c>
      <c r="I410" s="2">
        <f>I411</f>
        <v>204</v>
      </c>
    </row>
    <row r="411" spans="1:17" s="9" customFormat="1" x14ac:dyDescent="0.2">
      <c r="A411" s="11" t="s">
        <v>55</v>
      </c>
      <c r="B411" s="14">
        <v>913</v>
      </c>
      <c r="C411" s="8" t="s">
        <v>51</v>
      </c>
      <c r="D411" s="8" t="s">
        <v>16</v>
      </c>
      <c r="E411" s="8"/>
      <c r="F411" s="8"/>
      <c r="G411" s="4">
        <f>SUM(G412)</f>
        <v>204</v>
      </c>
      <c r="H411" s="4">
        <f>SUM(H412)</f>
        <v>204</v>
      </c>
      <c r="I411" s="4">
        <f>SUM(I412)</f>
        <v>204</v>
      </c>
    </row>
    <row r="412" spans="1:17" s="21" customFormat="1" ht="25.5" customHeight="1" x14ac:dyDescent="0.2">
      <c r="A412" s="18" t="s">
        <v>359</v>
      </c>
      <c r="B412" s="22">
        <v>913</v>
      </c>
      <c r="C412" s="19">
        <v>10</v>
      </c>
      <c r="D412" s="19" t="s">
        <v>16</v>
      </c>
      <c r="E412" s="19" t="s">
        <v>85</v>
      </c>
      <c r="F412" s="19"/>
      <c r="G412" s="20">
        <f>G413</f>
        <v>204</v>
      </c>
      <c r="H412" s="20">
        <f>H413</f>
        <v>204</v>
      </c>
      <c r="I412" s="20">
        <f>I413</f>
        <v>204</v>
      </c>
    </row>
    <row r="413" spans="1:17" s="26" customFormat="1" x14ac:dyDescent="0.2">
      <c r="A413" s="59" t="s">
        <v>69</v>
      </c>
      <c r="B413" s="31">
        <v>913</v>
      </c>
      <c r="C413" s="24">
        <v>10</v>
      </c>
      <c r="D413" s="24" t="s">
        <v>16</v>
      </c>
      <c r="E413" s="24" t="s">
        <v>85</v>
      </c>
      <c r="F413" s="24" t="s">
        <v>70</v>
      </c>
      <c r="G413" s="25">
        <v>204</v>
      </c>
      <c r="H413" s="25">
        <v>204</v>
      </c>
      <c r="I413" s="25">
        <v>204</v>
      </c>
    </row>
    <row r="414" spans="1:17" s="9" customFormat="1" ht="29.25" customHeight="1" x14ac:dyDescent="0.2">
      <c r="A414" s="40" t="s">
        <v>49</v>
      </c>
      <c r="B414" s="37">
        <v>915</v>
      </c>
      <c r="C414" s="41"/>
      <c r="D414" s="41"/>
      <c r="E414" s="41"/>
      <c r="F414" s="41"/>
      <c r="G414" s="39">
        <f>G422+G415</f>
        <v>701903.43927000009</v>
      </c>
      <c r="H414" s="39">
        <f t="shared" ref="H414:I414" si="75">H422+H415</f>
        <v>673385.10000000009</v>
      </c>
      <c r="I414" s="39">
        <f t="shared" si="75"/>
        <v>677626.9</v>
      </c>
    </row>
    <row r="415" spans="1:17" s="3" customFormat="1" x14ac:dyDescent="0.2">
      <c r="A415" s="13" t="s">
        <v>37</v>
      </c>
      <c r="B415" s="42">
        <v>915</v>
      </c>
      <c r="C415" s="1" t="s">
        <v>19</v>
      </c>
      <c r="D415" s="1"/>
      <c r="E415" s="1"/>
      <c r="F415" s="1"/>
      <c r="G415" s="2">
        <f t="shared" ref="G415:I420" si="76">G416</f>
        <v>251.6</v>
      </c>
      <c r="H415" s="2">
        <f t="shared" si="76"/>
        <v>225</v>
      </c>
      <c r="I415" s="2">
        <f t="shared" si="76"/>
        <v>225</v>
      </c>
    </row>
    <row r="416" spans="1:17" s="21" customFormat="1" x14ac:dyDescent="0.2">
      <c r="A416" s="11" t="s">
        <v>40</v>
      </c>
      <c r="B416" s="11">
        <v>915</v>
      </c>
      <c r="C416" s="8" t="s">
        <v>19</v>
      </c>
      <c r="D416" s="8" t="s">
        <v>19</v>
      </c>
      <c r="E416" s="8"/>
      <c r="F416" s="8"/>
      <c r="G416" s="4">
        <f>G420+G417</f>
        <v>251.6</v>
      </c>
      <c r="H416" s="4">
        <f t="shared" ref="H416:I416" si="77">H420+H417</f>
        <v>225</v>
      </c>
      <c r="I416" s="4">
        <f t="shared" si="77"/>
        <v>225</v>
      </c>
    </row>
    <row r="417" spans="1:17" s="117" customFormat="1" ht="25.5" x14ac:dyDescent="0.2">
      <c r="A417" s="228" t="s">
        <v>734</v>
      </c>
      <c r="B417" s="229">
        <v>915</v>
      </c>
      <c r="C417" s="230" t="s">
        <v>19</v>
      </c>
      <c r="D417" s="230" t="s">
        <v>19</v>
      </c>
      <c r="E417" s="230" t="s">
        <v>733</v>
      </c>
      <c r="F417" s="230"/>
      <c r="G417" s="231">
        <f>G419+G418</f>
        <v>32</v>
      </c>
      <c r="H417" s="231">
        <f t="shared" ref="H417:I417" si="78">H419+H418</f>
        <v>32</v>
      </c>
      <c r="I417" s="231">
        <f t="shared" si="78"/>
        <v>32</v>
      </c>
    </row>
    <row r="418" spans="1:17" s="118" customFormat="1" ht="25.5" x14ac:dyDescent="0.2">
      <c r="A418" s="224" t="s">
        <v>76</v>
      </c>
      <c r="B418" s="227">
        <v>915</v>
      </c>
      <c r="C418" s="225" t="s">
        <v>19</v>
      </c>
      <c r="D418" s="225" t="s">
        <v>19</v>
      </c>
      <c r="E418" s="225" t="s">
        <v>733</v>
      </c>
      <c r="F418" s="248" t="s">
        <v>67</v>
      </c>
      <c r="G418" s="226">
        <f>13+3.9+2.44</f>
        <v>19.34</v>
      </c>
      <c r="H418" s="226">
        <f>13+3.9</f>
        <v>16.899999999999999</v>
      </c>
      <c r="I418" s="226">
        <f>13+3.9</f>
        <v>16.899999999999999</v>
      </c>
    </row>
    <row r="419" spans="1:17" s="118" customFormat="1" ht="25.5" x14ac:dyDescent="0.2">
      <c r="A419" s="224" t="s">
        <v>76</v>
      </c>
      <c r="B419" s="227">
        <v>915</v>
      </c>
      <c r="C419" s="225" t="s">
        <v>19</v>
      </c>
      <c r="D419" s="225" t="s">
        <v>19</v>
      </c>
      <c r="E419" s="225" t="s">
        <v>733</v>
      </c>
      <c r="F419" s="248" t="s">
        <v>68</v>
      </c>
      <c r="G419" s="226">
        <f>15.1-2.44</f>
        <v>12.66</v>
      </c>
      <c r="H419" s="226">
        <v>15.1</v>
      </c>
      <c r="I419" s="226">
        <v>15.1</v>
      </c>
    </row>
    <row r="420" spans="1:17" s="117" customFormat="1" ht="25.5" x14ac:dyDescent="0.2">
      <c r="A420" s="228" t="s">
        <v>262</v>
      </c>
      <c r="B420" s="228">
        <v>915</v>
      </c>
      <c r="C420" s="230" t="s">
        <v>19</v>
      </c>
      <c r="D420" s="230" t="s">
        <v>19</v>
      </c>
      <c r="E420" s="230" t="s">
        <v>139</v>
      </c>
      <c r="F420" s="230"/>
      <c r="G420" s="231">
        <f t="shared" si="76"/>
        <v>219.6</v>
      </c>
      <c r="H420" s="231">
        <f t="shared" si="76"/>
        <v>193</v>
      </c>
      <c r="I420" s="231">
        <f t="shared" si="76"/>
        <v>193</v>
      </c>
    </row>
    <row r="421" spans="1:17" s="117" customFormat="1" ht="51" customHeight="1" x14ac:dyDescent="0.2">
      <c r="A421" s="253" t="s">
        <v>66</v>
      </c>
      <c r="B421" s="253">
        <v>915</v>
      </c>
      <c r="C421" s="225" t="s">
        <v>19</v>
      </c>
      <c r="D421" s="225" t="s">
        <v>19</v>
      </c>
      <c r="E421" s="225" t="s">
        <v>139</v>
      </c>
      <c r="F421" s="248" t="s">
        <v>67</v>
      </c>
      <c r="G421" s="226">
        <f>193+26.6</f>
        <v>219.6</v>
      </c>
      <c r="H421" s="226">
        <v>193</v>
      </c>
      <c r="I421" s="226">
        <v>193</v>
      </c>
    </row>
    <row r="422" spans="1:17" s="99" customFormat="1" x14ac:dyDescent="0.2">
      <c r="A422" s="98" t="s">
        <v>52</v>
      </c>
      <c r="B422" s="64">
        <v>915</v>
      </c>
      <c r="C422" s="65" t="s">
        <v>51</v>
      </c>
      <c r="D422" s="65"/>
      <c r="E422" s="65"/>
      <c r="F422" s="65"/>
      <c r="G422" s="68">
        <f>G423+G427+G438+G499+G515</f>
        <v>701651.83927000011</v>
      </c>
      <c r="H422" s="68">
        <f>H423+H427+H438+H499+H515</f>
        <v>673160.10000000009</v>
      </c>
      <c r="I422" s="68">
        <f>I423+I427+I438+I499+I515</f>
        <v>677401.9</v>
      </c>
    </row>
    <row r="423" spans="1:17" s="74" customFormat="1" x14ac:dyDescent="0.2">
      <c r="A423" s="70" t="s">
        <v>53</v>
      </c>
      <c r="B423" s="71">
        <v>915</v>
      </c>
      <c r="C423" s="72" t="s">
        <v>51</v>
      </c>
      <c r="D423" s="72" t="s">
        <v>12</v>
      </c>
      <c r="E423" s="72"/>
      <c r="F423" s="72"/>
      <c r="G423" s="73">
        <f>G424</f>
        <v>7375.7</v>
      </c>
      <c r="H423" s="73">
        <f>H424</f>
        <v>7375.7</v>
      </c>
      <c r="I423" s="73">
        <f>I424</f>
        <v>7375.7</v>
      </c>
    </row>
    <row r="424" spans="1:17" s="79" customFormat="1" ht="75" customHeight="1" x14ac:dyDescent="0.2">
      <c r="A424" s="75" t="s">
        <v>263</v>
      </c>
      <c r="B424" s="76">
        <v>915</v>
      </c>
      <c r="C424" s="77" t="s">
        <v>51</v>
      </c>
      <c r="D424" s="77" t="s">
        <v>12</v>
      </c>
      <c r="E424" s="77" t="s">
        <v>264</v>
      </c>
      <c r="F424" s="77"/>
      <c r="G424" s="78">
        <f>G426+G425</f>
        <v>7375.7</v>
      </c>
      <c r="H424" s="78">
        <f>H426+H425</f>
        <v>7375.7</v>
      </c>
      <c r="I424" s="78">
        <f>I426+I425</f>
        <v>7375.7</v>
      </c>
    </row>
    <row r="425" spans="1:17" s="79" customFormat="1" ht="24.75" customHeight="1" x14ac:dyDescent="0.2">
      <c r="A425" s="87" t="s">
        <v>76</v>
      </c>
      <c r="B425" s="85">
        <v>915</v>
      </c>
      <c r="C425" s="82" t="s">
        <v>51</v>
      </c>
      <c r="D425" s="82" t="s">
        <v>12</v>
      </c>
      <c r="E425" s="82" t="s">
        <v>264</v>
      </c>
      <c r="F425" s="83" t="s">
        <v>68</v>
      </c>
      <c r="G425" s="62">
        <v>36.700000000000003</v>
      </c>
      <c r="H425" s="62">
        <v>36.700000000000003</v>
      </c>
      <c r="I425" s="62">
        <v>36.700000000000003</v>
      </c>
    </row>
    <row r="426" spans="1:17" s="84" customFormat="1" x14ac:dyDescent="0.2">
      <c r="A426" s="87" t="s">
        <v>69</v>
      </c>
      <c r="B426" s="86">
        <v>915</v>
      </c>
      <c r="C426" s="82" t="s">
        <v>51</v>
      </c>
      <c r="D426" s="82" t="s">
        <v>12</v>
      </c>
      <c r="E426" s="82" t="s">
        <v>264</v>
      </c>
      <c r="F426" s="82" t="s">
        <v>70</v>
      </c>
      <c r="G426" s="62">
        <v>7339</v>
      </c>
      <c r="H426" s="62">
        <v>7339</v>
      </c>
      <c r="I426" s="62">
        <v>7339</v>
      </c>
    </row>
    <row r="427" spans="1:17" s="74" customFormat="1" x14ac:dyDescent="0.2">
      <c r="A427" s="70" t="s">
        <v>54</v>
      </c>
      <c r="B427" s="71">
        <v>915</v>
      </c>
      <c r="C427" s="72" t="s">
        <v>51</v>
      </c>
      <c r="D427" s="72" t="s">
        <v>14</v>
      </c>
      <c r="E427" s="72"/>
      <c r="F427" s="72"/>
      <c r="G427" s="73">
        <f>G428+G430+G436+G434</f>
        <v>172416.59999999998</v>
      </c>
      <c r="H427" s="73">
        <f t="shared" ref="H427:I427" si="79">H428+H430+H436+H434</f>
        <v>170188.5</v>
      </c>
      <c r="I427" s="73">
        <f t="shared" si="79"/>
        <v>170188.5</v>
      </c>
    </row>
    <row r="428" spans="1:17" ht="51" x14ac:dyDescent="0.2">
      <c r="A428" s="18" t="s">
        <v>265</v>
      </c>
      <c r="B428" s="22">
        <v>915</v>
      </c>
      <c r="C428" s="19" t="s">
        <v>51</v>
      </c>
      <c r="D428" s="19" t="s">
        <v>14</v>
      </c>
      <c r="E428" s="19" t="s">
        <v>97</v>
      </c>
      <c r="F428" s="19"/>
      <c r="G428" s="20">
        <f>G429</f>
        <v>121813.3</v>
      </c>
      <c r="H428" s="20">
        <f>H429</f>
        <v>121742.5</v>
      </c>
      <c r="I428" s="20">
        <f>I429</f>
        <v>121742.5</v>
      </c>
      <c r="J428" s="117"/>
      <c r="K428" s="117"/>
      <c r="L428" s="117"/>
      <c r="M428" s="117"/>
      <c r="N428" s="117"/>
      <c r="O428" s="117"/>
      <c r="P428" s="117"/>
      <c r="Q428" s="117"/>
    </row>
    <row r="429" spans="1:17" s="26" customFormat="1" ht="25.5" x14ac:dyDescent="0.2">
      <c r="A429" s="28" t="s">
        <v>141</v>
      </c>
      <c r="B429" s="31">
        <v>915</v>
      </c>
      <c r="C429" s="24" t="s">
        <v>51</v>
      </c>
      <c r="D429" s="24" t="s">
        <v>14</v>
      </c>
      <c r="E429" s="24" t="s">
        <v>98</v>
      </c>
      <c r="F429" s="24" t="s">
        <v>65</v>
      </c>
      <c r="G429" s="25">
        <f>116101.9+5640.6+70.8</f>
        <v>121813.3</v>
      </c>
      <c r="H429" s="25">
        <f>116101.9+5640.6</f>
        <v>121742.5</v>
      </c>
      <c r="I429" s="25">
        <f>116101.9+5640.6</f>
        <v>121742.5</v>
      </c>
      <c r="J429" s="118"/>
      <c r="K429" s="118"/>
      <c r="L429" s="118"/>
      <c r="M429" s="118"/>
      <c r="N429" s="118"/>
      <c r="O429" s="118"/>
      <c r="P429" s="118"/>
      <c r="Q429" s="118"/>
    </row>
    <row r="430" spans="1:17" s="117" customFormat="1" ht="62.25" customHeight="1" x14ac:dyDescent="0.2">
      <c r="A430" s="228" t="s">
        <v>266</v>
      </c>
      <c r="B430" s="229">
        <v>915</v>
      </c>
      <c r="C430" s="230" t="s">
        <v>51</v>
      </c>
      <c r="D430" s="230" t="s">
        <v>14</v>
      </c>
      <c r="E430" s="230" t="s">
        <v>100</v>
      </c>
      <c r="F430" s="230"/>
      <c r="G430" s="231">
        <f>G431+G433+G432</f>
        <v>50550</v>
      </c>
      <c r="H430" s="231">
        <f t="shared" ref="H430:Q430" si="80">H431+H433+H432</f>
        <v>48414</v>
      </c>
      <c r="I430" s="231">
        <f t="shared" si="80"/>
        <v>48414</v>
      </c>
      <c r="J430" s="231">
        <f t="shared" si="80"/>
        <v>0</v>
      </c>
      <c r="K430" s="231">
        <f t="shared" si="80"/>
        <v>0</v>
      </c>
      <c r="L430" s="231">
        <f t="shared" si="80"/>
        <v>0</v>
      </c>
      <c r="M430" s="231">
        <f t="shared" si="80"/>
        <v>0</v>
      </c>
      <c r="N430" s="231">
        <f t="shared" si="80"/>
        <v>0</v>
      </c>
      <c r="O430" s="231">
        <f t="shared" si="80"/>
        <v>0</v>
      </c>
      <c r="P430" s="231">
        <f t="shared" si="80"/>
        <v>0</v>
      </c>
      <c r="Q430" s="231">
        <f t="shared" si="80"/>
        <v>0</v>
      </c>
    </row>
    <row r="431" spans="1:17" s="26" customFormat="1" ht="54" customHeight="1" x14ac:dyDescent="0.2">
      <c r="A431" s="23" t="s">
        <v>66</v>
      </c>
      <c r="B431" s="31">
        <v>915</v>
      </c>
      <c r="C431" s="24" t="s">
        <v>51</v>
      </c>
      <c r="D431" s="24" t="s">
        <v>14</v>
      </c>
      <c r="E431" s="24" t="s">
        <v>100</v>
      </c>
      <c r="F431" s="27" t="s">
        <v>67</v>
      </c>
      <c r="G431" s="25">
        <f>40317.8+2015.7+0.4-0.00574</f>
        <v>42333.894260000001</v>
      </c>
      <c r="H431" s="25">
        <f>40317.8+2015.7</f>
        <v>42333.5</v>
      </c>
      <c r="I431" s="25">
        <f>40317.8+2015.7</f>
        <v>42333.5</v>
      </c>
      <c r="J431" s="118"/>
      <c r="K431" s="118"/>
      <c r="L431" s="118"/>
      <c r="M431" s="118"/>
      <c r="N431" s="118"/>
      <c r="O431" s="118"/>
      <c r="P431" s="118"/>
      <c r="Q431" s="118"/>
    </row>
    <row r="432" spans="1:17" s="118" customFormat="1" ht="25.5" x14ac:dyDescent="0.2">
      <c r="A432" s="224" t="s">
        <v>76</v>
      </c>
      <c r="B432" s="227">
        <v>915</v>
      </c>
      <c r="C432" s="225" t="s">
        <v>51</v>
      </c>
      <c r="D432" s="225" t="s">
        <v>14</v>
      </c>
      <c r="E432" s="225" t="s">
        <v>100</v>
      </c>
      <c r="F432" s="248" t="s">
        <v>68</v>
      </c>
      <c r="G432" s="226">
        <f>190+5595.5+127-0.4+0.00574+2009</f>
        <v>7921.10574</v>
      </c>
      <c r="H432" s="226">
        <f>190+5595.5</f>
        <v>5785.5</v>
      </c>
      <c r="I432" s="226">
        <f>190+5595.5</f>
        <v>5785.5</v>
      </c>
    </row>
    <row r="433" spans="1:17" s="84" customFormat="1" x14ac:dyDescent="0.2">
      <c r="A433" s="87" t="s">
        <v>72</v>
      </c>
      <c r="B433" s="86">
        <v>915</v>
      </c>
      <c r="C433" s="82" t="s">
        <v>51</v>
      </c>
      <c r="D433" s="82" t="s">
        <v>14</v>
      </c>
      <c r="E433" s="82" t="s">
        <v>100</v>
      </c>
      <c r="F433" s="82" t="s">
        <v>73</v>
      </c>
      <c r="G433" s="62">
        <v>295</v>
      </c>
      <c r="H433" s="62">
        <v>295</v>
      </c>
      <c r="I433" s="62">
        <v>295</v>
      </c>
    </row>
    <row r="434" spans="1:17" s="26" customFormat="1" ht="25.5" x14ac:dyDescent="0.2">
      <c r="A434" s="18" t="s">
        <v>267</v>
      </c>
      <c r="B434" s="22">
        <v>915</v>
      </c>
      <c r="C434" s="19" t="s">
        <v>51</v>
      </c>
      <c r="D434" s="19" t="s">
        <v>14</v>
      </c>
      <c r="E434" s="19" t="s">
        <v>340</v>
      </c>
      <c r="F434" s="19"/>
      <c r="G434" s="25">
        <f>G435</f>
        <v>21.3</v>
      </c>
      <c r="H434" s="25">
        <f t="shared" ref="H434:I434" si="81">H435</f>
        <v>0</v>
      </c>
      <c r="I434" s="25">
        <f t="shared" si="81"/>
        <v>0</v>
      </c>
      <c r="J434" s="118"/>
      <c r="K434" s="118"/>
      <c r="L434" s="118"/>
      <c r="M434" s="118"/>
      <c r="N434" s="118"/>
      <c r="O434" s="118"/>
      <c r="P434" s="118"/>
      <c r="Q434" s="118"/>
    </row>
    <row r="435" spans="1:17" s="26" customFormat="1" ht="25.5" x14ac:dyDescent="0.2">
      <c r="A435" s="28" t="s">
        <v>76</v>
      </c>
      <c r="B435" s="31">
        <v>915</v>
      </c>
      <c r="C435" s="24" t="s">
        <v>51</v>
      </c>
      <c r="D435" s="24" t="s">
        <v>14</v>
      </c>
      <c r="E435" s="24" t="s">
        <v>340</v>
      </c>
      <c r="F435" s="27" t="s">
        <v>68</v>
      </c>
      <c r="G435" s="25">
        <f>5+16.3</f>
        <v>21.3</v>
      </c>
      <c r="H435" s="25">
        <v>0</v>
      </c>
      <c r="I435" s="25">
        <v>0</v>
      </c>
      <c r="J435" s="118"/>
      <c r="K435" s="118"/>
      <c r="L435" s="118"/>
      <c r="M435" s="118"/>
      <c r="N435" s="118"/>
      <c r="O435" s="118"/>
      <c r="P435" s="118"/>
      <c r="Q435" s="118"/>
    </row>
    <row r="436" spans="1:17" s="21" customFormat="1" ht="75" customHeight="1" x14ac:dyDescent="0.2">
      <c r="A436" s="18" t="s">
        <v>273</v>
      </c>
      <c r="B436" s="22">
        <v>915</v>
      </c>
      <c r="C436" s="19" t="s">
        <v>51</v>
      </c>
      <c r="D436" s="19" t="s">
        <v>14</v>
      </c>
      <c r="E436" s="19" t="s">
        <v>118</v>
      </c>
      <c r="F436" s="19"/>
      <c r="G436" s="20">
        <f>G437</f>
        <v>32</v>
      </c>
      <c r="H436" s="20">
        <f>H437</f>
        <v>32</v>
      </c>
      <c r="I436" s="20">
        <f>I437</f>
        <v>32</v>
      </c>
    </row>
    <row r="437" spans="1:17" s="84" customFormat="1" ht="50.25" customHeight="1" x14ac:dyDescent="0.2">
      <c r="A437" s="80" t="s">
        <v>66</v>
      </c>
      <c r="B437" s="86">
        <v>915</v>
      </c>
      <c r="C437" s="82" t="s">
        <v>51</v>
      </c>
      <c r="D437" s="82" t="s">
        <v>14</v>
      </c>
      <c r="E437" s="82" t="s">
        <v>118</v>
      </c>
      <c r="F437" s="82" t="s">
        <v>67</v>
      </c>
      <c r="G437" s="62">
        <v>32</v>
      </c>
      <c r="H437" s="62">
        <v>32</v>
      </c>
      <c r="I437" s="62">
        <v>32</v>
      </c>
    </row>
    <row r="438" spans="1:17" s="74" customFormat="1" x14ac:dyDescent="0.2">
      <c r="A438" s="70" t="s">
        <v>55</v>
      </c>
      <c r="B438" s="71">
        <v>915</v>
      </c>
      <c r="C438" s="72" t="s">
        <v>51</v>
      </c>
      <c r="D438" s="72" t="s">
        <v>16</v>
      </c>
      <c r="E438" s="72"/>
      <c r="F438" s="72"/>
      <c r="G438" s="73">
        <f>G448+G451+G454+G457+G460+G463+G466+G469+G472+G475+G478+G439+G442+G480+G483+G486+G489+G492+G495+G445</f>
        <v>338986.73927000002</v>
      </c>
      <c r="H438" s="73">
        <f t="shared" ref="H438:I438" si="82">H448+H451+H454+H457+H460+H463+H466+H469+H472+H475+H478+H439+H442+H480+H483+H486+H489+H492+H495+H445</f>
        <v>339171.70000000007</v>
      </c>
      <c r="I438" s="73">
        <f t="shared" si="82"/>
        <v>339568.50000000006</v>
      </c>
    </row>
    <row r="439" spans="1:17" s="21" customFormat="1" ht="51" customHeight="1" x14ac:dyDescent="0.2">
      <c r="A439" s="18" t="s">
        <v>252</v>
      </c>
      <c r="B439" s="22">
        <v>915</v>
      </c>
      <c r="C439" s="19" t="s">
        <v>51</v>
      </c>
      <c r="D439" s="19" t="s">
        <v>16</v>
      </c>
      <c r="E439" s="19" t="s">
        <v>454</v>
      </c>
      <c r="F439" s="19"/>
      <c r="G439" s="20">
        <f>G441+G440</f>
        <v>12767.199999999999</v>
      </c>
      <c r="H439" s="20">
        <f>H441+H440</f>
        <v>12767.199999999999</v>
      </c>
      <c r="I439" s="20">
        <f>I441+I440</f>
        <v>12767.199999999999</v>
      </c>
    </row>
    <row r="440" spans="1:17" s="26" customFormat="1" ht="25.5" x14ac:dyDescent="0.2">
      <c r="A440" s="28" t="s">
        <v>76</v>
      </c>
      <c r="B440" s="23">
        <v>915</v>
      </c>
      <c r="C440" s="24" t="s">
        <v>51</v>
      </c>
      <c r="D440" s="24" t="s">
        <v>16</v>
      </c>
      <c r="E440" s="24" t="s">
        <v>454</v>
      </c>
      <c r="F440" s="27" t="s">
        <v>68</v>
      </c>
      <c r="G440" s="25">
        <f>1+62.9</f>
        <v>63.9</v>
      </c>
      <c r="H440" s="25">
        <f>1+62.9</f>
        <v>63.9</v>
      </c>
      <c r="I440" s="25">
        <f>1+62.9</f>
        <v>63.9</v>
      </c>
    </row>
    <row r="441" spans="1:17" s="26" customFormat="1" x14ac:dyDescent="0.2">
      <c r="A441" s="28" t="s">
        <v>69</v>
      </c>
      <c r="B441" s="31">
        <v>915</v>
      </c>
      <c r="C441" s="24" t="s">
        <v>51</v>
      </c>
      <c r="D441" s="24" t="s">
        <v>16</v>
      </c>
      <c r="E441" s="24" t="s">
        <v>454</v>
      </c>
      <c r="F441" s="24" t="s">
        <v>70</v>
      </c>
      <c r="G441" s="25">
        <f>50+12653.3</f>
        <v>12703.3</v>
      </c>
      <c r="H441" s="25">
        <f>50+12653.3</f>
        <v>12703.3</v>
      </c>
      <c r="I441" s="25">
        <f>50+12653.3</f>
        <v>12703.3</v>
      </c>
    </row>
    <row r="442" spans="1:17" s="79" customFormat="1" ht="51" customHeight="1" x14ac:dyDescent="0.2">
      <c r="A442" s="75" t="s">
        <v>274</v>
      </c>
      <c r="B442" s="76">
        <v>915</v>
      </c>
      <c r="C442" s="77" t="s">
        <v>51</v>
      </c>
      <c r="D442" s="77" t="s">
        <v>16</v>
      </c>
      <c r="E442" s="77" t="s">
        <v>455</v>
      </c>
      <c r="F442" s="77"/>
      <c r="G442" s="78">
        <f>G444+G443</f>
        <v>9129</v>
      </c>
      <c r="H442" s="78">
        <f>H444+H443</f>
        <v>9129</v>
      </c>
      <c r="I442" s="78">
        <f>I444+I443</f>
        <v>9129</v>
      </c>
    </row>
    <row r="443" spans="1:17" s="84" customFormat="1" ht="25.5" x14ac:dyDescent="0.2">
      <c r="A443" s="87" t="s">
        <v>76</v>
      </c>
      <c r="B443" s="85">
        <v>915</v>
      </c>
      <c r="C443" s="82" t="s">
        <v>51</v>
      </c>
      <c r="D443" s="82" t="s">
        <v>16</v>
      </c>
      <c r="E443" s="82" t="s">
        <v>455</v>
      </c>
      <c r="F443" s="83" t="s">
        <v>68</v>
      </c>
      <c r="G443" s="62">
        <v>3.3</v>
      </c>
      <c r="H443" s="62">
        <v>3.3</v>
      </c>
      <c r="I443" s="62">
        <v>3.3</v>
      </c>
    </row>
    <row r="444" spans="1:17" s="84" customFormat="1" x14ac:dyDescent="0.2">
      <c r="A444" s="87" t="s">
        <v>69</v>
      </c>
      <c r="B444" s="86">
        <v>915</v>
      </c>
      <c r="C444" s="82" t="s">
        <v>51</v>
      </c>
      <c r="D444" s="82" t="s">
        <v>16</v>
      </c>
      <c r="E444" s="82" t="s">
        <v>455</v>
      </c>
      <c r="F444" s="82" t="s">
        <v>70</v>
      </c>
      <c r="G444" s="62">
        <f>7140.7+1985</f>
        <v>9125.7000000000007</v>
      </c>
      <c r="H444" s="62">
        <f>7140.7+1985</f>
        <v>9125.7000000000007</v>
      </c>
      <c r="I444" s="62">
        <f>7140.7+1985</f>
        <v>9125.7000000000007</v>
      </c>
    </row>
    <row r="445" spans="1:17" ht="40.5" customHeight="1" x14ac:dyDescent="0.2">
      <c r="A445" s="18" t="s">
        <v>268</v>
      </c>
      <c r="B445" s="18">
        <v>915</v>
      </c>
      <c r="C445" s="19" t="s">
        <v>51</v>
      </c>
      <c r="D445" s="19" t="s">
        <v>16</v>
      </c>
      <c r="E445" s="19" t="s">
        <v>117</v>
      </c>
      <c r="F445" s="19"/>
      <c r="G445" s="20">
        <f>G447+G446</f>
        <v>469.7</v>
      </c>
      <c r="H445" s="20">
        <f>H447+H446</f>
        <v>548.90000000000009</v>
      </c>
      <c r="I445" s="20">
        <f>I447+I446</f>
        <v>582.69999999999993</v>
      </c>
      <c r="J445" s="117"/>
      <c r="K445" s="117"/>
      <c r="L445" s="117"/>
      <c r="M445" s="117"/>
      <c r="N445" s="117"/>
      <c r="O445" s="117"/>
      <c r="P445" s="117"/>
      <c r="Q445" s="117"/>
    </row>
    <row r="446" spans="1:17" s="21" customFormat="1" ht="25.5" x14ac:dyDescent="0.2">
      <c r="A446" s="28" t="s">
        <v>76</v>
      </c>
      <c r="B446" s="23">
        <v>915</v>
      </c>
      <c r="C446" s="24" t="s">
        <v>51</v>
      </c>
      <c r="D446" s="24" t="s">
        <v>16</v>
      </c>
      <c r="E446" s="24" t="s">
        <v>117</v>
      </c>
      <c r="F446" s="27" t="s">
        <v>68</v>
      </c>
      <c r="G446" s="25">
        <v>2.5</v>
      </c>
      <c r="H446" s="25">
        <v>2.7</v>
      </c>
      <c r="I446" s="25">
        <v>2.9</v>
      </c>
    </row>
    <row r="447" spans="1:17" x14ac:dyDescent="0.2">
      <c r="A447" s="28" t="s">
        <v>69</v>
      </c>
      <c r="B447" s="28">
        <v>915</v>
      </c>
      <c r="C447" s="24" t="s">
        <v>51</v>
      </c>
      <c r="D447" s="24" t="s">
        <v>16</v>
      </c>
      <c r="E447" s="24" t="s">
        <v>117</v>
      </c>
      <c r="F447" s="24" t="s">
        <v>70</v>
      </c>
      <c r="G447" s="25">
        <f>491.9-24.7</f>
        <v>467.2</v>
      </c>
      <c r="H447" s="25">
        <v>546.20000000000005</v>
      </c>
      <c r="I447" s="25">
        <v>579.79999999999995</v>
      </c>
      <c r="J447" s="117"/>
      <c r="K447" s="117"/>
      <c r="L447" s="117"/>
      <c r="M447" s="117"/>
      <c r="N447" s="117"/>
      <c r="O447" s="117"/>
      <c r="P447" s="117"/>
      <c r="Q447" s="117"/>
    </row>
    <row r="448" spans="1:17" ht="38.25" x14ac:dyDescent="0.2">
      <c r="A448" s="18" t="s">
        <v>269</v>
      </c>
      <c r="B448" s="22">
        <v>915</v>
      </c>
      <c r="C448" s="19" t="s">
        <v>51</v>
      </c>
      <c r="D448" s="19" t="s">
        <v>16</v>
      </c>
      <c r="E448" s="19" t="s">
        <v>102</v>
      </c>
      <c r="F448" s="19"/>
      <c r="G448" s="20">
        <f>G450+G449</f>
        <v>9410.2392699999982</v>
      </c>
      <c r="H448" s="20">
        <f>H450+H449</f>
        <v>9084</v>
      </c>
      <c r="I448" s="20">
        <f>I450+I449</f>
        <v>9447</v>
      </c>
      <c r="J448" s="117"/>
      <c r="K448" s="117"/>
      <c r="L448" s="117"/>
      <c r="M448" s="117"/>
      <c r="N448" s="117"/>
      <c r="O448" s="117"/>
      <c r="P448" s="117"/>
      <c r="Q448" s="117"/>
    </row>
    <row r="449" spans="1:17" s="26" customFormat="1" ht="25.5" x14ac:dyDescent="0.2">
      <c r="A449" s="28" t="s">
        <v>76</v>
      </c>
      <c r="B449" s="23">
        <v>915</v>
      </c>
      <c r="C449" s="24" t="s">
        <v>51</v>
      </c>
      <c r="D449" s="24" t="s">
        <v>16</v>
      </c>
      <c r="E449" s="24" t="s">
        <v>102</v>
      </c>
      <c r="F449" s="27" t="s">
        <v>68</v>
      </c>
      <c r="G449" s="25">
        <f>41.5+2.5+0.48619+0.07073+1.20241+0.42438</f>
        <v>46.183709999999998</v>
      </c>
      <c r="H449" s="25">
        <v>45.4</v>
      </c>
      <c r="I449" s="25">
        <v>47.2</v>
      </c>
      <c r="J449" s="118"/>
      <c r="K449" s="118"/>
      <c r="L449" s="118"/>
      <c r="M449" s="118"/>
      <c r="N449" s="118"/>
      <c r="O449" s="118"/>
      <c r="P449" s="118"/>
      <c r="Q449" s="118"/>
    </row>
    <row r="450" spans="1:17" s="26" customFormat="1" x14ac:dyDescent="0.2">
      <c r="A450" s="28" t="s">
        <v>69</v>
      </c>
      <c r="B450" s="31">
        <v>915</v>
      </c>
      <c r="C450" s="24" t="s">
        <v>51</v>
      </c>
      <c r="D450" s="24" t="s">
        <v>16</v>
      </c>
      <c r="E450" s="24" t="s">
        <v>102</v>
      </c>
      <c r="F450" s="24" t="s">
        <v>70</v>
      </c>
      <c r="G450" s="25">
        <f>8254.5+492.5+291.69802+14.14598+226.33568+84.87588</f>
        <v>9364.0555599999989</v>
      </c>
      <c r="H450" s="25">
        <v>9038.6</v>
      </c>
      <c r="I450" s="25">
        <v>9399.7999999999993</v>
      </c>
      <c r="J450" s="118"/>
      <c r="K450" s="118"/>
      <c r="L450" s="118"/>
      <c r="M450" s="118"/>
      <c r="N450" s="118"/>
      <c r="O450" s="118"/>
      <c r="P450" s="118"/>
      <c r="Q450" s="118"/>
    </row>
    <row r="451" spans="1:17" s="21" customFormat="1" ht="25.5" x14ac:dyDescent="0.2">
      <c r="A451" s="18" t="s">
        <v>270</v>
      </c>
      <c r="B451" s="22">
        <v>915</v>
      </c>
      <c r="C451" s="19" t="s">
        <v>51</v>
      </c>
      <c r="D451" s="19" t="s">
        <v>16</v>
      </c>
      <c r="E451" s="19" t="s">
        <v>104</v>
      </c>
      <c r="F451" s="19"/>
      <c r="G451" s="20">
        <f>G453+G452</f>
        <v>53744</v>
      </c>
      <c r="H451" s="20">
        <f>H453+H452</f>
        <v>53744</v>
      </c>
      <c r="I451" s="20">
        <f>I453+I452</f>
        <v>53744</v>
      </c>
    </row>
    <row r="452" spans="1:17" s="26" customFormat="1" ht="25.5" x14ac:dyDescent="0.2">
      <c r="A452" s="28" t="s">
        <v>76</v>
      </c>
      <c r="B452" s="23">
        <v>915</v>
      </c>
      <c r="C452" s="24" t="s">
        <v>51</v>
      </c>
      <c r="D452" s="24" t="s">
        <v>16</v>
      </c>
      <c r="E452" s="24" t="s">
        <v>104</v>
      </c>
      <c r="F452" s="27" t="s">
        <v>68</v>
      </c>
      <c r="G452" s="25">
        <f>561.5+149.5</f>
        <v>711</v>
      </c>
      <c r="H452" s="25">
        <f>561.5+149.5</f>
        <v>711</v>
      </c>
      <c r="I452" s="25">
        <f>561.5+149.5</f>
        <v>711</v>
      </c>
    </row>
    <row r="453" spans="1:17" s="26" customFormat="1" x14ac:dyDescent="0.2">
      <c r="A453" s="28" t="s">
        <v>69</v>
      </c>
      <c r="B453" s="31">
        <v>915</v>
      </c>
      <c r="C453" s="24" t="s">
        <v>51</v>
      </c>
      <c r="D453" s="24" t="s">
        <v>16</v>
      </c>
      <c r="E453" s="24" t="s">
        <v>104</v>
      </c>
      <c r="F453" s="24" t="s">
        <v>70</v>
      </c>
      <c r="G453" s="25">
        <v>53033</v>
      </c>
      <c r="H453" s="25">
        <v>53033</v>
      </c>
      <c r="I453" s="25">
        <v>53033</v>
      </c>
    </row>
    <row r="454" spans="1:17" s="117" customFormat="1" ht="77.25" customHeight="1" x14ac:dyDescent="0.2">
      <c r="A454" s="228" t="s">
        <v>271</v>
      </c>
      <c r="B454" s="229">
        <v>915</v>
      </c>
      <c r="C454" s="230" t="s">
        <v>51</v>
      </c>
      <c r="D454" s="230" t="s">
        <v>16</v>
      </c>
      <c r="E454" s="230" t="s">
        <v>103</v>
      </c>
      <c r="F454" s="230"/>
      <c r="G454" s="231">
        <f>G455+G456</f>
        <v>1.0000000000000004</v>
      </c>
      <c r="H454" s="231">
        <f>H455+H456</f>
        <v>6</v>
      </c>
      <c r="I454" s="231">
        <f>I455+I456</f>
        <v>6</v>
      </c>
    </row>
    <row r="455" spans="1:17" s="84" customFormat="1" ht="25.5" x14ac:dyDescent="0.2">
      <c r="A455" s="87" t="s">
        <v>76</v>
      </c>
      <c r="B455" s="85">
        <v>915</v>
      </c>
      <c r="C455" s="82" t="s">
        <v>51</v>
      </c>
      <c r="D455" s="82" t="s">
        <v>16</v>
      </c>
      <c r="E455" s="82" t="s">
        <v>103</v>
      </c>
      <c r="F455" s="83" t="s">
        <v>68</v>
      </c>
      <c r="G455" s="62">
        <v>0.1</v>
      </c>
      <c r="H455" s="62">
        <v>0.1</v>
      </c>
      <c r="I455" s="62">
        <v>0.1</v>
      </c>
    </row>
    <row r="456" spans="1:17" s="118" customFormat="1" x14ac:dyDescent="0.2">
      <c r="A456" s="224" t="s">
        <v>69</v>
      </c>
      <c r="B456" s="227">
        <v>915</v>
      </c>
      <c r="C456" s="225" t="s">
        <v>51</v>
      </c>
      <c r="D456" s="225" t="s">
        <v>16</v>
      </c>
      <c r="E456" s="225" t="s">
        <v>103</v>
      </c>
      <c r="F456" s="225" t="s">
        <v>70</v>
      </c>
      <c r="G456" s="226">
        <f>5.9-5</f>
        <v>0.90000000000000036</v>
      </c>
      <c r="H456" s="226">
        <v>5.9</v>
      </c>
      <c r="I456" s="226">
        <v>5.9</v>
      </c>
    </row>
    <row r="457" spans="1:17" s="21" customFormat="1" ht="63.75" x14ac:dyDescent="0.2">
      <c r="A457" s="18" t="s">
        <v>180</v>
      </c>
      <c r="B457" s="22">
        <v>915</v>
      </c>
      <c r="C457" s="19" t="s">
        <v>51</v>
      </c>
      <c r="D457" s="19" t="s">
        <v>16</v>
      </c>
      <c r="E457" s="19" t="s">
        <v>92</v>
      </c>
      <c r="F457" s="19"/>
      <c r="G457" s="20">
        <f>G459+G458</f>
        <v>26410</v>
      </c>
      <c r="H457" s="20">
        <f>H459+H458</f>
        <v>26410</v>
      </c>
      <c r="I457" s="20">
        <f>I459+I458</f>
        <v>26410</v>
      </c>
    </row>
    <row r="458" spans="1:17" s="26" customFormat="1" ht="25.5" x14ac:dyDescent="0.2">
      <c r="A458" s="28" t="s">
        <v>76</v>
      </c>
      <c r="B458" s="23">
        <v>915</v>
      </c>
      <c r="C458" s="24" t="s">
        <v>51</v>
      </c>
      <c r="D458" s="24" t="s">
        <v>16</v>
      </c>
      <c r="E458" s="24" t="s">
        <v>92</v>
      </c>
      <c r="F458" s="27" t="s">
        <v>68</v>
      </c>
      <c r="G458" s="25">
        <f>185.1+75.2</f>
        <v>260.3</v>
      </c>
      <c r="H458" s="25">
        <f>185.1+75.2</f>
        <v>260.3</v>
      </c>
      <c r="I458" s="25">
        <f>185.1+75.2</f>
        <v>260.3</v>
      </c>
    </row>
    <row r="459" spans="1:17" s="26" customFormat="1" x14ac:dyDescent="0.2">
      <c r="A459" s="28" t="s">
        <v>69</v>
      </c>
      <c r="B459" s="31">
        <v>915</v>
      </c>
      <c r="C459" s="24" t="s">
        <v>51</v>
      </c>
      <c r="D459" s="24" t="s">
        <v>16</v>
      </c>
      <c r="E459" s="24" t="s">
        <v>92</v>
      </c>
      <c r="F459" s="24" t="s">
        <v>70</v>
      </c>
      <c r="G459" s="25">
        <f>24429.7+1720</f>
        <v>26149.7</v>
      </c>
      <c r="H459" s="25">
        <f>24429.7+1720</f>
        <v>26149.7</v>
      </c>
      <c r="I459" s="25">
        <f>24429.7+1720</f>
        <v>26149.7</v>
      </c>
    </row>
    <row r="460" spans="1:17" s="21" customFormat="1" ht="140.25" x14ac:dyDescent="0.2">
      <c r="A460" s="18" t="s">
        <v>332</v>
      </c>
      <c r="B460" s="22">
        <v>915</v>
      </c>
      <c r="C460" s="19" t="s">
        <v>51</v>
      </c>
      <c r="D460" s="19" t="s">
        <v>16</v>
      </c>
      <c r="E460" s="19" t="s">
        <v>93</v>
      </c>
      <c r="F460" s="19"/>
      <c r="G460" s="20">
        <f>G462+G461</f>
        <v>1523</v>
      </c>
      <c r="H460" s="20">
        <f>H462+H461</f>
        <v>1523</v>
      </c>
      <c r="I460" s="20">
        <f>I462+I461</f>
        <v>1523</v>
      </c>
    </row>
    <row r="461" spans="1:17" s="26" customFormat="1" ht="25.5" x14ac:dyDescent="0.2">
      <c r="A461" s="28" t="s">
        <v>76</v>
      </c>
      <c r="B461" s="31">
        <v>915</v>
      </c>
      <c r="C461" s="24" t="s">
        <v>51</v>
      </c>
      <c r="D461" s="24" t="s">
        <v>16</v>
      </c>
      <c r="E461" s="24" t="s">
        <v>93</v>
      </c>
      <c r="F461" s="27" t="s">
        <v>68</v>
      </c>
      <c r="G461" s="25">
        <f>28+1.6</f>
        <v>29.6</v>
      </c>
      <c r="H461" s="25">
        <f>28+1.6</f>
        <v>29.6</v>
      </c>
      <c r="I461" s="25">
        <f>28+1.6</f>
        <v>29.6</v>
      </c>
    </row>
    <row r="462" spans="1:17" s="84" customFormat="1" x14ac:dyDescent="0.2">
      <c r="A462" s="87" t="s">
        <v>69</v>
      </c>
      <c r="B462" s="86">
        <v>915</v>
      </c>
      <c r="C462" s="82" t="s">
        <v>51</v>
      </c>
      <c r="D462" s="82" t="s">
        <v>16</v>
      </c>
      <c r="E462" s="82" t="s">
        <v>93</v>
      </c>
      <c r="F462" s="82" t="s">
        <v>70</v>
      </c>
      <c r="G462" s="62">
        <f>1463.4+30</f>
        <v>1493.4</v>
      </c>
      <c r="H462" s="62">
        <f>1463.4+30</f>
        <v>1493.4</v>
      </c>
      <c r="I462" s="62">
        <f>1463.4+30</f>
        <v>1493.4</v>
      </c>
    </row>
    <row r="463" spans="1:17" s="21" customFormat="1" ht="76.5" customHeight="1" x14ac:dyDescent="0.2">
      <c r="A463" s="18" t="s">
        <v>456</v>
      </c>
      <c r="B463" s="22">
        <v>915</v>
      </c>
      <c r="C463" s="19" t="s">
        <v>51</v>
      </c>
      <c r="D463" s="19" t="s">
        <v>16</v>
      </c>
      <c r="E463" s="19" t="s">
        <v>94</v>
      </c>
      <c r="F463" s="19"/>
      <c r="G463" s="20">
        <f>G465+G464</f>
        <v>8604</v>
      </c>
      <c r="H463" s="20">
        <f>H465+H464</f>
        <v>8604</v>
      </c>
      <c r="I463" s="20">
        <f>I465+I464</f>
        <v>8604</v>
      </c>
    </row>
    <row r="464" spans="1:17" s="26" customFormat="1" ht="25.5" x14ac:dyDescent="0.2">
      <c r="A464" s="28" t="s">
        <v>76</v>
      </c>
      <c r="B464" s="23">
        <v>915</v>
      </c>
      <c r="C464" s="24" t="s">
        <v>51</v>
      </c>
      <c r="D464" s="24" t="s">
        <v>16</v>
      </c>
      <c r="E464" s="24" t="s">
        <v>94</v>
      </c>
      <c r="F464" s="27" t="s">
        <v>68</v>
      </c>
      <c r="G464" s="25">
        <f>87.5+19.8</f>
        <v>107.3</v>
      </c>
      <c r="H464" s="25">
        <f>87.5+19.8</f>
        <v>107.3</v>
      </c>
      <c r="I464" s="25">
        <f>87.5+19.8</f>
        <v>107.3</v>
      </c>
    </row>
    <row r="465" spans="1:9" s="84" customFormat="1" x14ac:dyDescent="0.2">
      <c r="A465" s="87" t="s">
        <v>69</v>
      </c>
      <c r="B465" s="86">
        <v>915</v>
      </c>
      <c r="C465" s="82" t="s">
        <v>51</v>
      </c>
      <c r="D465" s="82" t="s">
        <v>16</v>
      </c>
      <c r="E465" s="82" t="s">
        <v>94</v>
      </c>
      <c r="F465" s="82" t="s">
        <v>70</v>
      </c>
      <c r="G465" s="62">
        <f>8280.7+216</f>
        <v>8496.7000000000007</v>
      </c>
      <c r="H465" s="62">
        <f>8280.7+216</f>
        <v>8496.7000000000007</v>
      </c>
      <c r="I465" s="62">
        <f>8280.7+216</f>
        <v>8496.7000000000007</v>
      </c>
    </row>
    <row r="466" spans="1:9" s="117" customFormat="1" ht="63.75" x14ac:dyDescent="0.2">
      <c r="A466" s="228" t="s">
        <v>182</v>
      </c>
      <c r="B466" s="229">
        <v>915</v>
      </c>
      <c r="C466" s="230" t="s">
        <v>51</v>
      </c>
      <c r="D466" s="230" t="s">
        <v>16</v>
      </c>
      <c r="E466" s="230" t="s">
        <v>95</v>
      </c>
      <c r="F466" s="230"/>
      <c r="G466" s="231">
        <f>G468+G467</f>
        <v>527.6</v>
      </c>
      <c r="H466" s="231">
        <f>H468+H467</f>
        <v>502.59999999999997</v>
      </c>
      <c r="I466" s="231">
        <f>I468+I467</f>
        <v>502.59999999999997</v>
      </c>
    </row>
    <row r="467" spans="1:9" s="118" customFormat="1" ht="25.5" x14ac:dyDescent="0.2">
      <c r="A467" s="224" t="s">
        <v>76</v>
      </c>
      <c r="B467" s="253">
        <v>915</v>
      </c>
      <c r="C467" s="225" t="s">
        <v>51</v>
      </c>
      <c r="D467" s="225" t="s">
        <v>16</v>
      </c>
      <c r="E467" s="225" t="s">
        <v>95</v>
      </c>
      <c r="F467" s="248" t="s">
        <v>68</v>
      </c>
      <c r="G467" s="226">
        <f>3.1+1.8+0.5</f>
        <v>5.4</v>
      </c>
      <c r="H467" s="226">
        <f>3.1+1.8</f>
        <v>4.9000000000000004</v>
      </c>
      <c r="I467" s="226">
        <f>3.1+1.8</f>
        <v>4.9000000000000004</v>
      </c>
    </row>
    <row r="468" spans="1:9" s="118" customFormat="1" x14ac:dyDescent="0.2">
      <c r="A468" s="224" t="s">
        <v>69</v>
      </c>
      <c r="B468" s="227">
        <v>915</v>
      </c>
      <c r="C468" s="225" t="s">
        <v>51</v>
      </c>
      <c r="D468" s="225" t="s">
        <v>16</v>
      </c>
      <c r="E468" s="225" t="s">
        <v>95</v>
      </c>
      <c r="F468" s="225" t="s">
        <v>70</v>
      </c>
      <c r="G468" s="226">
        <f>477.7+20+24.5</f>
        <v>522.20000000000005</v>
      </c>
      <c r="H468" s="226">
        <f>477.7+20</f>
        <v>497.7</v>
      </c>
      <c r="I468" s="226">
        <f>477.7+20</f>
        <v>497.7</v>
      </c>
    </row>
    <row r="469" spans="1:9" s="21" customFormat="1" ht="63.75" x14ac:dyDescent="0.2">
      <c r="A469" s="18" t="s">
        <v>333</v>
      </c>
      <c r="B469" s="49">
        <v>915</v>
      </c>
      <c r="C469" s="19" t="s">
        <v>51</v>
      </c>
      <c r="D469" s="19" t="s">
        <v>16</v>
      </c>
      <c r="E469" s="19" t="s">
        <v>111</v>
      </c>
      <c r="F469" s="19"/>
      <c r="G469" s="20">
        <f>G471+G470</f>
        <v>9.9</v>
      </c>
      <c r="H469" s="20">
        <f>H471+H470</f>
        <v>9.9</v>
      </c>
      <c r="I469" s="20">
        <f>I471+I470</f>
        <v>9.9</v>
      </c>
    </row>
    <row r="470" spans="1:9" s="26" customFormat="1" ht="25.5" x14ac:dyDescent="0.2">
      <c r="A470" s="28" t="s">
        <v>76</v>
      </c>
      <c r="B470" s="23">
        <v>915</v>
      </c>
      <c r="C470" s="24" t="s">
        <v>51</v>
      </c>
      <c r="D470" s="24" t="s">
        <v>16</v>
      </c>
      <c r="E470" s="24" t="s">
        <v>111</v>
      </c>
      <c r="F470" s="27" t="s">
        <v>68</v>
      </c>
      <c r="G470" s="25">
        <v>0.1</v>
      </c>
      <c r="H470" s="25">
        <v>0.1</v>
      </c>
      <c r="I470" s="25">
        <v>0.1</v>
      </c>
    </row>
    <row r="471" spans="1:9" s="26" customFormat="1" x14ac:dyDescent="0.2">
      <c r="A471" s="28" t="s">
        <v>69</v>
      </c>
      <c r="B471" s="31">
        <v>915</v>
      </c>
      <c r="C471" s="24" t="s">
        <v>51</v>
      </c>
      <c r="D471" s="24" t="s">
        <v>16</v>
      </c>
      <c r="E471" s="24" t="s">
        <v>111</v>
      </c>
      <c r="F471" s="24" t="s">
        <v>70</v>
      </c>
      <c r="G471" s="25">
        <v>9.8000000000000007</v>
      </c>
      <c r="H471" s="25">
        <v>9.8000000000000007</v>
      </c>
      <c r="I471" s="25">
        <v>9.8000000000000007</v>
      </c>
    </row>
    <row r="472" spans="1:9" s="21" customFormat="1" ht="51" x14ac:dyDescent="0.2">
      <c r="A472" s="18" t="s">
        <v>183</v>
      </c>
      <c r="B472" s="22">
        <v>915</v>
      </c>
      <c r="C472" s="19" t="s">
        <v>51</v>
      </c>
      <c r="D472" s="19" t="s">
        <v>16</v>
      </c>
      <c r="E472" s="19" t="s">
        <v>96</v>
      </c>
      <c r="F472" s="19"/>
      <c r="G472" s="20">
        <f>G474+G473</f>
        <v>409.9</v>
      </c>
      <c r="H472" s="20">
        <f>H474+H473</f>
        <v>409.9</v>
      </c>
      <c r="I472" s="20">
        <f>I474+I473</f>
        <v>409.9</v>
      </c>
    </row>
    <row r="473" spans="1:9" s="26" customFormat="1" ht="25.5" x14ac:dyDescent="0.2">
      <c r="A473" s="28" t="s">
        <v>76</v>
      </c>
      <c r="B473" s="23">
        <v>915</v>
      </c>
      <c r="C473" s="24" t="s">
        <v>51</v>
      </c>
      <c r="D473" s="24" t="s">
        <v>16</v>
      </c>
      <c r="E473" s="24" t="s">
        <v>96</v>
      </c>
      <c r="F473" s="27" t="s">
        <v>68</v>
      </c>
      <c r="G473" s="25">
        <f>4+1.5</f>
        <v>5.5</v>
      </c>
      <c r="H473" s="25">
        <f>4+1.5</f>
        <v>5.5</v>
      </c>
      <c r="I473" s="25">
        <f>4+1.5</f>
        <v>5.5</v>
      </c>
    </row>
    <row r="474" spans="1:9" s="84" customFormat="1" x14ac:dyDescent="0.2">
      <c r="A474" s="87" t="s">
        <v>69</v>
      </c>
      <c r="B474" s="86">
        <v>915</v>
      </c>
      <c r="C474" s="82" t="s">
        <v>51</v>
      </c>
      <c r="D474" s="82" t="s">
        <v>16</v>
      </c>
      <c r="E474" s="82" t="s">
        <v>96</v>
      </c>
      <c r="F474" s="82" t="s">
        <v>70</v>
      </c>
      <c r="G474" s="62">
        <f>354.4+50</f>
        <v>404.4</v>
      </c>
      <c r="H474" s="62">
        <f>354.4+50</f>
        <v>404.4</v>
      </c>
      <c r="I474" s="62">
        <f>354.4+50</f>
        <v>404.4</v>
      </c>
    </row>
    <row r="475" spans="1:9" s="21" customFormat="1" ht="25.5" x14ac:dyDescent="0.2">
      <c r="A475" s="18" t="s">
        <v>272</v>
      </c>
      <c r="B475" s="22">
        <v>915</v>
      </c>
      <c r="C475" s="19" t="s">
        <v>51</v>
      </c>
      <c r="D475" s="19" t="s">
        <v>16</v>
      </c>
      <c r="E475" s="19" t="s">
        <v>106</v>
      </c>
      <c r="F475" s="19"/>
      <c r="G475" s="20">
        <f>G477+G476</f>
        <v>94204</v>
      </c>
      <c r="H475" s="20">
        <f>H477+H476</f>
        <v>94204</v>
      </c>
      <c r="I475" s="20">
        <f>I477+I476</f>
        <v>94204</v>
      </c>
    </row>
    <row r="476" spans="1:9" s="26" customFormat="1" ht="25.5" x14ac:dyDescent="0.2">
      <c r="A476" s="28" t="s">
        <v>76</v>
      </c>
      <c r="B476" s="23">
        <v>915</v>
      </c>
      <c r="C476" s="24" t="s">
        <v>51</v>
      </c>
      <c r="D476" s="24" t="s">
        <v>16</v>
      </c>
      <c r="E476" s="24" t="s">
        <v>106</v>
      </c>
      <c r="F476" s="27" t="s">
        <v>68</v>
      </c>
      <c r="G476" s="25">
        <f>75+470</f>
        <v>545</v>
      </c>
      <c r="H476" s="25">
        <f>75+470</f>
        <v>545</v>
      </c>
      <c r="I476" s="25">
        <f>75+470</f>
        <v>545</v>
      </c>
    </row>
    <row r="477" spans="1:9" s="84" customFormat="1" x14ac:dyDescent="0.2">
      <c r="A477" s="87" t="s">
        <v>69</v>
      </c>
      <c r="B477" s="86">
        <v>915</v>
      </c>
      <c r="C477" s="82" t="s">
        <v>51</v>
      </c>
      <c r="D477" s="82" t="s">
        <v>16</v>
      </c>
      <c r="E477" s="82" t="s">
        <v>106</v>
      </c>
      <c r="F477" s="82" t="s">
        <v>70</v>
      </c>
      <c r="G477" s="62">
        <v>93659</v>
      </c>
      <c r="H477" s="62">
        <v>93659</v>
      </c>
      <c r="I477" s="62">
        <v>93659</v>
      </c>
    </row>
    <row r="478" spans="1:9" s="21" customFormat="1" ht="127.5" x14ac:dyDescent="0.2">
      <c r="A478" s="18" t="s">
        <v>334</v>
      </c>
      <c r="B478" s="22">
        <v>915</v>
      </c>
      <c r="C478" s="19" t="s">
        <v>51</v>
      </c>
      <c r="D478" s="19" t="s">
        <v>16</v>
      </c>
      <c r="E478" s="19" t="s">
        <v>112</v>
      </c>
      <c r="F478" s="19"/>
      <c r="G478" s="20">
        <f>G479</f>
        <v>1.2</v>
      </c>
      <c r="H478" s="20">
        <f>H479</f>
        <v>1.2</v>
      </c>
      <c r="I478" s="20">
        <f>I479</f>
        <v>1.2</v>
      </c>
    </row>
    <row r="479" spans="1:9" s="26" customFormat="1" x14ac:dyDescent="0.2">
      <c r="A479" s="28" t="s">
        <v>69</v>
      </c>
      <c r="B479" s="31">
        <v>915</v>
      </c>
      <c r="C479" s="24" t="s">
        <v>51</v>
      </c>
      <c r="D479" s="24" t="s">
        <v>16</v>
      </c>
      <c r="E479" s="24" t="s">
        <v>112</v>
      </c>
      <c r="F479" s="24" t="s">
        <v>70</v>
      </c>
      <c r="G479" s="25">
        <v>1.2</v>
      </c>
      <c r="H479" s="25">
        <v>1.2</v>
      </c>
      <c r="I479" s="25">
        <v>1.2</v>
      </c>
    </row>
    <row r="480" spans="1:9" s="117" customFormat="1" ht="51" x14ac:dyDescent="0.2">
      <c r="A480" s="228" t="s">
        <v>335</v>
      </c>
      <c r="B480" s="229">
        <v>915</v>
      </c>
      <c r="C480" s="230" t="s">
        <v>51</v>
      </c>
      <c r="D480" s="230" t="s">
        <v>16</v>
      </c>
      <c r="E480" s="230" t="s">
        <v>115</v>
      </c>
      <c r="F480" s="230"/>
      <c r="G480" s="231">
        <f>G482+G481</f>
        <v>19480</v>
      </c>
      <c r="H480" s="231">
        <f>H482+H481</f>
        <v>19730</v>
      </c>
      <c r="I480" s="231">
        <f>I482+I481</f>
        <v>19730</v>
      </c>
    </row>
    <row r="481" spans="1:17" s="26" customFormat="1" ht="25.5" x14ac:dyDescent="0.2">
      <c r="A481" s="28" t="s">
        <v>76</v>
      </c>
      <c r="B481" s="23">
        <v>915</v>
      </c>
      <c r="C481" s="24" t="s">
        <v>51</v>
      </c>
      <c r="D481" s="24" t="s">
        <v>16</v>
      </c>
      <c r="E481" s="24" t="s">
        <v>115</v>
      </c>
      <c r="F481" s="27" t="s">
        <v>68</v>
      </c>
      <c r="G481" s="25">
        <f>245+42</f>
        <v>287</v>
      </c>
      <c r="H481" s="25">
        <f>245+42</f>
        <v>287</v>
      </c>
      <c r="I481" s="25">
        <f>245+42</f>
        <v>287</v>
      </c>
    </row>
    <row r="482" spans="1:17" s="118" customFormat="1" x14ac:dyDescent="0.2">
      <c r="A482" s="224" t="s">
        <v>69</v>
      </c>
      <c r="B482" s="227">
        <v>915</v>
      </c>
      <c r="C482" s="225" t="s">
        <v>51</v>
      </c>
      <c r="D482" s="225" t="s">
        <v>16</v>
      </c>
      <c r="E482" s="225" t="s">
        <v>115</v>
      </c>
      <c r="F482" s="225" t="s">
        <v>70</v>
      </c>
      <c r="G482" s="226">
        <f>19443-250</f>
        <v>19193</v>
      </c>
      <c r="H482" s="226">
        <v>19443</v>
      </c>
      <c r="I482" s="226">
        <v>19443</v>
      </c>
    </row>
    <row r="483" spans="1:17" s="21" customFormat="1" ht="51" x14ac:dyDescent="0.2">
      <c r="A483" s="18" t="s">
        <v>275</v>
      </c>
      <c r="B483" s="22">
        <v>915</v>
      </c>
      <c r="C483" s="19" t="s">
        <v>51</v>
      </c>
      <c r="D483" s="19" t="s">
        <v>16</v>
      </c>
      <c r="E483" s="19" t="s">
        <v>110</v>
      </c>
      <c r="F483" s="19"/>
      <c r="G483" s="20">
        <f>G485+G484</f>
        <v>86</v>
      </c>
      <c r="H483" s="20">
        <f>H485+H484</f>
        <v>86</v>
      </c>
      <c r="I483" s="20">
        <f>I485+I484</f>
        <v>86</v>
      </c>
    </row>
    <row r="484" spans="1:17" s="26" customFormat="1" ht="25.5" x14ac:dyDescent="0.2">
      <c r="A484" s="28" t="s">
        <v>76</v>
      </c>
      <c r="B484" s="23">
        <v>915</v>
      </c>
      <c r="C484" s="24" t="s">
        <v>51</v>
      </c>
      <c r="D484" s="24" t="s">
        <v>16</v>
      </c>
      <c r="E484" s="24" t="s">
        <v>110</v>
      </c>
      <c r="F484" s="27" t="s">
        <v>68</v>
      </c>
      <c r="G484" s="25">
        <v>1.3</v>
      </c>
      <c r="H484" s="25">
        <v>1.3</v>
      </c>
      <c r="I484" s="25">
        <v>1.3</v>
      </c>
    </row>
    <row r="485" spans="1:17" s="26" customFormat="1" x14ac:dyDescent="0.2">
      <c r="A485" s="28" t="s">
        <v>69</v>
      </c>
      <c r="B485" s="31">
        <v>915</v>
      </c>
      <c r="C485" s="24" t="s">
        <v>51</v>
      </c>
      <c r="D485" s="24" t="s">
        <v>16</v>
      </c>
      <c r="E485" s="24" t="s">
        <v>110</v>
      </c>
      <c r="F485" s="24" t="s">
        <v>70</v>
      </c>
      <c r="G485" s="25">
        <v>84.7</v>
      </c>
      <c r="H485" s="25">
        <v>84.7</v>
      </c>
      <c r="I485" s="25">
        <v>84.7</v>
      </c>
    </row>
    <row r="486" spans="1:17" s="117" customFormat="1" ht="76.5" x14ac:dyDescent="0.2">
      <c r="A486" s="228" t="s">
        <v>342</v>
      </c>
      <c r="B486" s="229">
        <v>915</v>
      </c>
      <c r="C486" s="230" t="s">
        <v>51</v>
      </c>
      <c r="D486" s="230" t="s">
        <v>16</v>
      </c>
      <c r="E486" s="230" t="s">
        <v>113</v>
      </c>
      <c r="F486" s="230"/>
      <c r="G486" s="231">
        <f>G488+G487</f>
        <v>1133</v>
      </c>
      <c r="H486" s="231">
        <f>H488+H487</f>
        <v>1153</v>
      </c>
      <c r="I486" s="231">
        <f>I488+I487</f>
        <v>1153</v>
      </c>
    </row>
    <row r="487" spans="1:17" s="26" customFormat="1" ht="25.5" x14ac:dyDescent="0.2">
      <c r="A487" s="28" t="s">
        <v>76</v>
      </c>
      <c r="B487" s="23">
        <v>915</v>
      </c>
      <c r="C487" s="24" t="s">
        <v>51</v>
      </c>
      <c r="D487" s="24" t="s">
        <v>16</v>
      </c>
      <c r="E487" s="24" t="s">
        <v>113</v>
      </c>
      <c r="F487" s="27" t="s">
        <v>68</v>
      </c>
      <c r="G487" s="25">
        <v>6.5</v>
      </c>
      <c r="H487" s="25">
        <v>6.5</v>
      </c>
      <c r="I487" s="25">
        <v>6.5</v>
      </c>
    </row>
    <row r="488" spans="1:17" s="118" customFormat="1" x14ac:dyDescent="0.2">
      <c r="A488" s="224" t="s">
        <v>69</v>
      </c>
      <c r="B488" s="227">
        <v>915</v>
      </c>
      <c r="C488" s="225" t="s">
        <v>51</v>
      </c>
      <c r="D488" s="225" t="s">
        <v>16</v>
      </c>
      <c r="E488" s="225" t="s">
        <v>113</v>
      </c>
      <c r="F488" s="225" t="s">
        <v>70</v>
      </c>
      <c r="G488" s="226">
        <f>1146.5-20</f>
        <v>1126.5</v>
      </c>
      <c r="H488" s="226">
        <v>1146.5</v>
      </c>
      <c r="I488" s="226">
        <v>1146.5</v>
      </c>
    </row>
    <row r="489" spans="1:17" s="117" customFormat="1" ht="51" x14ac:dyDescent="0.2">
      <c r="A489" s="228" t="s">
        <v>276</v>
      </c>
      <c r="B489" s="229">
        <v>915</v>
      </c>
      <c r="C489" s="230" t="s">
        <v>51</v>
      </c>
      <c r="D489" s="230" t="s">
        <v>16</v>
      </c>
      <c r="E489" s="230" t="s">
        <v>114</v>
      </c>
      <c r="F489" s="230"/>
      <c r="G489" s="231">
        <f>G491+G490</f>
        <v>411.00000000000006</v>
      </c>
      <c r="H489" s="231">
        <f>H491+H490</f>
        <v>392</v>
      </c>
      <c r="I489" s="231">
        <f>I491+I490</f>
        <v>392</v>
      </c>
    </row>
    <row r="490" spans="1:17" s="118" customFormat="1" ht="25.5" x14ac:dyDescent="0.2">
      <c r="A490" s="224" t="s">
        <v>76</v>
      </c>
      <c r="B490" s="253">
        <v>915</v>
      </c>
      <c r="C490" s="225" t="s">
        <v>51</v>
      </c>
      <c r="D490" s="225" t="s">
        <v>16</v>
      </c>
      <c r="E490" s="225" t="s">
        <v>114</v>
      </c>
      <c r="F490" s="248" t="s">
        <v>68</v>
      </c>
      <c r="G490" s="226">
        <f>7.4+0.4</f>
        <v>7.8000000000000007</v>
      </c>
      <c r="H490" s="226">
        <v>7.4</v>
      </c>
      <c r="I490" s="226">
        <v>7.4</v>
      </c>
    </row>
    <row r="491" spans="1:17" s="118" customFormat="1" x14ac:dyDescent="0.2">
      <c r="A491" s="224" t="s">
        <v>69</v>
      </c>
      <c r="B491" s="227">
        <v>915</v>
      </c>
      <c r="C491" s="225" t="s">
        <v>51</v>
      </c>
      <c r="D491" s="225" t="s">
        <v>16</v>
      </c>
      <c r="E491" s="225" t="s">
        <v>114</v>
      </c>
      <c r="F491" s="225" t="s">
        <v>70</v>
      </c>
      <c r="G491" s="226">
        <f>384.6+18.6</f>
        <v>403.20000000000005</v>
      </c>
      <c r="H491" s="226">
        <v>384.6</v>
      </c>
      <c r="I491" s="226">
        <v>384.6</v>
      </c>
    </row>
    <row r="492" spans="1:17" s="21" customFormat="1" ht="102" customHeight="1" x14ac:dyDescent="0.2">
      <c r="A492" s="18" t="s">
        <v>457</v>
      </c>
      <c r="B492" s="22">
        <v>915</v>
      </c>
      <c r="C492" s="19" t="s">
        <v>51</v>
      </c>
      <c r="D492" s="19" t="s">
        <v>16</v>
      </c>
      <c r="E492" s="19" t="s">
        <v>116</v>
      </c>
      <c r="F492" s="19"/>
      <c r="G492" s="20">
        <f>G494+G493</f>
        <v>99211</v>
      </c>
      <c r="H492" s="20">
        <f>H494+H493</f>
        <v>99211</v>
      </c>
      <c r="I492" s="20">
        <f>I494+I493</f>
        <v>99211</v>
      </c>
    </row>
    <row r="493" spans="1:17" s="26" customFormat="1" ht="25.5" x14ac:dyDescent="0.2">
      <c r="A493" s="28" t="s">
        <v>76</v>
      </c>
      <c r="B493" s="23">
        <v>915</v>
      </c>
      <c r="C493" s="24" t="s">
        <v>51</v>
      </c>
      <c r="D493" s="24" t="s">
        <v>16</v>
      </c>
      <c r="E493" s="24" t="s">
        <v>116</v>
      </c>
      <c r="F493" s="27" t="s">
        <v>68</v>
      </c>
      <c r="G493" s="25">
        <f>318+192+110+34+55+30+130+60+1+1</f>
        <v>931</v>
      </c>
      <c r="H493" s="25">
        <f>318+192+110+34+55+30+130+60+1+1</f>
        <v>931</v>
      </c>
      <c r="I493" s="25">
        <f>318+192+110+34+55+30+130+60+1+1</f>
        <v>931</v>
      </c>
    </row>
    <row r="494" spans="1:17" s="84" customFormat="1" x14ac:dyDescent="0.2">
      <c r="A494" s="87" t="s">
        <v>69</v>
      </c>
      <c r="B494" s="86">
        <v>915</v>
      </c>
      <c r="C494" s="82" t="s">
        <v>51</v>
      </c>
      <c r="D494" s="82" t="s">
        <v>16</v>
      </c>
      <c r="E494" s="82" t="s">
        <v>116</v>
      </c>
      <c r="F494" s="82" t="s">
        <v>70</v>
      </c>
      <c r="G494" s="62">
        <f>56640+13930+8400+19100+210</f>
        <v>98280</v>
      </c>
      <c r="H494" s="62">
        <f>56640+13930+8400+19100+210</f>
        <v>98280</v>
      </c>
      <c r="I494" s="62">
        <f>56640+13930+8400+19100+210</f>
        <v>98280</v>
      </c>
    </row>
    <row r="495" spans="1:17" ht="76.5" x14ac:dyDescent="0.2">
      <c r="A495" s="18" t="s">
        <v>452</v>
      </c>
      <c r="B495" s="22">
        <v>915</v>
      </c>
      <c r="C495" s="19" t="s">
        <v>51</v>
      </c>
      <c r="D495" s="19" t="s">
        <v>16</v>
      </c>
      <c r="E495" s="19" t="s">
        <v>91</v>
      </c>
      <c r="F495" s="19"/>
      <c r="G495" s="20">
        <f>G497+G496+G498</f>
        <v>1455</v>
      </c>
      <c r="H495" s="20">
        <f t="shared" ref="H495:I495" si="83">H497+H496+H498</f>
        <v>1656</v>
      </c>
      <c r="I495" s="20">
        <f t="shared" si="83"/>
        <v>1656</v>
      </c>
      <c r="J495" s="117"/>
      <c r="K495" s="117"/>
      <c r="L495" s="117"/>
      <c r="M495" s="117"/>
      <c r="N495" s="117"/>
      <c r="O495" s="117"/>
      <c r="P495" s="117"/>
      <c r="Q495" s="117"/>
    </row>
    <row r="496" spans="1:17" s="84" customFormat="1" ht="25.5" x14ac:dyDescent="0.2">
      <c r="A496" s="87" t="s">
        <v>76</v>
      </c>
      <c r="B496" s="85">
        <v>915</v>
      </c>
      <c r="C496" s="82" t="s">
        <v>51</v>
      </c>
      <c r="D496" s="82" t="s">
        <v>16</v>
      </c>
      <c r="E496" s="82" t="s">
        <v>91</v>
      </c>
      <c r="F496" s="83" t="s">
        <v>68</v>
      </c>
      <c r="G496" s="62">
        <v>25</v>
      </c>
      <c r="H496" s="62">
        <v>25</v>
      </c>
      <c r="I496" s="62">
        <v>25</v>
      </c>
    </row>
    <row r="497" spans="1:17" s="26" customFormat="1" x14ac:dyDescent="0.2">
      <c r="A497" s="28" t="s">
        <v>69</v>
      </c>
      <c r="B497" s="31">
        <v>915</v>
      </c>
      <c r="C497" s="24" t="s">
        <v>51</v>
      </c>
      <c r="D497" s="24" t="s">
        <v>16</v>
      </c>
      <c r="E497" s="24" t="s">
        <v>91</v>
      </c>
      <c r="F497" s="24" t="s">
        <v>70</v>
      </c>
      <c r="G497" s="25">
        <f>1364.4-201</f>
        <v>1163.4000000000001</v>
      </c>
      <c r="H497" s="25">
        <v>1364.4</v>
      </c>
      <c r="I497" s="25">
        <v>1364.4</v>
      </c>
      <c r="J497" s="118"/>
      <c r="K497" s="118"/>
      <c r="L497" s="118"/>
      <c r="M497" s="118"/>
      <c r="N497" s="118"/>
      <c r="O497" s="118"/>
      <c r="P497" s="118"/>
      <c r="Q497" s="118"/>
    </row>
    <row r="498" spans="1:17" s="84" customFormat="1" x14ac:dyDescent="0.2">
      <c r="A498" s="87" t="s">
        <v>72</v>
      </c>
      <c r="B498" s="86">
        <v>915</v>
      </c>
      <c r="C498" s="82" t="s">
        <v>51</v>
      </c>
      <c r="D498" s="82" t="s">
        <v>16</v>
      </c>
      <c r="E498" s="77" t="s">
        <v>91</v>
      </c>
      <c r="F498" s="82" t="s">
        <v>73</v>
      </c>
      <c r="G498" s="62">
        <v>266.60000000000002</v>
      </c>
      <c r="H498" s="62">
        <v>266.60000000000002</v>
      </c>
      <c r="I498" s="62">
        <v>266.60000000000002</v>
      </c>
    </row>
    <row r="499" spans="1:17" s="74" customFormat="1" x14ac:dyDescent="0.2">
      <c r="A499" s="70" t="s">
        <v>56</v>
      </c>
      <c r="B499" s="71">
        <v>915</v>
      </c>
      <c r="C499" s="72" t="s">
        <v>51</v>
      </c>
      <c r="D499" s="72" t="s">
        <v>18</v>
      </c>
      <c r="E499" s="72"/>
      <c r="F499" s="72"/>
      <c r="G499" s="73">
        <f>G500+G503+G512+G507+G510+G505</f>
        <v>144274</v>
      </c>
      <c r="H499" s="73">
        <f t="shared" ref="H499:I499" si="84">H500+H503+H512+H507+H510+H505</f>
        <v>129414</v>
      </c>
      <c r="I499" s="73">
        <f t="shared" si="84"/>
        <v>133259</v>
      </c>
    </row>
    <row r="500" spans="1:17" s="117" customFormat="1" ht="25.5" x14ac:dyDescent="0.2">
      <c r="A500" s="228" t="s">
        <v>437</v>
      </c>
      <c r="B500" s="229">
        <v>915</v>
      </c>
      <c r="C500" s="230" t="s">
        <v>51</v>
      </c>
      <c r="D500" s="230" t="s">
        <v>18</v>
      </c>
      <c r="E500" s="230" t="s">
        <v>431</v>
      </c>
      <c r="F500" s="230"/>
      <c r="G500" s="231">
        <f>G502+G501</f>
        <v>19745</v>
      </c>
      <c r="H500" s="231">
        <f t="shared" ref="H500:I500" si="85">H502+H501</f>
        <v>33866</v>
      </c>
      <c r="I500" s="231">
        <f t="shared" si="85"/>
        <v>35170</v>
      </c>
    </row>
    <row r="501" spans="1:17" s="118" customFormat="1" ht="25.5" x14ac:dyDescent="0.2">
      <c r="A501" s="224" t="s">
        <v>76</v>
      </c>
      <c r="B501" s="227">
        <v>915</v>
      </c>
      <c r="C501" s="225" t="s">
        <v>51</v>
      </c>
      <c r="D501" s="225" t="s">
        <v>18</v>
      </c>
      <c r="E501" s="225" t="s">
        <v>431</v>
      </c>
      <c r="F501" s="225" t="s">
        <v>68</v>
      </c>
      <c r="G501" s="226">
        <f>150.7-150.7</f>
        <v>0</v>
      </c>
      <c r="H501" s="226">
        <v>169.3</v>
      </c>
      <c r="I501" s="226">
        <v>175.9</v>
      </c>
    </row>
    <row r="502" spans="1:17" s="118" customFormat="1" x14ac:dyDescent="0.2">
      <c r="A502" s="224" t="s">
        <v>69</v>
      </c>
      <c r="B502" s="227">
        <v>915</v>
      </c>
      <c r="C502" s="225" t="s">
        <v>51</v>
      </c>
      <c r="D502" s="225" t="s">
        <v>18</v>
      </c>
      <c r="E502" s="225" t="s">
        <v>431</v>
      </c>
      <c r="F502" s="225" t="s">
        <v>70</v>
      </c>
      <c r="G502" s="226">
        <f>29979.3-10234.3</f>
        <v>19745</v>
      </c>
      <c r="H502" s="226">
        <v>33696.699999999997</v>
      </c>
      <c r="I502" s="226">
        <v>34994.1</v>
      </c>
    </row>
    <row r="503" spans="1:17" s="21" customFormat="1" ht="51" x14ac:dyDescent="0.2">
      <c r="A503" s="54" t="s">
        <v>434</v>
      </c>
      <c r="B503" s="49">
        <v>915</v>
      </c>
      <c r="C503" s="19" t="s">
        <v>51</v>
      </c>
      <c r="D503" s="19" t="s">
        <v>18</v>
      </c>
      <c r="E503" s="19" t="s">
        <v>430</v>
      </c>
      <c r="F503" s="19"/>
      <c r="G503" s="20">
        <f>G504</f>
        <v>40930</v>
      </c>
      <c r="H503" s="20">
        <f t="shared" ref="H503:I503" si="86">H504</f>
        <v>7239</v>
      </c>
      <c r="I503" s="20">
        <f t="shared" si="86"/>
        <v>7528</v>
      </c>
    </row>
    <row r="504" spans="1:17" s="21" customFormat="1" x14ac:dyDescent="0.2">
      <c r="A504" s="28" t="s">
        <v>69</v>
      </c>
      <c r="B504" s="22">
        <v>915</v>
      </c>
      <c r="C504" s="24" t="s">
        <v>51</v>
      </c>
      <c r="D504" s="24" t="s">
        <v>18</v>
      </c>
      <c r="E504" s="19" t="s">
        <v>430</v>
      </c>
      <c r="F504" s="24" t="s">
        <v>70</v>
      </c>
      <c r="G504" s="25">
        <f>6958+33972</f>
        <v>40930</v>
      </c>
      <c r="H504" s="25">
        <v>7239</v>
      </c>
      <c r="I504" s="25">
        <v>7528</v>
      </c>
    </row>
    <row r="505" spans="1:17" s="117" customFormat="1" ht="89.25" x14ac:dyDescent="0.2">
      <c r="A505" s="228" t="s">
        <v>278</v>
      </c>
      <c r="B505" s="229">
        <v>915</v>
      </c>
      <c r="C505" s="230" t="s">
        <v>51</v>
      </c>
      <c r="D505" s="230" t="s">
        <v>18</v>
      </c>
      <c r="E505" s="230" t="s">
        <v>101</v>
      </c>
      <c r="F505" s="230"/>
      <c r="G505" s="231">
        <f>G506</f>
        <v>749</v>
      </c>
      <c r="H505" s="231">
        <f>H506</f>
        <v>309</v>
      </c>
      <c r="I505" s="231">
        <f>I506</f>
        <v>321</v>
      </c>
    </row>
    <row r="506" spans="1:17" s="118" customFormat="1" x14ac:dyDescent="0.2">
      <c r="A506" s="224" t="s">
        <v>69</v>
      </c>
      <c r="B506" s="227">
        <v>915</v>
      </c>
      <c r="C506" s="225" t="s">
        <v>51</v>
      </c>
      <c r="D506" s="225" t="s">
        <v>18</v>
      </c>
      <c r="E506" s="225" t="s">
        <v>101</v>
      </c>
      <c r="F506" s="225" t="s">
        <v>70</v>
      </c>
      <c r="G506" s="226">
        <f>299+300+150</f>
        <v>749</v>
      </c>
      <c r="H506" s="226">
        <v>309</v>
      </c>
      <c r="I506" s="226">
        <v>321</v>
      </c>
    </row>
    <row r="507" spans="1:17" ht="102" x14ac:dyDescent="0.2">
      <c r="A507" s="18" t="s">
        <v>279</v>
      </c>
      <c r="B507" s="22">
        <v>915</v>
      </c>
      <c r="C507" s="19" t="s">
        <v>51</v>
      </c>
      <c r="D507" s="19" t="s">
        <v>18</v>
      </c>
      <c r="E507" s="19" t="s">
        <v>105</v>
      </c>
      <c r="F507" s="19"/>
      <c r="G507" s="20">
        <f>G509+G508</f>
        <v>52961</v>
      </c>
      <c r="H507" s="20">
        <f>H509+H508</f>
        <v>58103</v>
      </c>
      <c r="I507" s="20">
        <f>I509+I508</f>
        <v>60334</v>
      </c>
      <c r="J507" s="117"/>
      <c r="K507" s="117"/>
      <c r="L507" s="117"/>
      <c r="M507" s="117"/>
      <c r="N507" s="117"/>
      <c r="O507" s="117"/>
      <c r="P507" s="117"/>
      <c r="Q507" s="117"/>
    </row>
    <row r="508" spans="1:17" s="26" customFormat="1" ht="25.5" x14ac:dyDescent="0.2">
      <c r="A508" s="28" t="s">
        <v>76</v>
      </c>
      <c r="B508" s="23">
        <v>915</v>
      </c>
      <c r="C508" s="24" t="s">
        <v>51</v>
      </c>
      <c r="D508" s="24" t="s">
        <v>18</v>
      </c>
      <c r="E508" s="19" t="s">
        <v>105</v>
      </c>
      <c r="F508" s="27" t="s">
        <v>68</v>
      </c>
      <c r="G508" s="25">
        <v>1</v>
      </c>
      <c r="H508" s="25">
        <v>1</v>
      </c>
      <c r="I508" s="25">
        <v>1</v>
      </c>
    </row>
    <row r="509" spans="1:17" s="26" customFormat="1" x14ac:dyDescent="0.2">
      <c r="A509" s="28" t="s">
        <v>69</v>
      </c>
      <c r="B509" s="31">
        <v>915</v>
      </c>
      <c r="C509" s="24" t="s">
        <v>51</v>
      </c>
      <c r="D509" s="24" t="s">
        <v>18</v>
      </c>
      <c r="E509" s="19" t="s">
        <v>105</v>
      </c>
      <c r="F509" s="24" t="s">
        <v>70</v>
      </c>
      <c r="G509" s="25">
        <f>55747-2787</f>
        <v>52960</v>
      </c>
      <c r="H509" s="25">
        <v>58102</v>
      </c>
      <c r="I509" s="25">
        <v>60333</v>
      </c>
      <c r="J509" s="118"/>
      <c r="K509" s="118"/>
      <c r="L509" s="118"/>
      <c r="M509" s="118"/>
      <c r="N509" s="118"/>
      <c r="O509" s="118"/>
      <c r="P509" s="118"/>
      <c r="Q509" s="118"/>
    </row>
    <row r="510" spans="1:17" s="21" customFormat="1" ht="38.25" x14ac:dyDescent="0.2">
      <c r="A510" s="54" t="s">
        <v>338</v>
      </c>
      <c r="B510" s="49">
        <v>915</v>
      </c>
      <c r="C510" s="19" t="s">
        <v>51</v>
      </c>
      <c r="D510" s="19" t="s">
        <v>18</v>
      </c>
      <c r="E510" s="19" t="s">
        <v>374</v>
      </c>
      <c r="F510" s="19"/>
      <c r="G510" s="20">
        <f>G511</f>
        <v>205</v>
      </c>
      <c r="H510" s="20">
        <f t="shared" ref="H510:I510" si="87">H511</f>
        <v>213</v>
      </c>
      <c r="I510" s="20">
        <f t="shared" si="87"/>
        <v>222</v>
      </c>
    </row>
    <row r="511" spans="1:17" s="26" customFormat="1" ht="25.5" x14ac:dyDescent="0.2">
      <c r="A511" s="28" t="s">
        <v>76</v>
      </c>
      <c r="B511" s="23">
        <v>915</v>
      </c>
      <c r="C511" s="24" t="s">
        <v>51</v>
      </c>
      <c r="D511" s="24" t="s">
        <v>18</v>
      </c>
      <c r="E511" s="24" t="s">
        <v>374</v>
      </c>
      <c r="F511" s="27" t="s">
        <v>68</v>
      </c>
      <c r="G511" s="25">
        <v>205</v>
      </c>
      <c r="H511" s="25">
        <v>213</v>
      </c>
      <c r="I511" s="25">
        <v>222</v>
      </c>
    </row>
    <row r="512" spans="1:17" s="21" customFormat="1" ht="39" customHeight="1" x14ac:dyDescent="0.2">
      <c r="A512" s="18" t="s">
        <v>336</v>
      </c>
      <c r="B512" s="22">
        <v>915</v>
      </c>
      <c r="C512" s="19" t="s">
        <v>51</v>
      </c>
      <c r="D512" s="19" t="s">
        <v>18</v>
      </c>
      <c r="E512" s="19" t="s">
        <v>107</v>
      </c>
      <c r="F512" s="19"/>
      <c r="G512" s="20">
        <f>G514+G513</f>
        <v>29684</v>
      </c>
      <c r="H512" s="20">
        <f>H514+H513</f>
        <v>29684</v>
      </c>
      <c r="I512" s="20">
        <f>I514+I513</f>
        <v>29684</v>
      </c>
    </row>
    <row r="513" spans="1:17" s="26" customFormat="1" ht="25.5" x14ac:dyDescent="0.2">
      <c r="A513" s="28" t="s">
        <v>76</v>
      </c>
      <c r="B513" s="23">
        <v>915</v>
      </c>
      <c r="C513" s="24" t="s">
        <v>51</v>
      </c>
      <c r="D513" s="24" t="s">
        <v>18</v>
      </c>
      <c r="E513" s="24" t="s">
        <v>107</v>
      </c>
      <c r="F513" s="27" t="s">
        <v>68</v>
      </c>
      <c r="G513" s="25">
        <v>1</v>
      </c>
      <c r="H513" s="25">
        <v>1</v>
      </c>
      <c r="I513" s="25">
        <v>1</v>
      </c>
    </row>
    <row r="514" spans="1:17" s="26" customFormat="1" x14ac:dyDescent="0.2">
      <c r="A514" s="28" t="s">
        <v>69</v>
      </c>
      <c r="B514" s="31">
        <v>915</v>
      </c>
      <c r="C514" s="24" t="s">
        <v>51</v>
      </c>
      <c r="D514" s="24" t="s">
        <v>18</v>
      </c>
      <c r="E514" s="24" t="s">
        <v>107</v>
      </c>
      <c r="F514" s="24" t="s">
        <v>70</v>
      </c>
      <c r="G514" s="25">
        <v>29683</v>
      </c>
      <c r="H514" s="25">
        <v>29683</v>
      </c>
      <c r="I514" s="25">
        <v>29683</v>
      </c>
    </row>
    <row r="515" spans="1:17" s="9" customFormat="1" x14ac:dyDescent="0.2">
      <c r="A515" s="11" t="s">
        <v>57</v>
      </c>
      <c r="B515" s="14">
        <v>915</v>
      </c>
      <c r="C515" s="8" t="s">
        <v>51</v>
      </c>
      <c r="D515" s="8" t="s">
        <v>50</v>
      </c>
      <c r="E515" s="8"/>
      <c r="F515" s="8"/>
      <c r="G515" s="4">
        <f>G518+G521+G527+G525+G536+G523+G533+G531+G516</f>
        <v>38598.799999999996</v>
      </c>
      <c r="H515" s="4">
        <f>H518+H521+H527+H525+H536+H523+H533+H531+H516</f>
        <v>27010.199999999997</v>
      </c>
      <c r="I515" s="4">
        <f>I518+I521+I527+I525+I536+I523+I533+I531+I516</f>
        <v>27010.199999999997</v>
      </c>
      <c r="J515" s="4" t="e">
        <f>J518+J521+J527+J525+J536+J523+J533+#REF!</f>
        <v>#REF!</v>
      </c>
      <c r="K515" s="4" t="e">
        <f>K518+K521+K527+K525+K536+K523+K533+#REF!</f>
        <v>#REF!</v>
      </c>
      <c r="L515" s="4" t="e">
        <f>L518+L521+L527+L525+L536+L523+L533+#REF!</f>
        <v>#REF!</v>
      </c>
      <c r="M515" s="4" t="e">
        <f>M518+M521+M527+M525+M536+M523+M533+#REF!</f>
        <v>#REF!</v>
      </c>
      <c r="N515" s="4" t="e">
        <f>N518+N521+N527+N525+N536+N523+N533+#REF!</f>
        <v>#REF!</v>
      </c>
      <c r="O515" s="4" t="e">
        <f>O518+O521+O527+O525+O536+O523+O533+#REF!</f>
        <v>#REF!</v>
      </c>
      <c r="P515" s="4" t="e">
        <f>P518+P521+P527+P525+P536+P523+P533+#REF!</f>
        <v>#REF!</v>
      </c>
      <c r="Q515" s="4" t="e">
        <f>Q518+Q521+Q527+Q525+Q536+Q523+Q533+#REF!</f>
        <v>#REF!</v>
      </c>
    </row>
    <row r="516" spans="1:17" s="117" customFormat="1" ht="38.25" x14ac:dyDescent="0.2">
      <c r="A516" s="228" t="s">
        <v>730</v>
      </c>
      <c r="B516" s="229">
        <v>915</v>
      </c>
      <c r="C516" s="230" t="s">
        <v>51</v>
      </c>
      <c r="D516" s="230" t="s">
        <v>50</v>
      </c>
      <c r="E516" s="230" t="s">
        <v>731</v>
      </c>
      <c r="F516" s="230"/>
      <c r="G516" s="231">
        <f>G517</f>
        <v>200</v>
      </c>
      <c r="H516" s="231">
        <f t="shared" ref="H516:I516" si="88">H517</f>
        <v>0</v>
      </c>
      <c r="I516" s="231">
        <f t="shared" si="88"/>
        <v>0</v>
      </c>
    </row>
    <row r="517" spans="1:17" s="118" customFormat="1" ht="25.5" x14ac:dyDescent="0.2">
      <c r="A517" s="224" t="s">
        <v>76</v>
      </c>
      <c r="B517" s="227">
        <v>915</v>
      </c>
      <c r="C517" s="225" t="s">
        <v>51</v>
      </c>
      <c r="D517" s="225" t="s">
        <v>50</v>
      </c>
      <c r="E517" s="225" t="s">
        <v>731</v>
      </c>
      <c r="F517" s="225" t="s">
        <v>68</v>
      </c>
      <c r="G517" s="226">
        <v>200</v>
      </c>
      <c r="H517" s="226">
        <v>0</v>
      </c>
      <c r="I517" s="226">
        <v>0</v>
      </c>
    </row>
    <row r="518" spans="1:17" s="117" customFormat="1" x14ac:dyDescent="0.2">
      <c r="A518" s="228" t="s">
        <v>280</v>
      </c>
      <c r="B518" s="229">
        <v>915</v>
      </c>
      <c r="C518" s="230" t="s">
        <v>51</v>
      </c>
      <c r="D518" s="230" t="s">
        <v>50</v>
      </c>
      <c r="E518" s="230" t="s">
        <v>281</v>
      </c>
      <c r="F518" s="230"/>
      <c r="G518" s="231">
        <f>G519+G520</f>
        <v>1885.7</v>
      </c>
      <c r="H518" s="231">
        <f>H519+H520</f>
        <v>0</v>
      </c>
      <c r="I518" s="231">
        <f>I519+I520</f>
        <v>0</v>
      </c>
    </row>
    <row r="519" spans="1:17" s="118" customFormat="1" ht="25.5" x14ac:dyDescent="0.2">
      <c r="A519" s="224" t="s">
        <v>76</v>
      </c>
      <c r="B519" s="227">
        <v>915</v>
      </c>
      <c r="C519" s="225" t="s">
        <v>51</v>
      </c>
      <c r="D519" s="225" t="s">
        <v>50</v>
      </c>
      <c r="E519" s="225" t="s">
        <v>281</v>
      </c>
      <c r="F519" s="225" t="s">
        <v>68</v>
      </c>
      <c r="G519" s="226">
        <f>2.5+60+5+681.2+400+5-159+100+30+175+100</f>
        <v>1399.7</v>
      </c>
      <c r="H519" s="226">
        <v>0</v>
      </c>
      <c r="I519" s="226">
        <v>0</v>
      </c>
    </row>
    <row r="520" spans="1:17" s="79" customFormat="1" x14ac:dyDescent="0.2">
      <c r="A520" s="87" t="s">
        <v>69</v>
      </c>
      <c r="B520" s="85">
        <v>915</v>
      </c>
      <c r="C520" s="82" t="s">
        <v>51</v>
      </c>
      <c r="D520" s="82" t="s">
        <v>50</v>
      </c>
      <c r="E520" s="82" t="s">
        <v>281</v>
      </c>
      <c r="F520" s="83" t="s">
        <v>70</v>
      </c>
      <c r="G520" s="62">
        <f>418+68</f>
        <v>486</v>
      </c>
      <c r="H520" s="62">
        <v>0</v>
      </c>
      <c r="I520" s="62">
        <v>0</v>
      </c>
    </row>
    <row r="521" spans="1:17" s="21" customFormat="1" x14ac:dyDescent="0.2">
      <c r="A521" s="18" t="s">
        <v>282</v>
      </c>
      <c r="B521" s="22">
        <v>915</v>
      </c>
      <c r="C521" s="19" t="s">
        <v>51</v>
      </c>
      <c r="D521" s="19" t="s">
        <v>50</v>
      </c>
      <c r="E521" s="19" t="s">
        <v>283</v>
      </c>
      <c r="F521" s="19"/>
      <c r="G521" s="20">
        <f>G522</f>
        <v>976.2</v>
      </c>
      <c r="H521" s="20">
        <f>H522</f>
        <v>0</v>
      </c>
      <c r="I521" s="20">
        <f>I522</f>
        <v>0</v>
      </c>
      <c r="J521" s="117"/>
      <c r="K521" s="117"/>
      <c r="L521" s="117"/>
      <c r="M521" s="117"/>
      <c r="N521" s="117"/>
      <c r="O521" s="117"/>
      <c r="P521" s="117"/>
      <c r="Q521" s="117"/>
    </row>
    <row r="522" spans="1:17" s="26" customFormat="1" ht="25.5" x14ac:dyDescent="0.2">
      <c r="A522" s="28" t="s">
        <v>141</v>
      </c>
      <c r="B522" s="31">
        <v>915</v>
      </c>
      <c r="C522" s="24" t="s">
        <v>51</v>
      </c>
      <c r="D522" s="24" t="s">
        <v>50</v>
      </c>
      <c r="E522" s="24" t="s">
        <v>283</v>
      </c>
      <c r="F522" s="24" t="s">
        <v>65</v>
      </c>
      <c r="G522" s="25">
        <v>976.2</v>
      </c>
      <c r="H522" s="62">
        <v>0</v>
      </c>
      <c r="I522" s="62">
        <v>0</v>
      </c>
      <c r="J522" s="118"/>
      <c r="K522" s="118"/>
      <c r="L522" s="118"/>
      <c r="M522" s="118"/>
      <c r="N522" s="118"/>
      <c r="O522" s="118"/>
      <c r="P522" s="118"/>
      <c r="Q522" s="118"/>
    </row>
    <row r="523" spans="1:17" x14ac:dyDescent="0.2">
      <c r="A523" s="18" t="s">
        <v>322</v>
      </c>
      <c r="B523" s="22">
        <v>915</v>
      </c>
      <c r="C523" s="19" t="s">
        <v>51</v>
      </c>
      <c r="D523" s="19" t="s">
        <v>50</v>
      </c>
      <c r="E523" s="19" t="s">
        <v>323</v>
      </c>
      <c r="F523" s="19"/>
      <c r="G523" s="20">
        <f>G524</f>
        <v>120</v>
      </c>
      <c r="H523" s="20">
        <f>H524</f>
        <v>0</v>
      </c>
      <c r="I523" s="20">
        <f>I524</f>
        <v>0</v>
      </c>
      <c r="J523" s="117"/>
      <c r="K523" s="117"/>
      <c r="L523" s="117"/>
      <c r="M523" s="117"/>
      <c r="N523" s="117"/>
      <c r="O523" s="117"/>
      <c r="P523" s="117"/>
      <c r="Q523" s="117"/>
    </row>
    <row r="524" spans="1:17" s="26" customFormat="1" x14ac:dyDescent="0.2">
      <c r="A524" s="28" t="s">
        <v>72</v>
      </c>
      <c r="B524" s="31">
        <v>915</v>
      </c>
      <c r="C524" s="24" t="s">
        <v>51</v>
      </c>
      <c r="D524" s="24" t="s">
        <v>50</v>
      </c>
      <c r="E524" s="24" t="s">
        <v>323</v>
      </c>
      <c r="F524" s="24" t="s">
        <v>73</v>
      </c>
      <c r="G524" s="25">
        <f>300-180</f>
        <v>120</v>
      </c>
      <c r="H524" s="25">
        <v>0</v>
      </c>
      <c r="I524" s="25">
        <v>0</v>
      </c>
      <c r="J524" s="118"/>
      <c r="K524" s="118"/>
      <c r="L524" s="118"/>
      <c r="M524" s="118"/>
      <c r="N524" s="118"/>
      <c r="O524" s="118"/>
      <c r="P524" s="118"/>
      <c r="Q524" s="118"/>
    </row>
    <row r="525" spans="1:17" s="79" customFormat="1" ht="25.5" x14ac:dyDescent="0.2">
      <c r="A525" s="75" t="s">
        <v>417</v>
      </c>
      <c r="B525" s="76">
        <v>915</v>
      </c>
      <c r="C525" s="77" t="s">
        <v>51</v>
      </c>
      <c r="D525" s="77" t="s">
        <v>50</v>
      </c>
      <c r="E525" s="77" t="s">
        <v>416</v>
      </c>
      <c r="F525" s="77"/>
      <c r="G525" s="78">
        <f>G526</f>
        <v>17.8</v>
      </c>
      <c r="H525" s="78">
        <f>H526</f>
        <v>0</v>
      </c>
      <c r="I525" s="78">
        <f>I526</f>
        <v>0</v>
      </c>
    </row>
    <row r="526" spans="1:17" s="84" customFormat="1" ht="25.5" x14ac:dyDescent="0.2">
      <c r="A526" s="28" t="s">
        <v>76</v>
      </c>
      <c r="B526" s="86">
        <v>915</v>
      </c>
      <c r="C526" s="82" t="s">
        <v>51</v>
      </c>
      <c r="D526" s="82" t="s">
        <v>50</v>
      </c>
      <c r="E526" s="82" t="s">
        <v>416</v>
      </c>
      <c r="F526" s="82" t="s">
        <v>68</v>
      </c>
      <c r="G526" s="62">
        <v>17.8</v>
      </c>
      <c r="H526" s="62">
        <v>0</v>
      </c>
      <c r="I526" s="62">
        <v>0</v>
      </c>
    </row>
    <row r="527" spans="1:17" s="117" customFormat="1" ht="38.25" x14ac:dyDescent="0.2">
      <c r="A527" s="228" t="s">
        <v>284</v>
      </c>
      <c r="B527" s="229">
        <v>915</v>
      </c>
      <c r="C527" s="230" t="s">
        <v>51</v>
      </c>
      <c r="D527" s="230" t="s">
        <v>50</v>
      </c>
      <c r="E527" s="230" t="s">
        <v>99</v>
      </c>
      <c r="F527" s="230"/>
      <c r="G527" s="231">
        <f>G528+G529+G530</f>
        <v>27193.799999999996</v>
      </c>
      <c r="H527" s="231">
        <f>H528+H529+H530</f>
        <v>27010.199999999997</v>
      </c>
      <c r="I527" s="231">
        <f>I528+I529+I530</f>
        <v>27010.199999999997</v>
      </c>
    </row>
    <row r="528" spans="1:17" s="26" customFormat="1" ht="51.75" customHeight="1" x14ac:dyDescent="0.2">
      <c r="A528" s="23" t="s">
        <v>66</v>
      </c>
      <c r="B528" s="31">
        <v>915</v>
      </c>
      <c r="C528" s="24" t="s">
        <v>51</v>
      </c>
      <c r="D528" s="24" t="s">
        <v>50</v>
      </c>
      <c r="E528" s="24" t="s">
        <v>99</v>
      </c>
      <c r="F528" s="27" t="s">
        <v>67</v>
      </c>
      <c r="G528" s="25">
        <f>21625.3+4288.9+38</f>
        <v>25952.199999999997</v>
      </c>
      <c r="H528" s="25">
        <f>21625.3+4288.9</f>
        <v>25914.199999999997</v>
      </c>
      <c r="I528" s="25">
        <f>21625.3+4288.9</f>
        <v>25914.199999999997</v>
      </c>
    </row>
    <row r="529" spans="1:17" s="118" customFormat="1" ht="25.5" x14ac:dyDescent="0.2">
      <c r="A529" s="224" t="s">
        <v>76</v>
      </c>
      <c r="B529" s="227">
        <v>915</v>
      </c>
      <c r="C529" s="225" t="s">
        <v>51</v>
      </c>
      <c r="D529" s="225" t="s">
        <v>50</v>
      </c>
      <c r="E529" s="225" t="s">
        <v>99</v>
      </c>
      <c r="F529" s="248" t="s">
        <v>68</v>
      </c>
      <c r="G529" s="226">
        <f>1088.4-38+183.6</f>
        <v>1234</v>
      </c>
      <c r="H529" s="226">
        <v>1088.4000000000001</v>
      </c>
      <c r="I529" s="226">
        <v>1088.4000000000001</v>
      </c>
    </row>
    <row r="530" spans="1:17" s="84" customFormat="1" x14ac:dyDescent="0.2">
      <c r="A530" s="87" t="s">
        <v>72</v>
      </c>
      <c r="B530" s="86">
        <v>915</v>
      </c>
      <c r="C530" s="82" t="s">
        <v>51</v>
      </c>
      <c r="D530" s="82" t="s">
        <v>50</v>
      </c>
      <c r="E530" s="82" t="s">
        <v>99</v>
      </c>
      <c r="F530" s="82" t="s">
        <v>73</v>
      </c>
      <c r="G530" s="62">
        <v>7.6</v>
      </c>
      <c r="H530" s="62">
        <v>7.6</v>
      </c>
      <c r="I530" s="62">
        <v>7.6</v>
      </c>
    </row>
    <row r="531" spans="1:17" s="117" customFormat="1" ht="25.5" x14ac:dyDescent="0.2">
      <c r="A531" s="228" t="s">
        <v>678</v>
      </c>
      <c r="B531" s="229">
        <v>915</v>
      </c>
      <c r="C531" s="230" t="s">
        <v>51</v>
      </c>
      <c r="D531" s="230" t="s">
        <v>50</v>
      </c>
      <c r="E531" s="230" t="s">
        <v>679</v>
      </c>
      <c r="F531" s="230"/>
      <c r="G531" s="231">
        <f>G532</f>
        <v>7725.3</v>
      </c>
      <c r="H531" s="231">
        <f t="shared" ref="H531:I531" si="89">H532</f>
        <v>0</v>
      </c>
      <c r="I531" s="231">
        <f t="shared" si="89"/>
        <v>0</v>
      </c>
    </row>
    <row r="532" spans="1:17" s="127" customFormat="1" ht="25.5" x14ac:dyDescent="0.2">
      <c r="A532" s="224" t="s">
        <v>141</v>
      </c>
      <c r="B532" s="229">
        <v>915</v>
      </c>
      <c r="C532" s="230" t="s">
        <v>51</v>
      </c>
      <c r="D532" s="230" t="s">
        <v>50</v>
      </c>
      <c r="E532" s="230" t="s">
        <v>679</v>
      </c>
      <c r="F532" s="230" t="s">
        <v>65</v>
      </c>
      <c r="G532" s="231">
        <f>13079-5353.7</f>
        <v>7725.3</v>
      </c>
      <c r="H532" s="231">
        <v>0</v>
      </c>
      <c r="I532" s="231">
        <v>0</v>
      </c>
    </row>
    <row r="533" spans="1:17" x14ac:dyDescent="0.2">
      <c r="A533" s="18" t="s">
        <v>177</v>
      </c>
      <c r="B533" s="18">
        <v>915</v>
      </c>
      <c r="C533" s="19" t="s">
        <v>51</v>
      </c>
      <c r="D533" s="19" t="s">
        <v>50</v>
      </c>
      <c r="E533" s="16" t="s">
        <v>178</v>
      </c>
      <c r="F533" s="19"/>
      <c r="G533" s="4">
        <f>G534+G535</f>
        <v>450</v>
      </c>
      <c r="H533" s="4">
        <f>H534+H535</f>
        <v>0</v>
      </c>
      <c r="I533" s="4">
        <f>I534+I535</f>
        <v>0</v>
      </c>
      <c r="J533" s="117"/>
      <c r="K533" s="117"/>
      <c r="L533" s="117"/>
      <c r="M533" s="117"/>
      <c r="N533" s="117"/>
      <c r="O533" s="117"/>
      <c r="P533" s="117"/>
      <c r="Q533" s="117"/>
    </row>
    <row r="534" spans="1:17" ht="25.5" x14ac:dyDescent="0.2">
      <c r="A534" s="28" t="s">
        <v>76</v>
      </c>
      <c r="B534" s="18">
        <v>915</v>
      </c>
      <c r="C534" s="24" t="s">
        <v>51</v>
      </c>
      <c r="D534" s="24" t="s">
        <v>50</v>
      </c>
      <c r="E534" s="24" t="s">
        <v>178</v>
      </c>
      <c r="F534" s="24" t="s">
        <v>68</v>
      </c>
      <c r="G534" s="20">
        <f>118.5+30-30-58.5</f>
        <v>60</v>
      </c>
      <c r="H534" s="25">
        <v>0</v>
      </c>
      <c r="I534" s="25">
        <v>0</v>
      </c>
      <c r="J534" s="117"/>
      <c r="K534" s="117"/>
      <c r="L534" s="117"/>
      <c r="M534" s="117"/>
      <c r="N534" s="117"/>
      <c r="O534" s="117"/>
      <c r="P534" s="117"/>
      <c r="Q534" s="117"/>
    </row>
    <row r="535" spans="1:17" x14ac:dyDescent="0.2">
      <c r="A535" s="28" t="s">
        <v>69</v>
      </c>
      <c r="B535" s="18">
        <v>915</v>
      </c>
      <c r="C535" s="24" t="s">
        <v>51</v>
      </c>
      <c r="D535" s="24" t="s">
        <v>50</v>
      </c>
      <c r="E535" s="24" t="s">
        <v>178</v>
      </c>
      <c r="F535" s="24" t="s">
        <v>70</v>
      </c>
      <c r="G535" s="20">
        <f>172.5+217.5</f>
        <v>390</v>
      </c>
      <c r="H535" s="25">
        <v>0</v>
      </c>
      <c r="I535" s="25">
        <v>0</v>
      </c>
      <c r="J535" s="117"/>
      <c r="K535" s="117"/>
      <c r="L535" s="117"/>
      <c r="M535" s="117"/>
      <c r="N535" s="117"/>
      <c r="O535" s="117"/>
      <c r="P535" s="117"/>
      <c r="Q535" s="117"/>
    </row>
    <row r="536" spans="1:17" s="79" customFormat="1" x14ac:dyDescent="0.2">
      <c r="A536" s="75" t="s">
        <v>429</v>
      </c>
      <c r="B536" s="75">
        <v>915</v>
      </c>
      <c r="C536" s="77" t="s">
        <v>51</v>
      </c>
      <c r="D536" s="77" t="s">
        <v>50</v>
      </c>
      <c r="E536" s="111" t="s">
        <v>428</v>
      </c>
      <c r="F536" s="77"/>
      <c r="G536" s="73">
        <f>G537</f>
        <v>30</v>
      </c>
      <c r="H536" s="73">
        <f t="shared" ref="H536:I536" si="90">H537</f>
        <v>0</v>
      </c>
      <c r="I536" s="73">
        <f t="shared" si="90"/>
        <v>0</v>
      </c>
    </row>
    <row r="537" spans="1:17" s="21" customFormat="1" ht="25.5" x14ac:dyDescent="0.2">
      <c r="A537" s="28" t="s">
        <v>76</v>
      </c>
      <c r="B537" s="18">
        <v>915</v>
      </c>
      <c r="C537" s="24" t="s">
        <v>51</v>
      </c>
      <c r="D537" s="24" t="s">
        <v>50</v>
      </c>
      <c r="E537" s="24" t="s">
        <v>428</v>
      </c>
      <c r="F537" s="24" t="s">
        <v>68</v>
      </c>
      <c r="G537" s="20">
        <v>30</v>
      </c>
      <c r="H537" s="62">
        <v>0</v>
      </c>
      <c r="I537" s="62">
        <v>0</v>
      </c>
    </row>
    <row r="538" spans="1:17" s="9" customFormat="1" ht="30.75" customHeight="1" x14ac:dyDescent="0.2">
      <c r="A538" s="40" t="s">
        <v>48</v>
      </c>
      <c r="B538" s="37">
        <v>919</v>
      </c>
      <c r="C538" s="41"/>
      <c r="D538" s="41"/>
      <c r="E538" s="41"/>
      <c r="F538" s="41"/>
      <c r="G538" s="39">
        <f>G547+G564+G614+G543+G539</f>
        <v>459349.99407000007</v>
      </c>
      <c r="H538" s="39">
        <f>H547+H564+H614+H543+H539</f>
        <v>41568.800000000003</v>
      </c>
      <c r="I538" s="39">
        <f>I547+I564+I614+I543+I539</f>
        <v>41001.599999999999</v>
      </c>
      <c r="J538" s="39">
        <f t="shared" ref="J538:Q538" si="91">J547+J564+J614+J543</f>
        <v>0</v>
      </c>
      <c r="K538" s="39">
        <f t="shared" si="91"/>
        <v>0</v>
      </c>
      <c r="L538" s="39">
        <f t="shared" si="91"/>
        <v>0</v>
      </c>
      <c r="M538" s="39">
        <f t="shared" si="91"/>
        <v>0</v>
      </c>
      <c r="N538" s="39">
        <f t="shared" si="91"/>
        <v>0</v>
      </c>
      <c r="O538" s="39">
        <f t="shared" si="91"/>
        <v>0</v>
      </c>
      <c r="P538" s="39">
        <f t="shared" si="91"/>
        <v>0</v>
      </c>
      <c r="Q538" s="39">
        <f t="shared" si="91"/>
        <v>0</v>
      </c>
    </row>
    <row r="539" spans="1:17" s="9" customFormat="1" x14ac:dyDescent="0.2">
      <c r="A539" s="13" t="s">
        <v>60</v>
      </c>
      <c r="B539" s="42">
        <v>919</v>
      </c>
      <c r="C539" s="1" t="s">
        <v>12</v>
      </c>
      <c r="D539" s="1"/>
      <c r="E539" s="1"/>
      <c r="F539" s="1"/>
      <c r="G539" s="4">
        <f>G540</f>
        <v>2042.9</v>
      </c>
      <c r="H539" s="4">
        <f t="shared" ref="H539:I541" si="92">H540</f>
        <v>0</v>
      </c>
      <c r="I539" s="4">
        <f t="shared" si="92"/>
        <v>0</v>
      </c>
      <c r="J539" s="234"/>
      <c r="K539" s="234"/>
      <c r="L539" s="234"/>
      <c r="M539" s="234"/>
      <c r="N539" s="234"/>
      <c r="O539" s="234"/>
      <c r="P539" s="234"/>
      <c r="Q539" s="234"/>
    </row>
    <row r="540" spans="1:17" s="9" customFormat="1" x14ac:dyDescent="0.2">
      <c r="A540" s="11" t="s">
        <v>24</v>
      </c>
      <c r="B540" s="14">
        <v>919</v>
      </c>
      <c r="C540" s="8" t="s">
        <v>12</v>
      </c>
      <c r="D540" s="8" t="s">
        <v>61</v>
      </c>
      <c r="E540" s="8"/>
      <c r="F540" s="8"/>
      <c r="G540" s="4">
        <f>G541</f>
        <v>2042.9</v>
      </c>
      <c r="H540" s="4">
        <f t="shared" si="92"/>
        <v>0</v>
      </c>
      <c r="I540" s="4">
        <f t="shared" si="92"/>
        <v>0</v>
      </c>
      <c r="J540" s="234"/>
      <c r="K540" s="234"/>
      <c r="L540" s="234"/>
      <c r="M540" s="234"/>
      <c r="N540" s="234"/>
      <c r="O540" s="234"/>
      <c r="P540" s="234"/>
      <c r="Q540" s="234"/>
    </row>
    <row r="541" spans="1:17" s="127" customFormat="1" x14ac:dyDescent="0.2">
      <c r="A541" s="228" t="s">
        <v>203</v>
      </c>
      <c r="B541" s="229">
        <v>919</v>
      </c>
      <c r="C541" s="230" t="s">
        <v>12</v>
      </c>
      <c r="D541" s="230" t="s">
        <v>61</v>
      </c>
      <c r="E541" s="249" t="s">
        <v>204</v>
      </c>
      <c r="F541" s="249"/>
      <c r="G541" s="231">
        <f>G542</f>
        <v>2042.9</v>
      </c>
      <c r="H541" s="231">
        <f t="shared" si="92"/>
        <v>0</v>
      </c>
      <c r="I541" s="231">
        <f t="shared" si="92"/>
        <v>0</v>
      </c>
      <c r="J541" s="243"/>
      <c r="K541" s="243"/>
      <c r="L541" s="243"/>
      <c r="M541" s="243"/>
      <c r="N541" s="243"/>
      <c r="O541" s="243"/>
      <c r="P541" s="243"/>
      <c r="Q541" s="243"/>
    </row>
    <row r="542" spans="1:17" s="127" customFormat="1" ht="25.5" x14ac:dyDescent="0.2">
      <c r="A542" s="224" t="s">
        <v>141</v>
      </c>
      <c r="B542" s="241">
        <v>919</v>
      </c>
      <c r="C542" s="225" t="s">
        <v>12</v>
      </c>
      <c r="D542" s="225" t="s">
        <v>61</v>
      </c>
      <c r="E542" s="225" t="s">
        <v>204</v>
      </c>
      <c r="F542" s="248" t="s">
        <v>65</v>
      </c>
      <c r="G542" s="231">
        <f>907.1+521.9+613.9</f>
        <v>2042.9</v>
      </c>
      <c r="H542" s="231">
        <v>0</v>
      </c>
      <c r="I542" s="231">
        <v>0</v>
      </c>
      <c r="J542" s="243"/>
      <c r="K542" s="243"/>
      <c r="L542" s="243"/>
      <c r="M542" s="243"/>
      <c r="N542" s="243"/>
      <c r="O542" s="243"/>
      <c r="P542" s="243"/>
      <c r="Q542" s="243"/>
    </row>
    <row r="543" spans="1:17" s="3" customFormat="1" ht="25.5" x14ac:dyDescent="0.2">
      <c r="A543" s="13" t="s">
        <v>5</v>
      </c>
      <c r="B543" s="42">
        <v>919</v>
      </c>
      <c r="C543" s="1" t="s">
        <v>16</v>
      </c>
      <c r="D543" s="1"/>
      <c r="E543" s="1"/>
      <c r="F543" s="1"/>
      <c r="G543" s="2">
        <f t="shared" ref="G543:I545" si="93">G544</f>
        <v>2879.4999999999995</v>
      </c>
      <c r="H543" s="2">
        <f t="shared" si="93"/>
        <v>0</v>
      </c>
      <c r="I543" s="2">
        <f t="shared" si="93"/>
        <v>0</v>
      </c>
    </row>
    <row r="544" spans="1:17" s="127" customFormat="1" ht="38.25" x14ac:dyDescent="0.2">
      <c r="A544" s="258" t="s">
        <v>81</v>
      </c>
      <c r="B544" s="259">
        <v>919</v>
      </c>
      <c r="C544" s="260" t="s">
        <v>16</v>
      </c>
      <c r="D544" s="260" t="s">
        <v>26</v>
      </c>
      <c r="E544" s="260"/>
      <c r="F544" s="260"/>
      <c r="G544" s="261">
        <f t="shared" si="93"/>
        <v>2879.4999999999995</v>
      </c>
      <c r="H544" s="261">
        <f t="shared" si="93"/>
        <v>0</v>
      </c>
      <c r="I544" s="261">
        <f t="shared" si="93"/>
        <v>0</v>
      </c>
    </row>
    <row r="545" spans="1:17" s="118" customFormat="1" x14ac:dyDescent="0.2">
      <c r="A545" s="262" t="s">
        <v>160</v>
      </c>
      <c r="B545" s="262">
        <v>919</v>
      </c>
      <c r="C545" s="230" t="s">
        <v>16</v>
      </c>
      <c r="D545" s="230" t="s">
        <v>26</v>
      </c>
      <c r="E545" s="230" t="s">
        <v>161</v>
      </c>
      <c r="F545" s="230"/>
      <c r="G545" s="231">
        <f t="shared" si="93"/>
        <v>2879.4999999999995</v>
      </c>
      <c r="H545" s="231">
        <f t="shared" si="93"/>
        <v>0</v>
      </c>
      <c r="I545" s="231">
        <f t="shared" si="93"/>
        <v>0</v>
      </c>
    </row>
    <row r="546" spans="1:17" s="118" customFormat="1" ht="25.5" x14ac:dyDescent="0.2">
      <c r="A546" s="224" t="s">
        <v>141</v>
      </c>
      <c r="B546" s="253">
        <v>919</v>
      </c>
      <c r="C546" s="225" t="s">
        <v>16</v>
      </c>
      <c r="D546" s="225" t="s">
        <v>26</v>
      </c>
      <c r="E546" s="225" t="s">
        <v>161</v>
      </c>
      <c r="F546" s="248" t="s">
        <v>65</v>
      </c>
      <c r="G546" s="226">
        <f>3774.6-1173.2+5+273.1</f>
        <v>2879.4999999999995</v>
      </c>
      <c r="H546" s="226">
        <f>3774.6-3774.6</f>
        <v>0</v>
      </c>
      <c r="I546" s="226">
        <f>3761.9-3761.9</f>
        <v>0</v>
      </c>
    </row>
    <row r="547" spans="1:17" s="3" customFormat="1" x14ac:dyDescent="0.2">
      <c r="A547" s="13" t="s">
        <v>27</v>
      </c>
      <c r="B547" s="42">
        <v>919</v>
      </c>
      <c r="C547" s="1" t="s">
        <v>18</v>
      </c>
      <c r="D547" s="1"/>
      <c r="E547" s="1"/>
      <c r="F547" s="1"/>
      <c r="G547" s="2">
        <f>G548+G551</f>
        <v>291754.48508000001</v>
      </c>
      <c r="H547" s="2">
        <f>H548+H551</f>
        <v>17273</v>
      </c>
      <c r="I547" s="2">
        <f>I548+I551</f>
        <v>19729</v>
      </c>
    </row>
    <row r="548" spans="1:17" s="9" customFormat="1" x14ac:dyDescent="0.2">
      <c r="A548" s="11" t="s">
        <v>28</v>
      </c>
      <c r="B548" s="14">
        <v>919</v>
      </c>
      <c r="C548" s="8" t="s">
        <v>18</v>
      </c>
      <c r="D548" s="8" t="s">
        <v>14</v>
      </c>
      <c r="E548" s="8"/>
      <c r="F548" s="8"/>
      <c r="G548" s="4">
        <f t="shared" ref="G548:I549" si="94">G549</f>
        <v>35925.800000000003</v>
      </c>
      <c r="H548" s="4">
        <f t="shared" si="94"/>
        <v>0</v>
      </c>
      <c r="I548" s="4">
        <f t="shared" si="94"/>
        <v>0</v>
      </c>
    </row>
    <row r="549" spans="1:17" s="21" customFormat="1" ht="51" x14ac:dyDescent="0.2">
      <c r="A549" s="18" t="s">
        <v>427</v>
      </c>
      <c r="B549" s="22">
        <v>919</v>
      </c>
      <c r="C549" s="19" t="s">
        <v>18</v>
      </c>
      <c r="D549" s="19" t="s">
        <v>14</v>
      </c>
      <c r="E549" s="19" t="s">
        <v>289</v>
      </c>
      <c r="F549" s="19"/>
      <c r="G549" s="20">
        <f t="shared" si="94"/>
        <v>35925.800000000003</v>
      </c>
      <c r="H549" s="20">
        <f t="shared" si="94"/>
        <v>0</v>
      </c>
      <c r="I549" s="20">
        <f t="shared" si="94"/>
        <v>0</v>
      </c>
    </row>
    <row r="550" spans="1:17" s="84" customFormat="1" x14ac:dyDescent="0.2">
      <c r="A550" s="87" t="s">
        <v>72</v>
      </c>
      <c r="B550" s="86">
        <v>919</v>
      </c>
      <c r="C550" s="82" t="s">
        <v>18</v>
      </c>
      <c r="D550" s="82" t="s">
        <v>14</v>
      </c>
      <c r="E550" s="82" t="s">
        <v>289</v>
      </c>
      <c r="F550" s="82" t="s">
        <v>73</v>
      </c>
      <c r="G550" s="62">
        <v>35925.800000000003</v>
      </c>
      <c r="H550" s="62">
        <v>0</v>
      </c>
      <c r="I550" s="62">
        <v>0</v>
      </c>
    </row>
    <row r="551" spans="1:17" s="74" customFormat="1" x14ac:dyDescent="0.2">
      <c r="A551" s="70" t="s">
        <v>79</v>
      </c>
      <c r="B551" s="71">
        <v>919</v>
      </c>
      <c r="C551" s="72" t="s">
        <v>18</v>
      </c>
      <c r="D551" s="72" t="s">
        <v>26</v>
      </c>
      <c r="E551" s="72"/>
      <c r="F551" s="72"/>
      <c r="G551" s="73">
        <f>+G556+G558+G554+G552+G560+G562</f>
        <v>255828.68508</v>
      </c>
      <c r="H551" s="73">
        <f t="shared" ref="H551:I551" si="95">+H556+H558+H554+H552+H560+H562</f>
        <v>17273</v>
      </c>
      <c r="I551" s="73">
        <f t="shared" si="95"/>
        <v>19729</v>
      </c>
      <c r="J551" s="73">
        <f t="shared" ref="J551:Q551" si="96">+J556+J558+J554+J552</f>
        <v>0</v>
      </c>
      <c r="K551" s="73">
        <f t="shared" si="96"/>
        <v>0</v>
      </c>
      <c r="L551" s="73">
        <f t="shared" si="96"/>
        <v>0</v>
      </c>
      <c r="M551" s="73">
        <f t="shared" si="96"/>
        <v>0</v>
      </c>
      <c r="N551" s="73">
        <f t="shared" si="96"/>
        <v>0</v>
      </c>
      <c r="O551" s="73">
        <f t="shared" si="96"/>
        <v>0</v>
      </c>
      <c r="P551" s="73">
        <f t="shared" si="96"/>
        <v>0</v>
      </c>
      <c r="Q551" s="73">
        <f t="shared" si="96"/>
        <v>0</v>
      </c>
    </row>
    <row r="552" spans="1:17" ht="69" customHeight="1" x14ac:dyDescent="0.2">
      <c r="A552" s="18" t="s">
        <v>383</v>
      </c>
      <c r="B552" s="22">
        <v>919</v>
      </c>
      <c r="C552" s="19" t="s">
        <v>18</v>
      </c>
      <c r="D552" s="19" t="s">
        <v>26</v>
      </c>
      <c r="E552" s="19" t="s">
        <v>384</v>
      </c>
      <c r="F552" s="19"/>
      <c r="G552" s="20">
        <f>G553</f>
        <v>109287.13582</v>
      </c>
      <c r="H552" s="20">
        <f>H553</f>
        <v>0</v>
      </c>
      <c r="I552" s="20">
        <f>I553</f>
        <v>0</v>
      </c>
      <c r="J552" s="117"/>
      <c r="K552" s="117"/>
      <c r="L552" s="117"/>
      <c r="M552" s="117"/>
      <c r="N552" s="117"/>
      <c r="O552" s="117"/>
      <c r="P552" s="117"/>
      <c r="Q552" s="117"/>
    </row>
    <row r="553" spans="1:17" s="26" customFormat="1" ht="25.5" x14ac:dyDescent="0.2">
      <c r="A553" s="28" t="s">
        <v>141</v>
      </c>
      <c r="B553" s="31">
        <v>919</v>
      </c>
      <c r="C553" s="24" t="s">
        <v>18</v>
      </c>
      <c r="D553" s="24" t="s">
        <v>26</v>
      </c>
      <c r="E553" s="24" t="s">
        <v>384</v>
      </c>
      <c r="F553" s="24" t="s">
        <v>65</v>
      </c>
      <c r="G553" s="25">
        <f>70000+39287.13582</f>
        <v>109287.13582</v>
      </c>
      <c r="H553" s="25">
        <v>0</v>
      </c>
      <c r="I553" s="25">
        <v>0</v>
      </c>
      <c r="J553" s="118"/>
      <c r="K553" s="118"/>
      <c r="L553" s="118"/>
      <c r="M553" s="118"/>
      <c r="N553" s="118"/>
      <c r="O553" s="118"/>
      <c r="P553" s="118"/>
      <c r="Q553" s="118"/>
    </row>
    <row r="554" spans="1:17" ht="69" customHeight="1" x14ac:dyDescent="0.2">
      <c r="A554" s="18" t="s">
        <v>383</v>
      </c>
      <c r="B554" s="22">
        <v>919</v>
      </c>
      <c r="C554" s="19" t="s">
        <v>18</v>
      </c>
      <c r="D554" s="19" t="s">
        <v>26</v>
      </c>
      <c r="E554" s="19" t="s">
        <v>387</v>
      </c>
      <c r="F554" s="19"/>
      <c r="G554" s="20">
        <f>G555</f>
        <v>8282.2000000000007</v>
      </c>
      <c r="H554" s="20">
        <f>H555</f>
        <v>0</v>
      </c>
      <c r="I554" s="20">
        <f>I555</f>
        <v>0</v>
      </c>
      <c r="J554" s="117"/>
      <c r="K554" s="117"/>
      <c r="L554" s="117"/>
      <c r="M554" s="117"/>
      <c r="N554" s="117"/>
      <c r="O554" s="117"/>
      <c r="P554" s="117"/>
      <c r="Q554" s="117"/>
    </row>
    <row r="555" spans="1:17" s="26" customFormat="1" ht="25.5" x14ac:dyDescent="0.2">
      <c r="A555" s="28" t="s">
        <v>141</v>
      </c>
      <c r="B555" s="31">
        <v>919</v>
      </c>
      <c r="C555" s="24" t="s">
        <v>18</v>
      </c>
      <c r="D555" s="24" t="s">
        <v>26</v>
      </c>
      <c r="E555" s="24" t="s">
        <v>387</v>
      </c>
      <c r="F555" s="24" t="s">
        <v>65</v>
      </c>
      <c r="G555" s="25">
        <f>3500+4782.2</f>
        <v>8282.2000000000007</v>
      </c>
      <c r="H555" s="25">
        <v>0</v>
      </c>
      <c r="I555" s="25">
        <v>0</v>
      </c>
      <c r="J555" s="118"/>
      <c r="K555" s="118"/>
      <c r="L555" s="118"/>
      <c r="M555" s="118"/>
      <c r="N555" s="118"/>
      <c r="O555" s="118"/>
      <c r="P555" s="118"/>
      <c r="Q555" s="118"/>
    </row>
    <row r="556" spans="1:17" ht="25.5" x14ac:dyDescent="0.2">
      <c r="A556" s="18" t="s">
        <v>291</v>
      </c>
      <c r="B556" s="22">
        <v>919</v>
      </c>
      <c r="C556" s="19" t="s">
        <v>18</v>
      </c>
      <c r="D556" s="19" t="s">
        <v>26</v>
      </c>
      <c r="E556" s="19" t="s">
        <v>290</v>
      </c>
      <c r="F556" s="19"/>
      <c r="G556" s="20">
        <f>G557</f>
        <v>100330</v>
      </c>
      <c r="H556" s="20">
        <f>H557</f>
        <v>17273</v>
      </c>
      <c r="I556" s="20">
        <f>I557</f>
        <v>19729</v>
      </c>
      <c r="J556" s="117"/>
      <c r="K556" s="117"/>
      <c r="L556" s="117"/>
      <c r="M556" s="117"/>
      <c r="N556" s="117"/>
      <c r="O556" s="117"/>
      <c r="P556" s="117"/>
      <c r="Q556" s="117"/>
    </row>
    <row r="557" spans="1:17" s="26" customFormat="1" ht="25.5" x14ac:dyDescent="0.2">
      <c r="A557" s="28" t="s">
        <v>141</v>
      </c>
      <c r="B557" s="31">
        <v>919</v>
      </c>
      <c r="C557" s="24" t="s">
        <v>18</v>
      </c>
      <c r="D557" s="24" t="s">
        <v>26</v>
      </c>
      <c r="E557" s="24" t="s">
        <v>290</v>
      </c>
      <c r="F557" s="24" t="s">
        <v>65</v>
      </c>
      <c r="G557" s="25">
        <f>82000.9-3500-4782.2+824.7+5000+990+18500+1296.6</f>
        <v>100330</v>
      </c>
      <c r="H557" s="25">
        <v>17273</v>
      </c>
      <c r="I557" s="25">
        <f>17964+1765</f>
        <v>19729</v>
      </c>
      <c r="J557" s="118"/>
      <c r="K557" s="118"/>
      <c r="L557" s="118"/>
      <c r="M557" s="118"/>
      <c r="N557" s="118"/>
      <c r="O557" s="118"/>
      <c r="P557" s="118"/>
      <c r="Q557" s="118"/>
    </row>
    <row r="558" spans="1:17" s="79" customFormat="1" ht="25.5" x14ac:dyDescent="0.2">
      <c r="A558" s="75" t="s">
        <v>293</v>
      </c>
      <c r="B558" s="75">
        <v>919</v>
      </c>
      <c r="C558" s="77" t="s">
        <v>18</v>
      </c>
      <c r="D558" s="77" t="s">
        <v>26</v>
      </c>
      <c r="E558" s="77" t="s">
        <v>292</v>
      </c>
      <c r="F558" s="77"/>
      <c r="G558" s="78">
        <f>G559</f>
        <v>14287</v>
      </c>
      <c r="H558" s="78">
        <f>H559</f>
        <v>0</v>
      </c>
      <c r="I558" s="78">
        <f>I559</f>
        <v>0</v>
      </c>
    </row>
    <row r="559" spans="1:17" s="79" customFormat="1" ht="25.5" x14ac:dyDescent="0.2">
      <c r="A559" s="87" t="s">
        <v>141</v>
      </c>
      <c r="B559" s="87">
        <v>919</v>
      </c>
      <c r="C559" s="82" t="s">
        <v>18</v>
      </c>
      <c r="D559" s="82" t="s">
        <v>26</v>
      </c>
      <c r="E559" s="82" t="s">
        <v>292</v>
      </c>
      <c r="F559" s="82" t="s">
        <v>65</v>
      </c>
      <c r="G559" s="62">
        <v>14287</v>
      </c>
      <c r="H559" s="62">
        <v>0</v>
      </c>
      <c r="I559" s="62">
        <v>0</v>
      </c>
    </row>
    <row r="560" spans="1:17" ht="25.5" x14ac:dyDescent="0.2">
      <c r="A560" s="17" t="s">
        <v>409</v>
      </c>
      <c r="B560" s="43">
        <v>919</v>
      </c>
      <c r="C560" s="19" t="s">
        <v>18</v>
      </c>
      <c r="D560" s="19" t="s">
        <v>26</v>
      </c>
      <c r="E560" s="19" t="s">
        <v>407</v>
      </c>
      <c r="F560" s="19"/>
      <c r="G560" s="20">
        <f>G561</f>
        <v>1182.1174600000002</v>
      </c>
      <c r="H560" s="20">
        <f t="shared" ref="H560:I560" si="97">H561</f>
        <v>0</v>
      </c>
      <c r="I560" s="20">
        <f t="shared" si="97"/>
        <v>0</v>
      </c>
      <c r="J560" s="117"/>
      <c r="K560" s="117"/>
      <c r="L560" s="117"/>
      <c r="M560" s="117"/>
      <c r="N560" s="117"/>
      <c r="O560" s="117"/>
      <c r="P560" s="117"/>
      <c r="Q560" s="117"/>
    </row>
    <row r="561" spans="1:17" ht="25.5" x14ac:dyDescent="0.2">
      <c r="A561" s="28" t="s">
        <v>76</v>
      </c>
      <c r="B561" s="31">
        <v>919</v>
      </c>
      <c r="C561" s="24" t="s">
        <v>18</v>
      </c>
      <c r="D561" s="24" t="s">
        <v>26</v>
      </c>
      <c r="E561" s="24" t="s">
        <v>408</v>
      </c>
      <c r="F561" s="24" t="s">
        <v>68</v>
      </c>
      <c r="G561" s="25">
        <f>1195.3467-13.22924</f>
        <v>1182.1174600000002</v>
      </c>
      <c r="H561" s="25">
        <v>0</v>
      </c>
      <c r="I561" s="25">
        <v>0</v>
      </c>
      <c r="J561" s="117"/>
      <c r="K561" s="117"/>
      <c r="L561" s="117"/>
      <c r="M561" s="117"/>
      <c r="N561" s="117"/>
      <c r="O561" s="117"/>
      <c r="P561" s="117"/>
      <c r="Q561" s="117"/>
    </row>
    <row r="562" spans="1:17" ht="25.5" x14ac:dyDescent="0.2">
      <c r="A562" s="17" t="s">
        <v>441</v>
      </c>
      <c r="B562" s="43">
        <v>919</v>
      </c>
      <c r="C562" s="19" t="s">
        <v>18</v>
      </c>
      <c r="D562" s="19" t="s">
        <v>26</v>
      </c>
      <c r="E562" s="19" t="s">
        <v>438</v>
      </c>
      <c r="F562" s="19"/>
      <c r="G562" s="20">
        <f>G563</f>
        <v>22460.231799999998</v>
      </c>
      <c r="H562" s="20">
        <f t="shared" ref="H562:I562" si="98">H563</f>
        <v>0</v>
      </c>
      <c r="I562" s="20">
        <f t="shared" si="98"/>
        <v>0</v>
      </c>
      <c r="J562" s="117"/>
      <c r="K562" s="117"/>
      <c r="L562" s="117"/>
      <c r="M562" s="117"/>
      <c r="N562" s="117"/>
      <c r="O562" s="117"/>
      <c r="P562" s="117"/>
      <c r="Q562" s="117"/>
    </row>
    <row r="563" spans="1:17" ht="25.5" x14ac:dyDescent="0.2">
      <c r="A563" s="28" t="s">
        <v>76</v>
      </c>
      <c r="B563" s="31">
        <v>919</v>
      </c>
      <c r="C563" s="24" t="s">
        <v>18</v>
      </c>
      <c r="D563" s="24" t="s">
        <v>26</v>
      </c>
      <c r="E563" s="19" t="s">
        <v>438</v>
      </c>
      <c r="F563" s="24" t="s">
        <v>68</v>
      </c>
      <c r="G563" s="25">
        <f>2271.15873+20440.42857-251.3555</f>
        <v>22460.231799999998</v>
      </c>
      <c r="H563" s="25">
        <v>0</v>
      </c>
      <c r="I563" s="25">
        <v>0</v>
      </c>
      <c r="J563" s="117"/>
      <c r="K563" s="117"/>
      <c r="L563" s="117"/>
      <c r="M563" s="117"/>
      <c r="N563" s="117"/>
      <c r="O563" s="117"/>
      <c r="P563" s="117"/>
      <c r="Q563" s="117"/>
    </row>
    <row r="564" spans="1:17" s="99" customFormat="1" x14ac:dyDescent="0.2">
      <c r="A564" s="98" t="s">
        <v>30</v>
      </c>
      <c r="B564" s="64">
        <v>919</v>
      </c>
      <c r="C564" s="65" t="s">
        <v>31</v>
      </c>
      <c r="D564" s="65"/>
      <c r="E564" s="65"/>
      <c r="F564" s="65"/>
      <c r="G564" s="68">
        <f>G565+G570+G587+G606</f>
        <v>160222.20899000001</v>
      </c>
      <c r="H564" s="68">
        <f>H565+H570+H587+H606</f>
        <v>24295.8</v>
      </c>
      <c r="I564" s="68">
        <f>I565+I570+I587+I606</f>
        <v>21272.6</v>
      </c>
    </row>
    <row r="565" spans="1:17" s="9" customFormat="1" x14ac:dyDescent="0.2">
      <c r="A565" s="11" t="s">
        <v>32</v>
      </c>
      <c r="B565" s="14">
        <v>919</v>
      </c>
      <c r="C565" s="8" t="s">
        <v>31</v>
      </c>
      <c r="D565" s="8" t="s">
        <v>12</v>
      </c>
      <c r="E565" s="8"/>
      <c r="F565" s="8"/>
      <c r="G565" s="4">
        <f>G566+G568</f>
        <v>2986</v>
      </c>
      <c r="H565" s="4">
        <f t="shared" ref="H565:Q565" si="99">H566+H568</f>
        <v>0</v>
      </c>
      <c r="I565" s="4">
        <f t="shared" si="99"/>
        <v>0</v>
      </c>
      <c r="J565" s="4">
        <f t="shared" si="99"/>
        <v>0</v>
      </c>
      <c r="K565" s="4">
        <f t="shared" si="99"/>
        <v>0</v>
      </c>
      <c r="L565" s="4">
        <f t="shared" si="99"/>
        <v>0</v>
      </c>
      <c r="M565" s="4">
        <f t="shared" si="99"/>
        <v>0</v>
      </c>
      <c r="N565" s="4">
        <f t="shared" si="99"/>
        <v>0</v>
      </c>
      <c r="O565" s="4">
        <f t="shared" si="99"/>
        <v>0</v>
      </c>
      <c r="P565" s="4">
        <f t="shared" si="99"/>
        <v>0</v>
      </c>
      <c r="Q565" s="4">
        <f t="shared" si="99"/>
        <v>0</v>
      </c>
    </row>
    <row r="566" spans="1:17" x14ac:dyDescent="0.2">
      <c r="A566" s="18" t="s">
        <v>420</v>
      </c>
      <c r="B566" s="22">
        <v>919</v>
      </c>
      <c r="C566" s="19" t="s">
        <v>31</v>
      </c>
      <c r="D566" s="19" t="s">
        <v>12</v>
      </c>
      <c r="E566" s="19" t="s">
        <v>421</v>
      </c>
      <c r="F566" s="19"/>
      <c r="G566" s="20">
        <f t="shared" ref="G566:I566" si="100">G567</f>
        <v>1586</v>
      </c>
      <c r="H566" s="20">
        <f t="shared" si="100"/>
        <v>0</v>
      </c>
      <c r="I566" s="20">
        <f t="shared" si="100"/>
        <v>0</v>
      </c>
      <c r="J566" s="117"/>
      <c r="K566" s="117"/>
      <c r="L566" s="117"/>
      <c r="M566" s="117"/>
      <c r="N566" s="117"/>
      <c r="O566" s="117"/>
      <c r="P566" s="117"/>
      <c r="Q566" s="117"/>
    </row>
    <row r="567" spans="1:17" s="26" customFormat="1" x14ac:dyDescent="0.2">
      <c r="A567" s="28" t="s">
        <v>72</v>
      </c>
      <c r="B567" s="31">
        <v>919</v>
      </c>
      <c r="C567" s="24" t="s">
        <v>31</v>
      </c>
      <c r="D567" s="24" t="s">
        <v>12</v>
      </c>
      <c r="E567" s="24" t="s">
        <v>421</v>
      </c>
      <c r="F567" s="24" t="s">
        <v>73</v>
      </c>
      <c r="G567" s="25">
        <f>861.3+100+224.7+400</f>
        <v>1586</v>
      </c>
      <c r="H567" s="25">
        <v>0</v>
      </c>
      <c r="I567" s="25">
        <v>0</v>
      </c>
      <c r="J567" s="118"/>
      <c r="K567" s="118"/>
      <c r="L567" s="118"/>
      <c r="M567" s="118"/>
      <c r="N567" s="118"/>
      <c r="O567" s="118"/>
      <c r="P567" s="118"/>
      <c r="Q567" s="118"/>
    </row>
    <row r="568" spans="1:17" s="26" customFormat="1" ht="25.5" x14ac:dyDescent="0.2">
      <c r="A568" s="18" t="s">
        <v>375</v>
      </c>
      <c r="B568" s="18">
        <v>919</v>
      </c>
      <c r="C568" s="19" t="s">
        <v>31</v>
      </c>
      <c r="D568" s="19" t="s">
        <v>12</v>
      </c>
      <c r="E568" s="19" t="s">
        <v>376</v>
      </c>
      <c r="F568" s="19"/>
      <c r="G568" s="25">
        <f>G569</f>
        <v>1400</v>
      </c>
      <c r="H568" s="25">
        <f t="shared" ref="H568:I568" si="101">H569</f>
        <v>0</v>
      </c>
      <c r="I568" s="25">
        <f t="shared" si="101"/>
        <v>0</v>
      </c>
      <c r="J568" s="118"/>
      <c r="K568" s="118"/>
      <c r="L568" s="118"/>
      <c r="M568" s="118"/>
      <c r="N568" s="118"/>
      <c r="O568" s="118"/>
      <c r="P568" s="118"/>
      <c r="Q568" s="118"/>
    </row>
    <row r="569" spans="1:17" s="26" customFormat="1" ht="25.5" x14ac:dyDescent="0.2">
      <c r="A569" s="28" t="s">
        <v>76</v>
      </c>
      <c r="B569" s="28">
        <v>919</v>
      </c>
      <c r="C569" s="24" t="s">
        <v>31</v>
      </c>
      <c r="D569" s="24" t="s">
        <v>12</v>
      </c>
      <c r="E569" s="24" t="s">
        <v>376</v>
      </c>
      <c r="F569" s="27" t="s">
        <v>68</v>
      </c>
      <c r="G569" s="25">
        <f>200+200+300+700</f>
        <v>1400</v>
      </c>
      <c r="H569" s="25">
        <v>0</v>
      </c>
      <c r="I569" s="25">
        <v>0</v>
      </c>
      <c r="J569" s="118"/>
      <c r="K569" s="118"/>
      <c r="L569" s="118"/>
      <c r="M569" s="118"/>
      <c r="N569" s="118"/>
      <c r="O569" s="118"/>
      <c r="P569" s="118"/>
      <c r="Q569" s="118"/>
    </row>
    <row r="570" spans="1:17" s="74" customFormat="1" x14ac:dyDescent="0.2">
      <c r="A570" s="70" t="s">
        <v>33</v>
      </c>
      <c r="B570" s="71">
        <v>919</v>
      </c>
      <c r="C570" s="72" t="s">
        <v>31</v>
      </c>
      <c r="D570" s="72" t="s">
        <v>14</v>
      </c>
      <c r="E570" s="72"/>
      <c r="F570" s="72"/>
      <c r="G570" s="73">
        <f>+G581+G583+G585+G577+G579+G571+G575+G573</f>
        <v>103281.1</v>
      </c>
      <c r="H570" s="73">
        <f t="shared" ref="H570:I570" si="102">+H581+H583+H585+H577+H579+H571+H575+H573</f>
        <v>5844</v>
      </c>
      <c r="I570" s="73">
        <f t="shared" si="102"/>
        <v>3000</v>
      </c>
      <c r="J570" s="73">
        <f t="shared" ref="J570:Q570" si="103">+J581+J583+J585+J577+J579+J571</f>
        <v>0</v>
      </c>
      <c r="K570" s="73">
        <f t="shared" si="103"/>
        <v>0</v>
      </c>
      <c r="L570" s="73">
        <f t="shared" si="103"/>
        <v>0</v>
      </c>
      <c r="M570" s="73">
        <f t="shared" si="103"/>
        <v>0</v>
      </c>
      <c r="N570" s="73">
        <f t="shared" si="103"/>
        <v>0</v>
      </c>
      <c r="O570" s="73">
        <f t="shared" si="103"/>
        <v>0</v>
      </c>
      <c r="P570" s="73">
        <f t="shared" si="103"/>
        <v>0</v>
      </c>
      <c r="Q570" s="73">
        <f t="shared" si="103"/>
        <v>0</v>
      </c>
    </row>
    <row r="571" spans="1:17" s="9" customFormat="1" ht="25.5" x14ac:dyDescent="0.2">
      <c r="A571" s="17" t="s">
        <v>391</v>
      </c>
      <c r="B571" s="43">
        <v>919</v>
      </c>
      <c r="C571" s="19" t="s">
        <v>31</v>
      </c>
      <c r="D571" s="19" t="s">
        <v>14</v>
      </c>
      <c r="E571" s="19" t="s">
        <v>392</v>
      </c>
      <c r="F571" s="19"/>
      <c r="G571" s="20">
        <f>G572</f>
        <v>6975</v>
      </c>
      <c r="H571" s="20">
        <f>H572</f>
        <v>0</v>
      </c>
      <c r="I571" s="20">
        <f>I572</f>
        <v>0</v>
      </c>
      <c r="J571" s="127"/>
      <c r="K571" s="127"/>
      <c r="L571" s="127"/>
      <c r="M571" s="127"/>
      <c r="N571" s="127"/>
      <c r="O571" s="127"/>
      <c r="P571" s="127"/>
      <c r="Q571" s="127"/>
    </row>
    <row r="572" spans="1:17" s="9" customFormat="1" ht="25.5" x14ac:dyDescent="0.2">
      <c r="A572" s="28" t="s">
        <v>76</v>
      </c>
      <c r="B572" s="31">
        <v>919</v>
      </c>
      <c r="C572" s="24" t="s">
        <v>31</v>
      </c>
      <c r="D572" s="24" t="s">
        <v>14</v>
      </c>
      <c r="E572" s="24" t="s">
        <v>392</v>
      </c>
      <c r="F572" s="24" t="s">
        <v>68</v>
      </c>
      <c r="G572" s="25">
        <v>6975</v>
      </c>
      <c r="H572" s="25">
        <v>0</v>
      </c>
      <c r="I572" s="25">
        <v>0</v>
      </c>
      <c r="J572" s="127"/>
      <c r="K572" s="127"/>
      <c r="L572" s="127"/>
      <c r="M572" s="127"/>
      <c r="N572" s="127"/>
      <c r="O572" s="127"/>
      <c r="P572" s="127"/>
      <c r="Q572" s="127"/>
    </row>
    <row r="573" spans="1:17" s="9" customFormat="1" ht="25.5" x14ac:dyDescent="0.2">
      <c r="A573" s="17" t="s">
        <v>297</v>
      </c>
      <c r="B573" s="43">
        <v>919</v>
      </c>
      <c r="C573" s="19" t="s">
        <v>31</v>
      </c>
      <c r="D573" s="19" t="s">
        <v>14</v>
      </c>
      <c r="E573" s="19" t="s">
        <v>393</v>
      </c>
      <c r="F573" s="19"/>
      <c r="G573" s="25">
        <f>G574</f>
        <v>775</v>
      </c>
      <c r="H573" s="25">
        <f t="shared" ref="H573:I573" si="104">H574</f>
        <v>0</v>
      </c>
      <c r="I573" s="25">
        <f t="shared" si="104"/>
        <v>0</v>
      </c>
      <c r="J573" s="127"/>
      <c r="K573" s="127"/>
      <c r="L573" s="127"/>
      <c r="M573" s="127"/>
      <c r="N573" s="127"/>
      <c r="O573" s="127"/>
      <c r="P573" s="127"/>
      <c r="Q573" s="127"/>
    </row>
    <row r="574" spans="1:17" s="9" customFormat="1" ht="25.5" x14ac:dyDescent="0.2">
      <c r="A574" s="28" t="s">
        <v>76</v>
      </c>
      <c r="B574" s="31">
        <v>919</v>
      </c>
      <c r="C574" s="24" t="s">
        <v>31</v>
      </c>
      <c r="D574" s="24" t="s">
        <v>14</v>
      </c>
      <c r="E574" s="24" t="s">
        <v>393</v>
      </c>
      <c r="F574" s="24" t="s">
        <v>68</v>
      </c>
      <c r="G574" s="25">
        <v>775</v>
      </c>
      <c r="H574" s="25">
        <v>0</v>
      </c>
      <c r="I574" s="25">
        <v>0</v>
      </c>
      <c r="J574" s="127"/>
      <c r="K574" s="127"/>
      <c r="L574" s="127"/>
      <c r="M574" s="127"/>
      <c r="N574" s="127"/>
      <c r="O574" s="127"/>
      <c r="P574" s="127"/>
      <c r="Q574" s="127"/>
    </row>
    <row r="575" spans="1:17" s="9" customFormat="1" ht="25.5" x14ac:dyDescent="0.2">
      <c r="A575" s="17" t="s">
        <v>689</v>
      </c>
      <c r="B575" s="43">
        <v>919</v>
      </c>
      <c r="C575" s="19" t="s">
        <v>31</v>
      </c>
      <c r="D575" s="19" t="s">
        <v>14</v>
      </c>
      <c r="E575" s="19" t="s">
        <v>688</v>
      </c>
      <c r="F575" s="19"/>
      <c r="G575" s="20">
        <f>G576</f>
        <v>375</v>
      </c>
      <c r="H575" s="20">
        <f t="shared" ref="H575:I577" si="105">H576</f>
        <v>0</v>
      </c>
      <c r="I575" s="20">
        <f t="shared" si="105"/>
        <v>0</v>
      </c>
      <c r="J575" s="127"/>
      <c r="K575" s="127"/>
      <c r="L575" s="127"/>
      <c r="M575" s="127"/>
      <c r="N575" s="127"/>
      <c r="O575" s="127"/>
      <c r="P575" s="127"/>
      <c r="Q575" s="127"/>
    </row>
    <row r="576" spans="1:17" s="9" customFormat="1" ht="25.5" x14ac:dyDescent="0.2">
      <c r="A576" s="28" t="s">
        <v>76</v>
      </c>
      <c r="B576" s="31">
        <v>919</v>
      </c>
      <c r="C576" s="24" t="s">
        <v>31</v>
      </c>
      <c r="D576" s="24" t="s">
        <v>14</v>
      </c>
      <c r="E576" s="24" t="s">
        <v>688</v>
      </c>
      <c r="F576" s="24" t="s">
        <v>68</v>
      </c>
      <c r="G576" s="25">
        <v>375</v>
      </c>
      <c r="H576" s="25">
        <v>0</v>
      </c>
      <c r="I576" s="25">
        <v>0</v>
      </c>
      <c r="J576" s="127"/>
      <c r="K576" s="127"/>
      <c r="L576" s="127"/>
      <c r="M576" s="127"/>
      <c r="N576" s="127"/>
      <c r="O576" s="127"/>
      <c r="P576" s="127"/>
      <c r="Q576" s="127"/>
    </row>
    <row r="577" spans="1:17" s="7" customFormat="1" ht="25.5" x14ac:dyDescent="0.2">
      <c r="A577" s="17" t="s">
        <v>297</v>
      </c>
      <c r="B577" s="43">
        <v>919</v>
      </c>
      <c r="C577" s="19" t="s">
        <v>31</v>
      </c>
      <c r="D577" s="19" t="s">
        <v>14</v>
      </c>
      <c r="E577" s="19" t="s">
        <v>296</v>
      </c>
      <c r="F577" s="19"/>
      <c r="G577" s="20">
        <f>G578</f>
        <v>2536</v>
      </c>
      <c r="H577" s="20">
        <f t="shared" si="105"/>
        <v>5844</v>
      </c>
      <c r="I577" s="20">
        <f t="shared" si="105"/>
        <v>3000</v>
      </c>
      <c r="J577" s="119"/>
      <c r="K577" s="119"/>
      <c r="L577" s="119"/>
      <c r="M577" s="119"/>
      <c r="N577" s="119"/>
      <c r="O577" s="119"/>
      <c r="P577" s="119"/>
      <c r="Q577" s="119"/>
    </row>
    <row r="578" spans="1:17" s="7" customFormat="1" ht="25.5" x14ac:dyDescent="0.2">
      <c r="A578" s="28" t="s">
        <v>76</v>
      </c>
      <c r="B578" s="31">
        <v>919</v>
      </c>
      <c r="C578" s="24" t="s">
        <v>31</v>
      </c>
      <c r="D578" s="24" t="s">
        <v>14</v>
      </c>
      <c r="E578" s="24" t="s">
        <v>296</v>
      </c>
      <c r="F578" s="24" t="s">
        <v>68</v>
      </c>
      <c r="G578" s="25">
        <f>5000-2964+500</f>
        <v>2536</v>
      </c>
      <c r="H578" s="25">
        <f>3500+2344</f>
        <v>5844</v>
      </c>
      <c r="I578" s="25">
        <v>3000</v>
      </c>
      <c r="J578" s="119"/>
      <c r="K578" s="119"/>
      <c r="L578" s="119"/>
      <c r="M578" s="119"/>
      <c r="N578" s="119"/>
      <c r="O578" s="119"/>
      <c r="P578" s="119"/>
      <c r="Q578" s="119"/>
    </row>
    <row r="579" spans="1:17" s="119" customFormat="1" ht="13.5" customHeight="1" x14ac:dyDescent="0.2">
      <c r="A579" s="252" t="s">
        <v>356</v>
      </c>
      <c r="B579" s="252">
        <v>919</v>
      </c>
      <c r="C579" s="230" t="s">
        <v>31</v>
      </c>
      <c r="D579" s="230" t="s">
        <v>14</v>
      </c>
      <c r="E579" s="230" t="s">
        <v>355</v>
      </c>
      <c r="F579" s="230"/>
      <c r="G579" s="231">
        <f>G580</f>
        <v>1487.2999999999997</v>
      </c>
      <c r="H579" s="231">
        <f>H580</f>
        <v>0</v>
      </c>
      <c r="I579" s="231">
        <f>I580</f>
        <v>0</v>
      </c>
    </row>
    <row r="580" spans="1:17" s="119" customFormat="1" ht="25.5" x14ac:dyDescent="0.2">
      <c r="A580" s="224" t="s">
        <v>76</v>
      </c>
      <c r="B580" s="224">
        <v>919</v>
      </c>
      <c r="C580" s="225" t="s">
        <v>31</v>
      </c>
      <c r="D580" s="225" t="s">
        <v>14</v>
      </c>
      <c r="E580" s="225" t="s">
        <v>355</v>
      </c>
      <c r="F580" s="225" t="s">
        <v>68</v>
      </c>
      <c r="G580" s="226">
        <f>2964-775-87.8-613.9</f>
        <v>1487.2999999999997</v>
      </c>
      <c r="H580" s="226">
        <v>0</v>
      </c>
      <c r="I580" s="226">
        <v>0</v>
      </c>
    </row>
    <row r="581" spans="1:17" s="21" customFormat="1" ht="63.75" x14ac:dyDescent="0.2">
      <c r="A581" s="18" t="s">
        <v>303</v>
      </c>
      <c r="B581" s="22">
        <v>919</v>
      </c>
      <c r="C581" s="19" t="s">
        <v>31</v>
      </c>
      <c r="D581" s="19" t="s">
        <v>14</v>
      </c>
      <c r="E581" s="19" t="s">
        <v>302</v>
      </c>
      <c r="F581" s="19"/>
      <c r="G581" s="20">
        <f>G582</f>
        <v>74230.400000000009</v>
      </c>
      <c r="H581" s="20">
        <f>H582</f>
        <v>0</v>
      </c>
      <c r="I581" s="20">
        <f>I582</f>
        <v>0</v>
      </c>
    </row>
    <row r="582" spans="1:17" s="84" customFormat="1" x14ac:dyDescent="0.2">
      <c r="A582" s="87" t="s">
        <v>72</v>
      </c>
      <c r="B582" s="86">
        <v>919</v>
      </c>
      <c r="C582" s="82" t="s">
        <v>31</v>
      </c>
      <c r="D582" s="82" t="s">
        <v>14</v>
      </c>
      <c r="E582" s="82" t="s">
        <v>302</v>
      </c>
      <c r="F582" s="82" t="s">
        <v>73</v>
      </c>
      <c r="G582" s="62">
        <f>30622.4+42361.3+1246.7</f>
        <v>74230.400000000009</v>
      </c>
      <c r="H582" s="62">
        <v>0</v>
      </c>
      <c r="I582" s="62">
        <v>0</v>
      </c>
    </row>
    <row r="583" spans="1:17" s="21" customFormat="1" ht="63.75" x14ac:dyDescent="0.2">
      <c r="A583" s="17" t="s">
        <v>305</v>
      </c>
      <c r="B583" s="43">
        <v>919</v>
      </c>
      <c r="C583" s="19" t="s">
        <v>31</v>
      </c>
      <c r="D583" s="19" t="s">
        <v>14</v>
      </c>
      <c r="E583" s="19" t="s">
        <v>304</v>
      </c>
      <c r="F583" s="19"/>
      <c r="G583" s="20">
        <f>G584</f>
        <v>14244.7</v>
      </c>
      <c r="H583" s="20">
        <f>H584</f>
        <v>0</v>
      </c>
      <c r="I583" s="20">
        <f>I584</f>
        <v>0</v>
      </c>
    </row>
    <row r="584" spans="1:17" s="26" customFormat="1" x14ac:dyDescent="0.2">
      <c r="A584" s="28" t="s">
        <v>72</v>
      </c>
      <c r="B584" s="31">
        <v>919</v>
      </c>
      <c r="C584" s="24" t="s">
        <v>31</v>
      </c>
      <c r="D584" s="24" t="s">
        <v>14</v>
      </c>
      <c r="E584" s="24" t="s">
        <v>304</v>
      </c>
      <c r="F584" s="24" t="s">
        <v>73</v>
      </c>
      <c r="G584" s="25">
        <v>14244.7</v>
      </c>
      <c r="H584" s="62">
        <v>0</v>
      </c>
      <c r="I584" s="62">
        <v>0</v>
      </c>
    </row>
    <row r="585" spans="1:17" s="21" customFormat="1" ht="38.25" x14ac:dyDescent="0.2">
      <c r="A585" s="18" t="s">
        <v>307</v>
      </c>
      <c r="B585" s="22">
        <v>919</v>
      </c>
      <c r="C585" s="19" t="s">
        <v>31</v>
      </c>
      <c r="D585" s="19" t="s">
        <v>14</v>
      </c>
      <c r="E585" s="19" t="s">
        <v>306</v>
      </c>
      <c r="F585" s="19"/>
      <c r="G585" s="20">
        <f>G586</f>
        <v>2657.7</v>
      </c>
      <c r="H585" s="20">
        <f>H586</f>
        <v>0</v>
      </c>
      <c r="I585" s="20">
        <f>I586</f>
        <v>0</v>
      </c>
    </row>
    <row r="586" spans="1:17" s="26" customFormat="1" x14ac:dyDescent="0.2">
      <c r="A586" s="28" t="s">
        <v>72</v>
      </c>
      <c r="B586" s="31">
        <v>919</v>
      </c>
      <c r="C586" s="24" t="s">
        <v>31</v>
      </c>
      <c r="D586" s="24" t="s">
        <v>14</v>
      </c>
      <c r="E586" s="24" t="s">
        <v>306</v>
      </c>
      <c r="F586" s="24" t="s">
        <v>73</v>
      </c>
      <c r="G586" s="25">
        <v>2657.7</v>
      </c>
      <c r="H586" s="62">
        <v>0</v>
      </c>
      <c r="I586" s="62">
        <v>0</v>
      </c>
    </row>
    <row r="587" spans="1:17" s="9" customFormat="1" x14ac:dyDescent="0.2">
      <c r="A587" s="11" t="s">
        <v>35</v>
      </c>
      <c r="B587" s="14">
        <v>919</v>
      </c>
      <c r="C587" s="8" t="s">
        <v>31</v>
      </c>
      <c r="D587" s="8" t="s">
        <v>16</v>
      </c>
      <c r="E587" s="8"/>
      <c r="F587" s="8"/>
      <c r="G587" s="4">
        <f>G595+G597+G599+G601+G588+G591+G604+G593</f>
        <v>26487.608990000004</v>
      </c>
      <c r="H587" s="4">
        <f t="shared" ref="H587:I587" si="106">H595+H597+H599+H601+H588+H591+H604+H593</f>
        <v>0</v>
      </c>
      <c r="I587" s="4">
        <f t="shared" si="106"/>
        <v>0</v>
      </c>
      <c r="J587" s="127"/>
      <c r="K587" s="127"/>
      <c r="L587" s="127"/>
      <c r="M587" s="127"/>
      <c r="N587" s="127"/>
      <c r="O587" s="127"/>
      <c r="P587" s="127"/>
      <c r="Q587" s="127"/>
    </row>
    <row r="588" spans="1:17" s="7" customFormat="1" ht="25.5" x14ac:dyDescent="0.2">
      <c r="A588" s="17" t="s">
        <v>441</v>
      </c>
      <c r="B588" s="43">
        <v>919</v>
      </c>
      <c r="C588" s="19" t="s">
        <v>31</v>
      </c>
      <c r="D588" s="19" t="s">
        <v>16</v>
      </c>
      <c r="E588" s="19" t="s">
        <v>438</v>
      </c>
      <c r="F588" s="19"/>
      <c r="G588" s="20">
        <f>G590+G589</f>
        <v>8654.7682000000023</v>
      </c>
      <c r="H588" s="20">
        <f t="shared" ref="H588:I588" si="107">H590+H589</f>
        <v>0</v>
      </c>
      <c r="I588" s="20">
        <f t="shared" si="107"/>
        <v>0</v>
      </c>
      <c r="J588" s="119"/>
      <c r="K588" s="119"/>
      <c r="L588" s="119"/>
      <c r="M588" s="119"/>
      <c r="N588" s="119"/>
      <c r="O588" s="119"/>
      <c r="P588" s="119"/>
      <c r="Q588" s="119"/>
    </row>
    <row r="589" spans="1:17" s="7" customFormat="1" ht="25.5" x14ac:dyDescent="0.2">
      <c r="A589" s="28" t="s">
        <v>76</v>
      </c>
      <c r="B589" s="31">
        <v>919</v>
      </c>
      <c r="C589" s="24" t="s">
        <v>31</v>
      </c>
      <c r="D589" s="24" t="s">
        <v>16</v>
      </c>
      <c r="E589" s="19" t="s">
        <v>438</v>
      </c>
      <c r="F589" s="24" t="s">
        <v>68</v>
      </c>
      <c r="G589" s="25">
        <f>1514.2+18669+840.3+4887.90675-2271.15873-20440.42857+251.3555</f>
        <v>3451.1749500000028</v>
      </c>
      <c r="H589" s="25">
        <f>1563-1563</f>
        <v>0</v>
      </c>
      <c r="I589" s="25"/>
      <c r="J589" s="119"/>
      <c r="K589" s="119"/>
      <c r="L589" s="119"/>
      <c r="M589" s="119"/>
      <c r="N589" s="119"/>
      <c r="O589" s="119"/>
      <c r="P589" s="119"/>
      <c r="Q589" s="119"/>
    </row>
    <row r="590" spans="1:17" s="7" customFormat="1" ht="25.5" x14ac:dyDescent="0.2">
      <c r="A590" s="28" t="s">
        <v>141</v>
      </c>
      <c r="B590" s="31">
        <v>919</v>
      </c>
      <c r="C590" s="24" t="s">
        <v>31</v>
      </c>
      <c r="D590" s="24" t="s">
        <v>16</v>
      </c>
      <c r="E590" s="19" t="s">
        <v>438</v>
      </c>
      <c r="F590" s="24" t="s">
        <v>65</v>
      </c>
      <c r="G590" s="25">
        <f>9334.5+757-4887.90675</f>
        <v>5203.5932499999999</v>
      </c>
      <c r="H590" s="25">
        <f>781-781</f>
        <v>0</v>
      </c>
      <c r="I590" s="25"/>
      <c r="J590" s="119"/>
      <c r="K590" s="119"/>
      <c r="L590" s="119"/>
      <c r="M590" s="119"/>
      <c r="N590" s="119"/>
      <c r="O590" s="119"/>
      <c r="P590" s="119"/>
      <c r="Q590" s="119"/>
    </row>
    <row r="591" spans="1:17" s="7" customFormat="1" ht="25.5" x14ac:dyDescent="0.2">
      <c r="A591" s="17" t="s">
        <v>369</v>
      </c>
      <c r="B591" s="43">
        <v>919</v>
      </c>
      <c r="C591" s="19" t="s">
        <v>31</v>
      </c>
      <c r="D591" s="19" t="s">
        <v>16</v>
      </c>
      <c r="E591" s="19" t="s">
        <v>368</v>
      </c>
      <c r="F591" s="19"/>
      <c r="G591" s="20">
        <f>G592</f>
        <v>150</v>
      </c>
      <c r="H591" s="20">
        <f>H592</f>
        <v>0</v>
      </c>
      <c r="I591" s="20">
        <f>I592</f>
        <v>0</v>
      </c>
    </row>
    <row r="592" spans="1:17" s="7" customFormat="1" ht="25.5" x14ac:dyDescent="0.2">
      <c r="A592" s="28" t="s">
        <v>76</v>
      </c>
      <c r="B592" s="31">
        <v>919</v>
      </c>
      <c r="C592" s="24" t="s">
        <v>31</v>
      </c>
      <c r="D592" s="24" t="s">
        <v>16</v>
      </c>
      <c r="E592" s="19" t="s">
        <v>368</v>
      </c>
      <c r="F592" s="24" t="s">
        <v>68</v>
      </c>
      <c r="G592" s="25">
        <v>150</v>
      </c>
      <c r="H592" s="62">
        <v>0</v>
      </c>
      <c r="I592" s="62">
        <v>0</v>
      </c>
    </row>
    <row r="593" spans="1:17" s="7" customFormat="1" ht="25.5" x14ac:dyDescent="0.2">
      <c r="A593" s="17" t="s">
        <v>409</v>
      </c>
      <c r="B593" s="43">
        <v>919</v>
      </c>
      <c r="C593" s="19" t="s">
        <v>31</v>
      </c>
      <c r="D593" s="19" t="s">
        <v>16</v>
      </c>
      <c r="E593" s="19" t="s">
        <v>407</v>
      </c>
      <c r="F593" s="19"/>
      <c r="G593" s="20">
        <f>G594</f>
        <v>181.64079000000004</v>
      </c>
      <c r="H593" s="20">
        <f t="shared" ref="H593:I593" si="108">H594</f>
        <v>0</v>
      </c>
      <c r="I593" s="20">
        <f t="shared" si="108"/>
        <v>0</v>
      </c>
      <c r="J593" s="119"/>
      <c r="K593" s="119"/>
      <c r="L593" s="119"/>
      <c r="M593" s="119"/>
      <c r="N593" s="119"/>
      <c r="O593" s="119"/>
      <c r="P593" s="119"/>
      <c r="Q593" s="119"/>
    </row>
    <row r="594" spans="1:17" s="7" customFormat="1" ht="25.5" x14ac:dyDescent="0.2">
      <c r="A594" s="28" t="s">
        <v>76</v>
      </c>
      <c r="B594" s="31">
        <v>919</v>
      </c>
      <c r="C594" s="24" t="s">
        <v>31</v>
      </c>
      <c r="D594" s="24" t="s">
        <v>16</v>
      </c>
      <c r="E594" s="24" t="s">
        <v>408</v>
      </c>
      <c r="F594" s="24" t="s">
        <v>68</v>
      </c>
      <c r="G594" s="25">
        <f>796.44+567.31825-1195.3467+13.22924</f>
        <v>181.64079000000004</v>
      </c>
      <c r="H594" s="25">
        <f>821.96-821.96</f>
        <v>0</v>
      </c>
      <c r="I594" s="25"/>
      <c r="J594" s="119"/>
      <c r="K594" s="119"/>
      <c r="L594" s="119"/>
      <c r="M594" s="119"/>
      <c r="N594" s="119"/>
      <c r="O594" s="119"/>
      <c r="P594" s="119"/>
      <c r="Q594" s="119"/>
    </row>
    <row r="595" spans="1:17" s="88" customFormat="1" x14ac:dyDescent="0.2">
      <c r="A595" s="75" t="s">
        <v>309</v>
      </c>
      <c r="B595" s="76">
        <v>919</v>
      </c>
      <c r="C595" s="77" t="s">
        <v>31</v>
      </c>
      <c r="D595" s="77" t="s">
        <v>16</v>
      </c>
      <c r="E595" s="77" t="s">
        <v>308</v>
      </c>
      <c r="F595" s="77"/>
      <c r="G595" s="78">
        <f>G596</f>
        <v>650</v>
      </c>
      <c r="H595" s="78">
        <f>H596</f>
        <v>0</v>
      </c>
      <c r="I595" s="78">
        <f>I596</f>
        <v>0</v>
      </c>
    </row>
    <row r="596" spans="1:17" s="84" customFormat="1" ht="25.5" x14ac:dyDescent="0.2">
      <c r="A596" s="87" t="s">
        <v>141</v>
      </c>
      <c r="B596" s="86">
        <v>919</v>
      </c>
      <c r="C596" s="82" t="s">
        <v>31</v>
      </c>
      <c r="D596" s="82" t="s">
        <v>16</v>
      </c>
      <c r="E596" s="82" t="s">
        <v>308</v>
      </c>
      <c r="F596" s="82" t="s">
        <v>65</v>
      </c>
      <c r="G596" s="62">
        <v>650</v>
      </c>
      <c r="H596" s="62">
        <v>0</v>
      </c>
      <c r="I596" s="62">
        <v>0</v>
      </c>
    </row>
    <row r="597" spans="1:17" s="7" customFormat="1" ht="25.5" x14ac:dyDescent="0.2">
      <c r="A597" s="18" t="s">
        <v>310</v>
      </c>
      <c r="B597" s="22">
        <v>919</v>
      </c>
      <c r="C597" s="19" t="s">
        <v>31</v>
      </c>
      <c r="D597" s="19" t="s">
        <v>16</v>
      </c>
      <c r="E597" s="19" t="s">
        <v>311</v>
      </c>
      <c r="F597" s="19"/>
      <c r="G597" s="20">
        <f>G598</f>
        <v>3500</v>
      </c>
      <c r="H597" s="20">
        <f>H598</f>
        <v>0</v>
      </c>
      <c r="I597" s="20">
        <f>I598</f>
        <v>0</v>
      </c>
    </row>
    <row r="598" spans="1:17" s="26" customFormat="1" ht="25.5" x14ac:dyDescent="0.2">
      <c r="A598" s="28" t="s">
        <v>141</v>
      </c>
      <c r="B598" s="31">
        <v>919</v>
      </c>
      <c r="C598" s="24" t="s">
        <v>31</v>
      </c>
      <c r="D598" s="24" t="s">
        <v>16</v>
      </c>
      <c r="E598" s="24" t="s">
        <v>311</v>
      </c>
      <c r="F598" s="24" t="s">
        <v>65</v>
      </c>
      <c r="G598" s="25">
        <v>3500</v>
      </c>
      <c r="H598" s="62">
        <v>0</v>
      </c>
      <c r="I598" s="62">
        <v>0</v>
      </c>
    </row>
    <row r="599" spans="1:17" s="7" customFormat="1" x14ac:dyDescent="0.2">
      <c r="A599" s="18" t="s">
        <v>313</v>
      </c>
      <c r="B599" s="22">
        <v>919</v>
      </c>
      <c r="C599" s="24" t="s">
        <v>31</v>
      </c>
      <c r="D599" s="24" t="s">
        <v>16</v>
      </c>
      <c r="E599" s="19" t="s">
        <v>312</v>
      </c>
      <c r="F599" s="24"/>
      <c r="G599" s="25">
        <f>G600</f>
        <v>1000</v>
      </c>
      <c r="H599" s="25">
        <f>H600</f>
        <v>0</v>
      </c>
      <c r="I599" s="25">
        <f>I600</f>
        <v>0</v>
      </c>
    </row>
    <row r="600" spans="1:17" s="26" customFormat="1" ht="25.5" x14ac:dyDescent="0.2">
      <c r="A600" s="28" t="s">
        <v>141</v>
      </c>
      <c r="B600" s="31">
        <v>919</v>
      </c>
      <c r="C600" s="24" t="s">
        <v>31</v>
      </c>
      <c r="D600" s="24" t="s">
        <v>16</v>
      </c>
      <c r="E600" s="24" t="s">
        <v>312</v>
      </c>
      <c r="F600" s="24" t="s">
        <v>65</v>
      </c>
      <c r="G600" s="25">
        <v>1000</v>
      </c>
      <c r="H600" s="62">
        <v>0</v>
      </c>
      <c r="I600" s="62">
        <v>0</v>
      </c>
    </row>
    <row r="601" spans="1:17" s="7" customFormat="1" ht="38.25" x14ac:dyDescent="0.2">
      <c r="A601" s="18" t="s">
        <v>315</v>
      </c>
      <c r="B601" s="22">
        <v>919</v>
      </c>
      <c r="C601" s="19" t="s">
        <v>31</v>
      </c>
      <c r="D601" s="19" t="s">
        <v>16</v>
      </c>
      <c r="E601" s="16" t="s">
        <v>314</v>
      </c>
      <c r="F601" s="19"/>
      <c r="G601" s="20">
        <f>G603+G602</f>
        <v>8351.1999999999989</v>
      </c>
      <c r="H601" s="20">
        <f t="shared" ref="H601:I601" si="109">H603+H602</f>
        <v>0</v>
      </c>
      <c r="I601" s="20">
        <f t="shared" si="109"/>
        <v>0</v>
      </c>
      <c r="J601" s="119"/>
      <c r="K601" s="119"/>
      <c r="L601" s="119"/>
      <c r="M601" s="119"/>
      <c r="N601" s="119"/>
      <c r="O601" s="119"/>
      <c r="P601" s="119"/>
      <c r="Q601" s="119"/>
    </row>
    <row r="602" spans="1:17" s="7" customFormat="1" ht="25.5" x14ac:dyDescent="0.2">
      <c r="A602" s="28" t="s">
        <v>76</v>
      </c>
      <c r="B602" s="31">
        <v>919</v>
      </c>
      <c r="C602" s="24" t="s">
        <v>31</v>
      </c>
      <c r="D602" s="24" t="s">
        <v>16</v>
      </c>
      <c r="E602" s="16" t="s">
        <v>314</v>
      </c>
      <c r="F602" s="19" t="s">
        <v>68</v>
      </c>
      <c r="G602" s="20">
        <v>87.8</v>
      </c>
      <c r="H602" s="20">
        <v>0</v>
      </c>
      <c r="I602" s="20">
        <v>0</v>
      </c>
      <c r="J602" s="119"/>
      <c r="K602" s="119"/>
      <c r="L602" s="119"/>
      <c r="M602" s="119"/>
      <c r="N602" s="119"/>
      <c r="O602" s="119"/>
      <c r="P602" s="119"/>
      <c r="Q602" s="119"/>
    </row>
    <row r="603" spans="1:17" s="26" customFormat="1" ht="25.5" x14ac:dyDescent="0.2">
      <c r="A603" s="28" t="s">
        <v>141</v>
      </c>
      <c r="B603" s="31">
        <v>919</v>
      </c>
      <c r="C603" s="24" t="s">
        <v>31</v>
      </c>
      <c r="D603" s="24" t="s">
        <v>16</v>
      </c>
      <c r="E603" s="16" t="s">
        <v>314</v>
      </c>
      <c r="F603" s="24" t="s">
        <v>65</v>
      </c>
      <c r="G603" s="25">
        <f>7950-200+250+200+63.4</f>
        <v>8263.4</v>
      </c>
      <c r="H603" s="25">
        <v>0</v>
      </c>
      <c r="I603" s="25">
        <v>0</v>
      </c>
      <c r="J603" s="118"/>
      <c r="K603" s="118"/>
      <c r="L603" s="118"/>
      <c r="M603" s="118"/>
      <c r="N603" s="118"/>
      <c r="O603" s="118"/>
      <c r="P603" s="118"/>
      <c r="Q603" s="118"/>
    </row>
    <row r="604" spans="1:17" s="21" customFormat="1" x14ac:dyDescent="0.2">
      <c r="A604" s="18" t="s">
        <v>389</v>
      </c>
      <c r="B604" s="18">
        <v>919</v>
      </c>
      <c r="C604" s="19" t="s">
        <v>31</v>
      </c>
      <c r="D604" s="19" t="s">
        <v>16</v>
      </c>
      <c r="E604" s="16" t="s">
        <v>390</v>
      </c>
      <c r="F604" s="19"/>
      <c r="G604" s="20">
        <f>G605</f>
        <v>4000</v>
      </c>
      <c r="H604" s="20">
        <f t="shared" ref="H604:I604" si="110">H605</f>
        <v>0</v>
      </c>
      <c r="I604" s="20">
        <f t="shared" si="110"/>
        <v>0</v>
      </c>
    </row>
    <row r="605" spans="1:17" s="21" customFormat="1" ht="25.5" x14ac:dyDescent="0.2">
      <c r="A605" s="28" t="s">
        <v>141</v>
      </c>
      <c r="B605" s="28">
        <v>919</v>
      </c>
      <c r="C605" s="24" t="s">
        <v>31</v>
      </c>
      <c r="D605" s="24" t="s">
        <v>16</v>
      </c>
      <c r="E605" s="16" t="s">
        <v>390</v>
      </c>
      <c r="F605" s="24" t="s">
        <v>65</v>
      </c>
      <c r="G605" s="25">
        <v>4000</v>
      </c>
      <c r="H605" s="62">
        <v>0</v>
      </c>
      <c r="I605" s="62">
        <v>0</v>
      </c>
    </row>
    <row r="606" spans="1:17" s="74" customFormat="1" ht="25.5" x14ac:dyDescent="0.2">
      <c r="A606" s="70" t="s">
        <v>36</v>
      </c>
      <c r="B606" s="71">
        <v>919</v>
      </c>
      <c r="C606" s="72" t="s">
        <v>31</v>
      </c>
      <c r="D606" s="72" t="s">
        <v>31</v>
      </c>
      <c r="E606" s="72"/>
      <c r="F606" s="72"/>
      <c r="G606" s="73">
        <f>G607+G609+G612</f>
        <v>27467.5</v>
      </c>
      <c r="H606" s="73">
        <f>H607+H609+H612</f>
        <v>18451.8</v>
      </c>
      <c r="I606" s="73">
        <f>I607+I609+I612</f>
        <v>18272.599999999999</v>
      </c>
    </row>
    <row r="607" spans="1:17" s="117" customFormat="1" ht="38.25" x14ac:dyDescent="0.2">
      <c r="A607" s="228" t="s">
        <v>317</v>
      </c>
      <c r="B607" s="229">
        <v>919</v>
      </c>
      <c r="C607" s="230" t="s">
        <v>31</v>
      </c>
      <c r="D607" s="230" t="s">
        <v>31</v>
      </c>
      <c r="E607" s="230" t="s">
        <v>316</v>
      </c>
      <c r="F607" s="230"/>
      <c r="G607" s="231">
        <f>G608</f>
        <v>5099.4000000000005</v>
      </c>
      <c r="H607" s="231">
        <f>H608</f>
        <v>0</v>
      </c>
      <c r="I607" s="231">
        <f>I608</f>
        <v>0</v>
      </c>
    </row>
    <row r="608" spans="1:17" s="118" customFormat="1" ht="25.5" x14ac:dyDescent="0.2">
      <c r="A608" s="224" t="s">
        <v>141</v>
      </c>
      <c r="B608" s="227">
        <v>919</v>
      </c>
      <c r="C608" s="225" t="s">
        <v>31</v>
      </c>
      <c r="D608" s="225" t="s">
        <v>31</v>
      </c>
      <c r="E608" s="225" t="s">
        <v>316</v>
      </c>
      <c r="F608" s="225" t="s">
        <v>65</v>
      </c>
      <c r="G608" s="226">
        <f>6632.1+519+2.9-521.9-2047.7+515</f>
        <v>5099.4000000000005</v>
      </c>
      <c r="H608" s="226">
        <f>6632.1-6632.1</f>
        <v>0</v>
      </c>
      <c r="I608" s="226">
        <f>6632.1-6632.1</f>
        <v>0</v>
      </c>
    </row>
    <row r="609" spans="1:17" s="117" customFormat="1" ht="23.25" customHeight="1" x14ac:dyDescent="0.2">
      <c r="A609" s="228" t="s">
        <v>319</v>
      </c>
      <c r="B609" s="229">
        <v>919</v>
      </c>
      <c r="C609" s="230" t="s">
        <v>31</v>
      </c>
      <c r="D609" s="230" t="s">
        <v>31</v>
      </c>
      <c r="E609" s="230" t="s">
        <v>318</v>
      </c>
      <c r="F609" s="230"/>
      <c r="G609" s="231">
        <f>G610+G611</f>
        <v>6303.5</v>
      </c>
      <c r="H609" s="231">
        <f t="shared" ref="H609:I609" si="111">H610+H611</f>
        <v>4769</v>
      </c>
      <c r="I609" s="231">
        <f t="shared" si="111"/>
        <v>4769</v>
      </c>
    </row>
    <row r="610" spans="1:17" s="118" customFormat="1" ht="54" customHeight="1" x14ac:dyDescent="0.2">
      <c r="A610" s="251" t="s">
        <v>66</v>
      </c>
      <c r="B610" s="241">
        <v>919</v>
      </c>
      <c r="C610" s="225" t="s">
        <v>31</v>
      </c>
      <c r="D610" s="225" t="s">
        <v>31</v>
      </c>
      <c r="E610" s="225" t="s">
        <v>318</v>
      </c>
      <c r="F610" s="225" t="s">
        <v>67</v>
      </c>
      <c r="G610" s="226">
        <f>4351.4+200+1309.5</f>
        <v>5860.9</v>
      </c>
      <c r="H610" s="226">
        <v>4351.3999999999996</v>
      </c>
      <c r="I610" s="226">
        <v>4351.3999999999996</v>
      </c>
    </row>
    <row r="611" spans="1:17" s="26" customFormat="1" ht="25.5" x14ac:dyDescent="0.2">
      <c r="A611" s="28" t="s">
        <v>76</v>
      </c>
      <c r="B611" s="32">
        <v>919</v>
      </c>
      <c r="C611" s="24" t="s">
        <v>31</v>
      </c>
      <c r="D611" s="24" t="s">
        <v>31</v>
      </c>
      <c r="E611" s="24" t="s">
        <v>318</v>
      </c>
      <c r="F611" s="24" t="s">
        <v>68</v>
      </c>
      <c r="G611" s="25">
        <f>417.6+25</f>
        <v>442.6</v>
      </c>
      <c r="H611" s="25">
        <v>417.6</v>
      </c>
      <c r="I611" s="25">
        <v>417.6</v>
      </c>
      <c r="J611" s="118"/>
      <c r="K611" s="118"/>
      <c r="L611" s="118"/>
      <c r="M611" s="118"/>
      <c r="N611" s="118"/>
      <c r="O611" s="118"/>
      <c r="P611" s="118"/>
      <c r="Q611" s="118"/>
    </row>
    <row r="612" spans="1:17" s="128" customFormat="1" ht="38.25" x14ac:dyDescent="0.2">
      <c r="A612" s="228" t="s">
        <v>321</v>
      </c>
      <c r="B612" s="229">
        <v>919</v>
      </c>
      <c r="C612" s="230" t="s">
        <v>31</v>
      </c>
      <c r="D612" s="230" t="s">
        <v>31</v>
      </c>
      <c r="E612" s="230" t="s">
        <v>320</v>
      </c>
      <c r="F612" s="249"/>
      <c r="G612" s="250">
        <f>G613</f>
        <v>16064.599999999999</v>
      </c>
      <c r="H612" s="250">
        <f>H613</f>
        <v>13682.8</v>
      </c>
      <c r="I612" s="250">
        <f>I613</f>
        <v>13503.6</v>
      </c>
    </row>
    <row r="613" spans="1:17" s="118" customFormat="1" ht="25.5" x14ac:dyDescent="0.2">
      <c r="A613" s="224" t="s">
        <v>141</v>
      </c>
      <c r="B613" s="227">
        <v>919</v>
      </c>
      <c r="C613" s="225" t="s">
        <v>31</v>
      </c>
      <c r="D613" s="225" t="s">
        <v>31</v>
      </c>
      <c r="E613" s="225" t="s">
        <v>320</v>
      </c>
      <c r="F613" s="225" t="s">
        <v>65</v>
      </c>
      <c r="G613" s="226">
        <f>13682.8+1649.3+256.7+200+275.8</f>
        <v>16064.599999999999</v>
      </c>
      <c r="H613" s="226">
        <v>13682.8</v>
      </c>
      <c r="I613" s="226">
        <v>13503.6</v>
      </c>
    </row>
    <row r="614" spans="1:17" s="9" customFormat="1" x14ac:dyDescent="0.2">
      <c r="A614" s="11" t="s">
        <v>52</v>
      </c>
      <c r="B614" s="14">
        <v>919</v>
      </c>
      <c r="C614" s="8" t="s">
        <v>51</v>
      </c>
      <c r="D614" s="8"/>
      <c r="E614" s="8"/>
      <c r="F614" s="8"/>
      <c r="G614" s="4">
        <f>G615</f>
        <v>2450.8999999999996</v>
      </c>
      <c r="H614" s="4">
        <f t="shared" ref="H614:I614" si="112">H615</f>
        <v>0</v>
      </c>
      <c r="I614" s="4">
        <f t="shared" si="112"/>
        <v>0</v>
      </c>
    </row>
    <row r="615" spans="1:17" s="9" customFormat="1" x14ac:dyDescent="0.2">
      <c r="A615" s="11" t="s">
        <v>57</v>
      </c>
      <c r="B615" s="14">
        <v>919</v>
      </c>
      <c r="C615" s="8" t="s">
        <v>51</v>
      </c>
      <c r="D615" s="8" t="s">
        <v>50</v>
      </c>
      <c r="E615" s="8"/>
      <c r="F615" s="8"/>
      <c r="G615" s="4">
        <f>G616+G618+G620</f>
        <v>2450.8999999999996</v>
      </c>
      <c r="H615" s="4">
        <f>H616+H618+H620</f>
        <v>0</v>
      </c>
      <c r="I615" s="4">
        <f>I616+I618+I620</f>
        <v>0</v>
      </c>
    </row>
    <row r="616" spans="1:17" s="21" customFormat="1" x14ac:dyDescent="0.2">
      <c r="A616" s="18" t="s">
        <v>322</v>
      </c>
      <c r="B616" s="22">
        <v>919</v>
      </c>
      <c r="C616" s="19" t="s">
        <v>51</v>
      </c>
      <c r="D616" s="19" t="s">
        <v>50</v>
      </c>
      <c r="E616" s="19" t="s">
        <v>323</v>
      </c>
      <c r="F616" s="19"/>
      <c r="G616" s="20">
        <f>G617</f>
        <v>847.8</v>
      </c>
      <c r="H616" s="20">
        <f>H617</f>
        <v>0</v>
      </c>
      <c r="I616" s="20">
        <f>I617</f>
        <v>0</v>
      </c>
    </row>
    <row r="617" spans="1:17" s="26" customFormat="1" x14ac:dyDescent="0.2">
      <c r="A617" s="28" t="s">
        <v>69</v>
      </c>
      <c r="B617" s="31">
        <v>919</v>
      </c>
      <c r="C617" s="24" t="s">
        <v>51</v>
      </c>
      <c r="D617" s="24" t="s">
        <v>50</v>
      </c>
      <c r="E617" s="24" t="s">
        <v>323</v>
      </c>
      <c r="F617" s="24" t="s">
        <v>70</v>
      </c>
      <c r="G617" s="25">
        <v>847.8</v>
      </c>
      <c r="H617" s="62">
        <v>0</v>
      </c>
      <c r="I617" s="62">
        <v>0</v>
      </c>
    </row>
    <row r="618" spans="1:17" ht="25.5" x14ac:dyDescent="0.2">
      <c r="A618" s="18" t="s">
        <v>325</v>
      </c>
      <c r="B618" s="18">
        <v>919</v>
      </c>
      <c r="C618" s="19" t="s">
        <v>51</v>
      </c>
      <c r="D618" s="19" t="s">
        <v>50</v>
      </c>
      <c r="E618" s="19" t="s">
        <v>324</v>
      </c>
      <c r="F618" s="19"/>
      <c r="G618" s="20">
        <f>G619</f>
        <v>1553.1</v>
      </c>
      <c r="H618" s="20">
        <f>H619</f>
        <v>0</v>
      </c>
      <c r="I618" s="20">
        <f>I619</f>
        <v>0</v>
      </c>
      <c r="J618" s="117"/>
      <c r="K618" s="117"/>
      <c r="L618" s="117"/>
      <c r="M618" s="117"/>
      <c r="N618" s="117"/>
      <c r="O618" s="117"/>
      <c r="P618" s="117"/>
      <c r="Q618" s="117"/>
    </row>
    <row r="619" spans="1:17" s="26" customFormat="1" x14ac:dyDescent="0.2">
      <c r="A619" s="28" t="s">
        <v>69</v>
      </c>
      <c r="B619" s="28">
        <v>919</v>
      </c>
      <c r="C619" s="24" t="s">
        <v>51</v>
      </c>
      <c r="D619" s="24" t="s">
        <v>50</v>
      </c>
      <c r="E619" s="24" t="s">
        <v>324</v>
      </c>
      <c r="F619" s="24" t="s">
        <v>70</v>
      </c>
      <c r="G619" s="25">
        <f>1573.8-20.7</f>
        <v>1553.1</v>
      </c>
      <c r="H619" s="25">
        <v>0</v>
      </c>
      <c r="I619" s="25">
        <v>0</v>
      </c>
      <c r="J619" s="118"/>
      <c r="K619" s="118"/>
      <c r="L619" s="118"/>
      <c r="M619" s="118"/>
      <c r="N619" s="118"/>
      <c r="O619" s="118"/>
      <c r="P619" s="118"/>
      <c r="Q619" s="118"/>
    </row>
    <row r="620" spans="1:17" ht="76.5" x14ac:dyDescent="0.2">
      <c r="A620" s="61" t="s">
        <v>327</v>
      </c>
      <c r="B620" s="51">
        <v>919</v>
      </c>
      <c r="C620" s="19" t="s">
        <v>51</v>
      </c>
      <c r="D620" s="19" t="s">
        <v>50</v>
      </c>
      <c r="E620" s="19" t="s">
        <v>326</v>
      </c>
      <c r="F620" s="19"/>
      <c r="G620" s="20">
        <f>G621</f>
        <v>50</v>
      </c>
      <c r="H620" s="20">
        <f>H621</f>
        <v>0</v>
      </c>
      <c r="I620" s="20">
        <f>I621</f>
        <v>0</v>
      </c>
      <c r="J620" s="117"/>
      <c r="K620" s="117"/>
      <c r="L620" s="117"/>
      <c r="M620" s="117"/>
      <c r="N620" s="117"/>
      <c r="O620" s="117"/>
      <c r="P620" s="117"/>
      <c r="Q620" s="117"/>
    </row>
    <row r="621" spans="1:17" s="26" customFormat="1" x14ac:dyDescent="0.2">
      <c r="A621" s="52" t="s">
        <v>69</v>
      </c>
      <c r="B621" s="28">
        <v>919</v>
      </c>
      <c r="C621" s="24" t="s">
        <v>51</v>
      </c>
      <c r="D621" s="24" t="s">
        <v>50</v>
      </c>
      <c r="E621" s="24" t="s">
        <v>326</v>
      </c>
      <c r="F621" s="24" t="s">
        <v>70</v>
      </c>
      <c r="G621" s="25">
        <f>29.3+20.7</f>
        <v>50</v>
      </c>
      <c r="H621" s="25">
        <v>0</v>
      </c>
      <c r="I621" s="25">
        <v>0</v>
      </c>
      <c r="J621" s="118"/>
      <c r="K621" s="118"/>
      <c r="L621" s="118"/>
      <c r="M621" s="118"/>
      <c r="N621" s="118"/>
      <c r="O621" s="118"/>
      <c r="P621" s="118"/>
      <c r="Q621" s="118"/>
    </row>
    <row r="622" spans="1:17" s="15" customFormat="1" ht="14.25" customHeight="1" x14ac:dyDescent="0.25">
      <c r="A622" s="33" t="s">
        <v>58</v>
      </c>
      <c r="B622" s="45"/>
      <c r="C622" s="34"/>
      <c r="D622" s="34"/>
      <c r="E622" s="34"/>
      <c r="F622" s="34"/>
      <c r="G622" s="240">
        <f>G538+G414+G367+G228+G214+G205+G165+G136+G14</f>
        <v>3554306.0833700001</v>
      </c>
      <c r="H622" s="35">
        <f>H538+H414+H367+H228+H214+H205+H165+H136+H14</f>
        <v>2743590.4217400001</v>
      </c>
      <c r="I622" s="35">
        <f>I538+I414+I367+I228+I214+I205+I165+I136+I14</f>
        <v>2712916.764</v>
      </c>
    </row>
    <row r="623" spans="1:17" ht="9.75" customHeight="1" x14ac:dyDescent="0.2">
      <c r="G623" s="134"/>
      <c r="H623" s="134"/>
      <c r="I623" s="134"/>
      <c r="J623" s="21"/>
      <c r="K623" s="21"/>
      <c r="L623" s="21"/>
      <c r="M623" s="21"/>
      <c r="N623" s="21"/>
      <c r="O623" s="21"/>
      <c r="P623" s="21"/>
      <c r="Q623" s="21"/>
    </row>
    <row r="624" spans="1:17" s="79" customFormat="1" hidden="1" x14ac:dyDescent="0.2">
      <c r="C624" s="108"/>
      <c r="D624" s="108"/>
      <c r="E624" s="108"/>
      <c r="F624" s="108"/>
      <c r="G624" s="112"/>
      <c r="H624" s="112"/>
      <c r="I624" s="112"/>
    </row>
    <row r="625" spans="1:19" s="79" customFormat="1" hidden="1" x14ac:dyDescent="0.2">
      <c r="C625" s="108"/>
      <c r="D625" s="108"/>
      <c r="E625" s="108"/>
      <c r="F625" s="108"/>
      <c r="G625" s="112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625" s="112">
        <f>2338074.6-387+20441.05382+796.44</f>
        <v>2358925.0938200001</v>
      </c>
      <c r="I625" s="112">
        <f>2308087.1-387+21095.92313+821.96</f>
        <v>2329617.9831300001</v>
      </c>
    </row>
    <row r="626" spans="1:19" s="79" customFormat="1" hidden="1" x14ac:dyDescent="0.2">
      <c r="C626" s="108"/>
      <c r="D626" s="108"/>
      <c r="E626" s="108"/>
      <c r="F626" s="108"/>
      <c r="G626" s="113">
        <f>G625-G622</f>
        <v>-273553.47900999989</v>
      </c>
      <c r="H626" s="112">
        <f>H625-H622</f>
        <v>-384665.32792000007</v>
      </c>
      <c r="I626" s="112">
        <f>I625-I622</f>
        <v>-383298.7808699999</v>
      </c>
    </row>
    <row r="627" spans="1:19" ht="24" customHeight="1" x14ac:dyDescent="0.2">
      <c r="A627" s="135" t="s">
        <v>64</v>
      </c>
      <c r="B627" s="254"/>
      <c r="F627" s="134"/>
      <c r="G627" s="136"/>
      <c r="H627" s="136"/>
      <c r="I627" s="137" t="s">
        <v>80</v>
      </c>
      <c r="J627" s="21"/>
      <c r="K627" s="21"/>
      <c r="L627" s="21"/>
      <c r="M627" s="21"/>
      <c r="N627" s="21"/>
      <c r="O627" s="21"/>
      <c r="P627" s="21"/>
      <c r="Q627" s="21"/>
    </row>
    <row r="629" spans="1:19" ht="39" x14ac:dyDescent="0.25">
      <c r="G629" s="265">
        <f>3373236.48412+1715.4+4951.4+2095.9+318+390.4+4334.4+1449.3+1309.5+275.8+32.6+183.6-754+2009-8537.5-11000+100+2223.6+423+5600+720+77393.56475+28589.4345-100+26.6-5353.7+25+1173+205.8+1246.9+5751+69.7+1037+71867.8+788.1+200+100+250+50+250-5+150-10385-20+150+19-250</f>
        <v>3554306.0833699992</v>
      </c>
      <c r="H629" s="244">
        <f>2740042.46-821.96+3946.92174+423</f>
        <v>2743590.4217400001</v>
      </c>
      <c r="I629" s="245">
        <f>2609850.4+1858+100785.364+423</f>
        <v>2712916.764</v>
      </c>
      <c r="J629" s="21"/>
      <c r="K629" s="21"/>
      <c r="L629" s="21"/>
      <c r="M629" s="21"/>
      <c r="N629" s="21"/>
      <c r="O629" s="21"/>
      <c r="P629" s="21"/>
      <c r="Q629" s="21"/>
      <c r="S629" s="163" t="s">
        <v>718</v>
      </c>
    </row>
    <row r="630" spans="1:19" x14ac:dyDescent="0.2">
      <c r="G630" s="216">
        <f>G629-G622</f>
        <v>0</v>
      </c>
      <c r="H630" s="140">
        <f>H629-H622</f>
        <v>0</v>
      </c>
      <c r="I630" s="140">
        <f t="shared" ref="I630" si="113">I629-I622</f>
        <v>0</v>
      </c>
      <c r="J630" s="21"/>
      <c r="K630" s="21"/>
      <c r="L630" s="21"/>
      <c r="M630" s="21"/>
      <c r="N630" s="21"/>
      <c r="O630" s="21"/>
      <c r="P630" s="21"/>
      <c r="Q630" s="21"/>
    </row>
    <row r="631" spans="1:19" x14ac:dyDescent="0.2">
      <c r="S631" s="237">
        <f>1715.4+4951.4+2804.3+4334.4+1449.3+1309.5+275.8+32.6+183.6+2009-754-8537.5-11000+100+2223.6+5600+423+423+423+720+77393.56475+28589.4345-100+26.6-5353.7+25+1173+205.8+1246.9+5751+69.7+1037+71867.8+788.1+200+100+250+50+250-5+150-10385-20+150+19-250</f>
        <v>181915.59925</v>
      </c>
    </row>
    <row r="632" spans="1:19" x14ac:dyDescent="0.2">
      <c r="G632" s="246"/>
      <c r="H632" s="246"/>
      <c r="I632" s="246"/>
    </row>
    <row r="634" spans="1:19" x14ac:dyDescent="0.2">
      <c r="G634" s="216"/>
      <c r="H634" s="216"/>
      <c r="I634" s="216"/>
      <c r="J634" s="216">
        <f t="shared" ref="J634:Q634" si="114">J629-J632</f>
        <v>0</v>
      </c>
      <c r="K634" s="216">
        <f t="shared" si="114"/>
        <v>0</v>
      </c>
      <c r="L634" s="216">
        <f t="shared" si="114"/>
        <v>0</v>
      </c>
      <c r="M634" s="216">
        <f t="shared" si="114"/>
        <v>0</v>
      </c>
      <c r="N634" s="216">
        <f t="shared" si="114"/>
        <v>0</v>
      </c>
      <c r="O634" s="216">
        <f t="shared" si="114"/>
        <v>0</v>
      </c>
      <c r="P634" s="216">
        <f t="shared" si="114"/>
        <v>0</v>
      </c>
      <c r="Q634" s="216">
        <f t="shared" si="114"/>
        <v>0</v>
      </c>
    </row>
  </sheetData>
  <mergeCells count="20">
    <mergeCell ref="A4:I4"/>
    <mergeCell ref="A3:I3"/>
    <mergeCell ref="A2:I2"/>
    <mergeCell ref="A1:I1"/>
    <mergeCell ref="H11:H12"/>
    <mergeCell ref="I11:I12"/>
    <mergeCell ref="S203:W204"/>
    <mergeCell ref="S355:X355"/>
    <mergeCell ref="F11:F12"/>
    <mergeCell ref="A5:I5"/>
    <mergeCell ref="A6:I6"/>
    <mergeCell ref="A7:I7"/>
    <mergeCell ref="A9:I9"/>
    <mergeCell ref="A10:G10"/>
    <mergeCell ref="A11:A12"/>
    <mergeCell ref="B11:B12"/>
    <mergeCell ref="C11:C12"/>
    <mergeCell ref="D11:D12"/>
    <mergeCell ref="E11:E12"/>
    <mergeCell ref="G11:G12"/>
  </mergeCells>
  <pageMargins left="0.78740157480314965" right="0.39370078740157483" top="0.59055118110236227" bottom="0.78740157480314965" header="0.31496062992125984" footer="0.31496062992125984"/>
  <pageSetup paperSize="9" scale="55" fitToHeight="30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3"/>
  <sheetViews>
    <sheetView zoomScaleNormal="100" workbookViewId="0">
      <selection activeCell="A13" sqref="A13:I529"/>
    </sheetView>
  </sheetViews>
  <sheetFormatPr defaultRowHeight="12.75" x14ac:dyDescent="0.2"/>
  <cols>
    <col min="1" max="1" width="61.140625" style="21" customWidth="1"/>
    <col min="2" max="2" width="8.7109375" style="201" customWidth="1"/>
    <col min="3" max="3" width="8.7109375" style="138" customWidth="1"/>
    <col min="4" max="4" width="12.140625" style="201" customWidth="1"/>
    <col min="5" max="5" width="12.140625" style="138" customWidth="1"/>
    <col min="6" max="6" width="5.85546875" style="138" customWidth="1"/>
    <col min="7" max="7" width="13.42578125" style="138" customWidth="1"/>
    <col min="8" max="8" width="11.85546875" style="21" customWidth="1"/>
    <col min="9" max="9" width="13.42578125" style="21" customWidth="1"/>
    <col min="10" max="16384" width="9.140625" style="21"/>
  </cols>
  <sheetData>
    <row r="1" spans="1:9" s="236" customFormat="1" ht="18.75" x14ac:dyDescent="0.3">
      <c r="A1" s="289" t="s">
        <v>675</v>
      </c>
      <c r="B1" s="289"/>
      <c r="C1" s="289"/>
      <c r="D1" s="289"/>
      <c r="E1" s="289"/>
      <c r="F1" s="289"/>
      <c r="G1" s="289"/>
      <c r="H1" s="289"/>
      <c r="I1" s="289"/>
    </row>
    <row r="2" spans="1:9" s="236" customFormat="1" ht="18.75" x14ac:dyDescent="0.3">
      <c r="A2" s="289" t="s">
        <v>671</v>
      </c>
      <c r="B2" s="289"/>
      <c r="C2" s="289"/>
      <c r="D2" s="289"/>
      <c r="E2" s="289"/>
      <c r="F2" s="289"/>
      <c r="G2" s="289"/>
      <c r="H2" s="289"/>
      <c r="I2" s="289"/>
    </row>
    <row r="3" spans="1:9" s="236" customFormat="1" ht="18.75" x14ac:dyDescent="0.3">
      <c r="A3" s="289" t="s">
        <v>674</v>
      </c>
      <c r="B3" s="289"/>
      <c r="C3" s="289"/>
      <c r="D3" s="289"/>
      <c r="E3" s="289"/>
      <c r="F3" s="289"/>
      <c r="G3" s="289"/>
      <c r="H3" s="289"/>
      <c r="I3" s="289"/>
    </row>
    <row r="4" spans="1:9" s="236" customFormat="1" x14ac:dyDescent="0.2">
      <c r="B4" s="201"/>
      <c r="C4" s="235"/>
      <c r="D4" s="201"/>
      <c r="E4" s="235"/>
      <c r="F4" s="235"/>
      <c r="G4" s="235"/>
    </row>
    <row r="5" spans="1:9" ht="14.25" customHeight="1" x14ac:dyDescent="0.2">
      <c r="A5" s="281" t="s">
        <v>656</v>
      </c>
      <c r="B5" s="281"/>
      <c r="C5" s="281"/>
      <c r="D5" s="281"/>
      <c r="E5" s="281"/>
      <c r="F5" s="281"/>
      <c r="G5" s="281"/>
      <c r="H5" s="281"/>
      <c r="I5" s="281"/>
    </row>
    <row r="6" spans="1:9" ht="14.25" customHeight="1" x14ac:dyDescent="0.2">
      <c r="A6" s="281" t="s">
        <v>78</v>
      </c>
      <c r="B6" s="281"/>
      <c r="C6" s="281"/>
      <c r="D6" s="281"/>
      <c r="E6" s="281"/>
      <c r="F6" s="281"/>
      <c r="G6" s="281"/>
      <c r="H6" s="281"/>
      <c r="I6" s="281"/>
    </row>
    <row r="7" spans="1:9" ht="14.25" customHeight="1" x14ac:dyDescent="0.2">
      <c r="A7" s="281" t="s">
        <v>672</v>
      </c>
      <c r="B7" s="281"/>
      <c r="C7" s="281"/>
      <c r="D7" s="281"/>
      <c r="E7" s="281"/>
      <c r="F7" s="281"/>
      <c r="G7" s="281"/>
      <c r="H7" s="281"/>
      <c r="I7" s="281"/>
    </row>
    <row r="8" spans="1:9" x14ac:dyDescent="0.2">
      <c r="A8" s="139"/>
      <c r="B8" s="139"/>
      <c r="C8" s="139"/>
      <c r="D8" s="139"/>
      <c r="E8" s="139"/>
      <c r="F8" s="139"/>
      <c r="G8" s="139"/>
      <c r="H8" s="139"/>
      <c r="I8" s="139"/>
    </row>
    <row r="9" spans="1:9" s="185" customFormat="1" ht="67.5" customHeight="1" x14ac:dyDescent="0.2">
      <c r="A9" s="290" t="s">
        <v>655</v>
      </c>
      <c r="B9" s="290"/>
      <c r="C9" s="290"/>
      <c r="D9" s="290"/>
      <c r="E9" s="290"/>
      <c r="F9" s="290"/>
      <c r="G9" s="290"/>
      <c r="H9" s="290"/>
      <c r="I9" s="290"/>
    </row>
    <row r="10" spans="1:9" s="186" customFormat="1" ht="11.25" x14ac:dyDescent="0.2">
      <c r="A10" s="291"/>
      <c r="B10" s="291"/>
      <c r="C10" s="291"/>
      <c r="D10" s="291"/>
      <c r="E10" s="291"/>
      <c r="F10" s="291"/>
      <c r="G10" s="291"/>
      <c r="I10" s="187" t="s">
        <v>62</v>
      </c>
    </row>
    <row r="11" spans="1:9" ht="51.75" x14ac:dyDescent="0.25">
      <c r="A11" s="188"/>
      <c r="B11" s="189" t="s">
        <v>654</v>
      </c>
      <c r="C11" s="189" t="s">
        <v>653</v>
      </c>
      <c r="D11" s="190" t="s">
        <v>652</v>
      </c>
      <c r="E11" s="189" t="s">
        <v>651</v>
      </c>
      <c r="F11" s="191" t="s">
        <v>11</v>
      </c>
      <c r="G11" s="192" t="s">
        <v>650</v>
      </c>
      <c r="H11" s="192" t="s">
        <v>649</v>
      </c>
      <c r="I11" s="192" t="s">
        <v>648</v>
      </c>
    </row>
    <row r="12" spans="1:9" s="177" customFormat="1" ht="15.75" customHeight="1" x14ac:dyDescent="0.2">
      <c r="A12" s="182">
        <v>1</v>
      </c>
      <c r="B12" s="180" t="s">
        <v>502</v>
      </c>
      <c r="C12" s="180" t="s">
        <v>498</v>
      </c>
      <c r="D12" s="181" t="s">
        <v>495</v>
      </c>
      <c r="E12" s="180" t="s">
        <v>492</v>
      </c>
      <c r="F12" s="179">
        <v>6</v>
      </c>
      <c r="G12" s="178">
        <v>7</v>
      </c>
      <c r="H12" s="178">
        <v>8</v>
      </c>
      <c r="I12" s="178">
        <v>9</v>
      </c>
    </row>
    <row r="13" spans="1:9" s="9" customFormat="1" ht="25.5" x14ac:dyDescent="0.2">
      <c r="A13" s="36" t="s">
        <v>647</v>
      </c>
      <c r="B13" s="176" t="s">
        <v>12</v>
      </c>
      <c r="C13" s="176"/>
      <c r="D13" s="176"/>
      <c r="E13" s="176"/>
      <c r="F13" s="175"/>
      <c r="G13" s="174">
        <f>SUM(G14,G24,G29)</f>
        <v>82767.399999999994</v>
      </c>
      <c r="H13" s="174">
        <f>SUM(H14,H24,H29)</f>
        <v>70741</v>
      </c>
      <c r="I13" s="174">
        <f>SUM(I14,I24,I29)</f>
        <v>63256.999999999993</v>
      </c>
    </row>
    <row r="14" spans="1:9" s="84" customFormat="1" ht="25.5" x14ac:dyDescent="0.2">
      <c r="A14" s="173" t="s">
        <v>646</v>
      </c>
      <c r="B14" s="172" t="s">
        <v>12</v>
      </c>
      <c r="C14" s="172" t="s">
        <v>507</v>
      </c>
      <c r="D14" s="172"/>
      <c r="E14" s="172"/>
      <c r="F14" s="171"/>
      <c r="G14" s="170">
        <f>SUM(G15,G17,G21)</f>
        <v>68804.399999999994</v>
      </c>
      <c r="H14" s="170">
        <f>SUM(H15,H17,H21)</f>
        <v>57349.399999999994</v>
      </c>
      <c r="I14" s="170">
        <f>SUM(I15,I17,I21)</f>
        <v>56355.799999999996</v>
      </c>
    </row>
    <row r="15" spans="1:9" s="84" customFormat="1" ht="25.5" x14ac:dyDescent="0.2">
      <c r="A15" s="75" t="s">
        <v>343</v>
      </c>
      <c r="B15" s="77" t="s">
        <v>12</v>
      </c>
      <c r="C15" s="77">
        <v>1</v>
      </c>
      <c r="D15" s="77" t="s">
        <v>463</v>
      </c>
      <c r="E15" s="77" t="s">
        <v>645</v>
      </c>
      <c r="F15" s="77"/>
      <c r="G15" s="78">
        <f>G16</f>
        <v>2148.9</v>
      </c>
      <c r="H15" s="78">
        <f>H16</f>
        <v>1972.4</v>
      </c>
      <c r="I15" s="78">
        <f>I16</f>
        <v>1972.4</v>
      </c>
    </row>
    <row r="16" spans="1:9" s="79" customFormat="1" ht="51" x14ac:dyDescent="0.2">
      <c r="A16" s="80" t="s">
        <v>66</v>
      </c>
      <c r="B16" s="82" t="s">
        <v>12</v>
      </c>
      <c r="C16" s="82">
        <v>1</v>
      </c>
      <c r="D16" s="82" t="s">
        <v>463</v>
      </c>
      <c r="E16" s="82" t="s">
        <v>645</v>
      </c>
      <c r="F16" s="83" t="s">
        <v>67</v>
      </c>
      <c r="G16" s="62">
        <f>'изменения июль вед стр-ра'!G18</f>
        <v>2148.9</v>
      </c>
      <c r="H16" s="62">
        <f>'изменения июль вед стр-ра'!H18</f>
        <v>1972.4</v>
      </c>
      <c r="I16" s="62">
        <f>'изменения июль вед стр-ра'!I18</f>
        <v>1972.4</v>
      </c>
    </row>
    <row r="17" spans="1:9" s="26" customFormat="1" ht="25.5" x14ac:dyDescent="0.2">
      <c r="A17" s="18" t="s">
        <v>343</v>
      </c>
      <c r="B17" s="19" t="s">
        <v>12</v>
      </c>
      <c r="C17" s="19">
        <v>1</v>
      </c>
      <c r="D17" s="19" t="s">
        <v>463</v>
      </c>
      <c r="E17" s="19" t="s">
        <v>644</v>
      </c>
      <c r="F17" s="19"/>
      <c r="G17" s="20">
        <f>SUM(G18:G20)</f>
        <v>60644</v>
      </c>
      <c r="H17" s="20">
        <f>SUM(H18:H20)</f>
        <v>50316.399999999994</v>
      </c>
      <c r="I17" s="20">
        <f>SUM(I18:I20)</f>
        <v>49322.799999999996</v>
      </c>
    </row>
    <row r="18" spans="1:9" s="74" customFormat="1" ht="51" x14ac:dyDescent="0.2">
      <c r="A18" s="80" t="s">
        <v>66</v>
      </c>
      <c r="B18" s="82" t="s">
        <v>12</v>
      </c>
      <c r="C18" s="82">
        <v>1</v>
      </c>
      <c r="D18" s="82" t="s">
        <v>463</v>
      </c>
      <c r="E18" s="82" t="s">
        <v>644</v>
      </c>
      <c r="F18" s="83" t="s">
        <v>67</v>
      </c>
      <c r="G18" s="62">
        <f>'изменения июль вед стр-ра'!G27</f>
        <v>38881.599999999999</v>
      </c>
      <c r="H18" s="62">
        <f>'изменения июль вед стр-ра'!H27</f>
        <v>33307.1</v>
      </c>
      <c r="I18" s="62">
        <f>'изменения июль вед стр-ра'!I27</f>
        <v>33307.1</v>
      </c>
    </row>
    <row r="19" spans="1:9" ht="25.5" x14ac:dyDescent="0.2">
      <c r="A19" s="30" t="s">
        <v>466</v>
      </c>
      <c r="B19" s="24" t="s">
        <v>12</v>
      </c>
      <c r="C19" s="24">
        <v>1</v>
      </c>
      <c r="D19" s="24" t="s">
        <v>463</v>
      </c>
      <c r="E19" s="24" t="s">
        <v>644</v>
      </c>
      <c r="F19" s="27" t="s">
        <v>68</v>
      </c>
      <c r="G19" s="62">
        <f>'изменения июль вед стр-ра'!G28</f>
        <v>21448.800000000003</v>
      </c>
      <c r="H19" s="62">
        <f>'изменения июль вед стр-ра'!H28</f>
        <v>16583.699999999997</v>
      </c>
      <c r="I19" s="62">
        <f>'изменения июль вед стр-ра'!I28</f>
        <v>15590.099999999999</v>
      </c>
    </row>
    <row r="20" spans="1:9" s="26" customFormat="1" x14ac:dyDescent="0.2">
      <c r="A20" s="28" t="s">
        <v>72</v>
      </c>
      <c r="B20" s="24" t="s">
        <v>12</v>
      </c>
      <c r="C20" s="24">
        <v>1</v>
      </c>
      <c r="D20" s="24" t="s">
        <v>463</v>
      </c>
      <c r="E20" s="24" t="s">
        <v>644</v>
      </c>
      <c r="F20" s="24" t="s">
        <v>73</v>
      </c>
      <c r="G20" s="62">
        <f>'изменения июль вед стр-ра'!G29</f>
        <v>313.60000000000002</v>
      </c>
      <c r="H20" s="62">
        <f>'изменения июль вед стр-ра'!H29</f>
        <v>425.6</v>
      </c>
      <c r="I20" s="62">
        <f>'изменения июль вед стр-ра'!I29</f>
        <v>425.6</v>
      </c>
    </row>
    <row r="21" spans="1:9" s="12" customFormat="1" ht="25.5" x14ac:dyDescent="0.2">
      <c r="A21" s="18" t="s">
        <v>343</v>
      </c>
      <c r="B21" s="19" t="s">
        <v>12</v>
      </c>
      <c r="C21" s="19">
        <v>1</v>
      </c>
      <c r="D21" s="19" t="s">
        <v>463</v>
      </c>
      <c r="E21" s="19" t="s">
        <v>643</v>
      </c>
      <c r="F21" s="19"/>
      <c r="G21" s="20">
        <f>G22+G23</f>
        <v>6011.4999999999991</v>
      </c>
      <c r="H21" s="20">
        <f>H22+H23</f>
        <v>5060.5999999999995</v>
      </c>
      <c r="I21" s="20">
        <f>I22+I23</f>
        <v>5060.5999999999995</v>
      </c>
    </row>
    <row r="22" spans="1:9" s="133" customFormat="1" ht="51" x14ac:dyDescent="0.2">
      <c r="A22" s="30" t="s">
        <v>66</v>
      </c>
      <c r="B22" s="19" t="s">
        <v>12</v>
      </c>
      <c r="C22" s="19">
        <v>1</v>
      </c>
      <c r="D22" s="19" t="s">
        <v>463</v>
      </c>
      <c r="E22" s="19" t="s">
        <v>643</v>
      </c>
      <c r="F22" s="27" t="s">
        <v>67</v>
      </c>
      <c r="G22" s="25">
        <f>'изменения июль вед стр-ра'!G33</f>
        <v>5475.7999999999993</v>
      </c>
      <c r="H22" s="25">
        <f>'изменения июль вед стр-ра'!H33</f>
        <v>4694.8999999999996</v>
      </c>
      <c r="I22" s="25">
        <f>'изменения июль вед стр-ра'!I33</f>
        <v>4694.8999999999996</v>
      </c>
    </row>
    <row r="23" spans="1:9" s="84" customFormat="1" ht="25.5" x14ac:dyDescent="0.2">
      <c r="A23" s="80" t="s">
        <v>466</v>
      </c>
      <c r="B23" s="77" t="s">
        <v>12</v>
      </c>
      <c r="C23" s="77">
        <v>1</v>
      </c>
      <c r="D23" s="77" t="s">
        <v>463</v>
      </c>
      <c r="E23" s="77" t="s">
        <v>643</v>
      </c>
      <c r="F23" s="83" t="s">
        <v>68</v>
      </c>
      <c r="G23" s="25">
        <f>'изменения июль вед стр-ра'!G34</f>
        <v>535.70000000000005</v>
      </c>
      <c r="H23" s="25">
        <f>'изменения июль вед стр-ра'!H34</f>
        <v>365.7</v>
      </c>
      <c r="I23" s="25">
        <f>'изменения июль вед стр-ра'!I34</f>
        <v>365.7</v>
      </c>
    </row>
    <row r="24" spans="1:9" s="79" customFormat="1" ht="25.5" x14ac:dyDescent="0.2">
      <c r="A24" s="159" t="s">
        <v>642</v>
      </c>
      <c r="B24" s="152" t="s">
        <v>12</v>
      </c>
      <c r="C24" s="152" t="s">
        <v>495</v>
      </c>
      <c r="D24" s="152"/>
      <c r="E24" s="152"/>
      <c r="F24" s="158"/>
      <c r="G24" s="151">
        <f>SUM(G25,G27)</f>
        <v>6222.4</v>
      </c>
      <c r="H24" s="151">
        <f>SUM(H25,H27)</f>
        <v>5171</v>
      </c>
      <c r="I24" s="151">
        <f>SUM(I25,I27)</f>
        <v>5035.6000000000004</v>
      </c>
    </row>
    <row r="25" spans="1:9" ht="25.5" x14ac:dyDescent="0.2">
      <c r="A25" s="132" t="s">
        <v>152</v>
      </c>
      <c r="B25" s="5" t="s">
        <v>12</v>
      </c>
      <c r="C25" s="5">
        <v>4</v>
      </c>
      <c r="D25" s="5" t="s">
        <v>463</v>
      </c>
      <c r="E25" s="5" t="s">
        <v>641</v>
      </c>
      <c r="F25" s="5"/>
      <c r="G25" s="6">
        <f>G26</f>
        <v>6102.4</v>
      </c>
      <c r="H25" s="6">
        <f>H26</f>
        <v>5051</v>
      </c>
      <c r="I25" s="6">
        <f>I26</f>
        <v>4915.6000000000004</v>
      </c>
    </row>
    <row r="26" spans="1:9" s="26" customFormat="1" ht="25.5" x14ac:dyDescent="0.2">
      <c r="A26" s="28" t="s">
        <v>141</v>
      </c>
      <c r="B26" s="24" t="s">
        <v>12</v>
      </c>
      <c r="C26" s="24">
        <v>4</v>
      </c>
      <c r="D26" s="24" t="s">
        <v>463</v>
      </c>
      <c r="E26" s="24" t="s">
        <v>641</v>
      </c>
      <c r="F26" s="24" t="s">
        <v>65</v>
      </c>
      <c r="G26" s="25">
        <f>'изменения июль вед стр-ра'!G57</f>
        <v>6102.4</v>
      </c>
      <c r="H26" s="25">
        <f>'изменения июль вед стр-ра'!H57</f>
        <v>5051</v>
      </c>
      <c r="I26" s="25">
        <f>'изменения июль вед стр-ра'!I57</f>
        <v>4915.6000000000004</v>
      </c>
    </row>
    <row r="27" spans="1:9" ht="24.75" customHeight="1" x14ac:dyDescent="0.2">
      <c r="A27" s="18" t="s">
        <v>149</v>
      </c>
      <c r="B27" s="19" t="s">
        <v>12</v>
      </c>
      <c r="C27" s="19">
        <v>4</v>
      </c>
      <c r="D27" s="19" t="s">
        <v>463</v>
      </c>
      <c r="E27" s="19" t="s">
        <v>640</v>
      </c>
      <c r="F27" s="19"/>
      <c r="G27" s="20">
        <f>G28</f>
        <v>120</v>
      </c>
      <c r="H27" s="20">
        <f>H28</f>
        <v>120</v>
      </c>
      <c r="I27" s="20">
        <f>I28</f>
        <v>120</v>
      </c>
    </row>
    <row r="28" spans="1:9" s="26" customFormat="1" ht="25.5" x14ac:dyDescent="0.2">
      <c r="A28" s="28" t="s">
        <v>141</v>
      </c>
      <c r="B28" s="24" t="s">
        <v>12</v>
      </c>
      <c r="C28" s="24">
        <v>4</v>
      </c>
      <c r="D28" s="24" t="s">
        <v>463</v>
      </c>
      <c r="E28" s="24">
        <v>79050</v>
      </c>
      <c r="F28" s="24" t="s">
        <v>65</v>
      </c>
      <c r="G28" s="25">
        <f>'изменения июль вед стр-ра'!G53</f>
        <v>120</v>
      </c>
      <c r="H28" s="25">
        <f>'изменения июль вед стр-ра'!H53</f>
        <v>120</v>
      </c>
      <c r="I28" s="25">
        <f>'изменения июль вед стр-ра'!I53</f>
        <v>120</v>
      </c>
    </row>
    <row r="29" spans="1:9" s="84" customFormat="1" ht="25.5" x14ac:dyDescent="0.2">
      <c r="A29" s="154" t="s">
        <v>639</v>
      </c>
      <c r="B29" s="153" t="s">
        <v>12</v>
      </c>
      <c r="C29" s="152" t="s">
        <v>492</v>
      </c>
      <c r="D29" s="152"/>
      <c r="E29" s="152"/>
      <c r="F29" s="152"/>
      <c r="G29" s="151">
        <f>SUM(G30,G32,G35,G37,G39,G42,G45)</f>
        <v>7740.6</v>
      </c>
      <c r="H29" s="151">
        <f>SUM(H30,H32,H35,H37,H39,H42,H45)</f>
        <v>8220.5999999999985</v>
      </c>
      <c r="I29" s="151">
        <f>SUM(I30,I32,I35,I37,I39,I42,I45)</f>
        <v>1865.6</v>
      </c>
    </row>
    <row r="30" spans="1:9" s="84" customFormat="1" x14ac:dyDescent="0.2">
      <c r="A30" s="75" t="s">
        <v>285</v>
      </c>
      <c r="B30" s="77" t="s">
        <v>12</v>
      </c>
      <c r="C30" s="77">
        <v>5</v>
      </c>
      <c r="D30" s="77" t="s">
        <v>463</v>
      </c>
      <c r="E30" s="77" t="s">
        <v>638</v>
      </c>
      <c r="F30" s="77"/>
      <c r="G30" s="78">
        <f>G31</f>
        <v>1544.1</v>
      </c>
      <c r="H30" s="78">
        <f>H31</f>
        <v>2024.1</v>
      </c>
      <c r="I30" s="78">
        <f>I31</f>
        <v>57.799999999999955</v>
      </c>
    </row>
    <row r="31" spans="1:9" s="157" customFormat="1" ht="15.75" x14ac:dyDescent="0.25">
      <c r="A31" s="28" t="s">
        <v>72</v>
      </c>
      <c r="B31" s="24" t="s">
        <v>12</v>
      </c>
      <c r="C31" s="24">
        <v>5</v>
      </c>
      <c r="D31" s="24" t="s">
        <v>463</v>
      </c>
      <c r="E31" s="24" t="s">
        <v>638</v>
      </c>
      <c r="F31" s="24" t="s">
        <v>73</v>
      </c>
      <c r="G31" s="62">
        <f>'изменения июль вед стр-ра'!G40</f>
        <v>1544.1</v>
      </c>
      <c r="H31" s="62">
        <f>'изменения июль вед стр-ра'!H40</f>
        <v>2024.1</v>
      </c>
      <c r="I31" s="62">
        <f>'изменения июль вед стр-ра'!I40</f>
        <v>57.799999999999955</v>
      </c>
    </row>
    <row r="32" spans="1:9" s="9" customFormat="1" x14ac:dyDescent="0.2">
      <c r="A32" s="18" t="s">
        <v>185</v>
      </c>
      <c r="B32" s="19" t="s">
        <v>12</v>
      </c>
      <c r="C32" s="19">
        <v>5</v>
      </c>
      <c r="D32" s="19" t="s">
        <v>463</v>
      </c>
      <c r="E32" s="19" t="s">
        <v>637</v>
      </c>
      <c r="F32" s="19"/>
      <c r="G32" s="20">
        <f>G34+G33</f>
        <v>114.19999999999999</v>
      </c>
      <c r="H32" s="20">
        <f>H34+H33</f>
        <v>114.19999999999999</v>
      </c>
      <c r="I32" s="20">
        <f>I34+I33</f>
        <v>114.19999999999999</v>
      </c>
    </row>
    <row r="33" spans="1:9" ht="25.5" x14ac:dyDescent="0.2">
      <c r="A33" s="30" t="s">
        <v>466</v>
      </c>
      <c r="B33" s="24" t="s">
        <v>12</v>
      </c>
      <c r="C33" s="24">
        <v>5</v>
      </c>
      <c r="D33" s="24" t="s">
        <v>463</v>
      </c>
      <c r="E33" s="24" t="s">
        <v>637</v>
      </c>
      <c r="F33" s="27" t="s">
        <v>68</v>
      </c>
      <c r="G33" s="25">
        <f>'изменения июль вед стр-ра'!G123</f>
        <v>0.6</v>
      </c>
      <c r="H33" s="25">
        <f>'изменения июль вед стр-ра'!H123</f>
        <v>0.6</v>
      </c>
      <c r="I33" s="25">
        <f>'изменения июль вед стр-ра'!I123</f>
        <v>0.6</v>
      </c>
    </row>
    <row r="34" spans="1:9" s="26" customFormat="1" x14ac:dyDescent="0.2">
      <c r="A34" s="28" t="s">
        <v>69</v>
      </c>
      <c r="B34" s="24" t="s">
        <v>12</v>
      </c>
      <c r="C34" s="24">
        <v>5</v>
      </c>
      <c r="D34" s="24" t="s">
        <v>463</v>
      </c>
      <c r="E34" s="24" t="s">
        <v>637</v>
      </c>
      <c r="F34" s="24" t="s">
        <v>70</v>
      </c>
      <c r="G34" s="25">
        <f>'изменения июль вед стр-ра'!G124</f>
        <v>113.6</v>
      </c>
      <c r="H34" s="25">
        <f>'изменения июль вед стр-ра'!H124</f>
        <v>113.6</v>
      </c>
      <c r="I34" s="25">
        <f>'изменения июль вед стр-ра'!I124</f>
        <v>113.6</v>
      </c>
    </row>
    <row r="35" spans="1:9" s="169" customFormat="1" ht="15" x14ac:dyDescent="0.2">
      <c r="A35" s="75" t="s">
        <v>227</v>
      </c>
      <c r="B35" s="77" t="s">
        <v>12</v>
      </c>
      <c r="C35" s="77">
        <v>5</v>
      </c>
      <c r="D35" s="77" t="s">
        <v>463</v>
      </c>
      <c r="E35" s="77" t="s">
        <v>636</v>
      </c>
      <c r="F35" s="77"/>
      <c r="G35" s="78">
        <f>G36</f>
        <v>3423.5</v>
      </c>
      <c r="H35" s="78">
        <f>H36</f>
        <v>3423.5</v>
      </c>
      <c r="I35" s="78">
        <f>I36</f>
        <v>144.30000000000001</v>
      </c>
    </row>
    <row r="36" spans="1:9" s="74" customFormat="1" x14ac:dyDescent="0.2">
      <c r="A36" s="87" t="s">
        <v>69</v>
      </c>
      <c r="B36" s="82" t="s">
        <v>12</v>
      </c>
      <c r="C36" s="82">
        <v>5</v>
      </c>
      <c r="D36" s="82" t="s">
        <v>463</v>
      </c>
      <c r="E36" s="82" t="s">
        <v>636</v>
      </c>
      <c r="F36" s="82" t="s">
        <v>70</v>
      </c>
      <c r="G36" s="62">
        <f>'изменения июль вед стр-ра'!G43+'изменения июль вед стр-ра'!G227</f>
        <v>3423.5</v>
      </c>
      <c r="H36" s="62">
        <f>'изменения июль вед стр-ра'!H43+'изменения июль вед стр-ра'!H227</f>
        <v>3423.5</v>
      </c>
      <c r="I36" s="62">
        <f>'изменения июль вед стр-ра'!I43+'изменения июль вед стр-ра'!I227</f>
        <v>144.30000000000001</v>
      </c>
    </row>
    <row r="37" spans="1:9" x14ac:dyDescent="0.2">
      <c r="A37" s="18" t="s">
        <v>286</v>
      </c>
      <c r="B37" s="19" t="s">
        <v>12</v>
      </c>
      <c r="C37" s="19">
        <v>5</v>
      </c>
      <c r="D37" s="19" t="s">
        <v>463</v>
      </c>
      <c r="E37" s="19" t="s">
        <v>635</v>
      </c>
      <c r="F37" s="19"/>
      <c r="G37" s="20">
        <f>G38</f>
        <v>1109.5</v>
      </c>
      <c r="H37" s="20">
        <f>H38</f>
        <v>1109.5</v>
      </c>
      <c r="I37" s="20">
        <f>I38</f>
        <v>0</v>
      </c>
    </row>
    <row r="38" spans="1:9" x14ac:dyDescent="0.2">
      <c r="A38" s="28" t="s">
        <v>72</v>
      </c>
      <c r="B38" s="24" t="s">
        <v>12</v>
      </c>
      <c r="C38" s="24">
        <v>5</v>
      </c>
      <c r="D38" s="24" t="s">
        <v>463</v>
      </c>
      <c r="E38" s="24" t="s">
        <v>635</v>
      </c>
      <c r="F38" s="24" t="s">
        <v>73</v>
      </c>
      <c r="G38" s="25">
        <f>'изменения июль вед стр-ра'!G45</f>
        <v>1109.5</v>
      </c>
      <c r="H38" s="25">
        <f>'изменения июль вед стр-ра'!H45</f>
        <v>1109.5</v>
      </c>
      <c r="I38" s="25">
        <f>'изменения июль вед стр-ра'!I45</f>
        <v>0</v>
      </c>
    </row>
    <row r="39" spans="1:9" s="26" customFormat="1" ht="25.5" x14ac:dyDescent="0.2">
      <c r="A39" s="18" t="s">
        <v>143</v>
      </c>
      <c r="B39" s="19" t="s">
        <v>12</v>
      </c>
      <c r="C39" s="19">
        <v>5</v>
      </c>
      <c r="D39" s="19" t="s">
        <v>463</v>
      </c>
      <c r="E39" s="19" t="s">
        <v>634</v>
      </c>
      <c r="F39" s="19"/>
      <c r="G39" s="20">
        <f>G40+G41</f>
        <v>468.29999999999995</v>
      </c>
      <c r="H39" s="20">
        <f>H40+H41</f>
        <v>468.29999999999995</v>
      </c>
      <c r="I39" s="20">
        <f>I40+I41</f>
        <v>468.29999999999995</v>
      </c>
    </row>
    <row r="40" spans="1:9" s="9" customFormat="1" ht="51" x14ac:dyDescent="0.2">
      <c r="A40" s="30" t="s">
        <v>66</v>
      </c>
      <c r="B40" s="24" t="s">
        <v>12</v>
      </c>
      <c r="C40" s="24">
        <v>5</v>
      </c>
      <c r="D40" s="24" t="s">
        <v>463</v>
      </c>
      <c r="E40" s="24">
        <v>71960</v>
      </c>
      <c r="F40" s="27" t="s">
        <v>67</v>
      </c>
      <c r="G40" s="25">
        <f>'изменения июль вед стр-ра'!G21</f>
        <v>440.29999999999995</v>
      </c>
      <c r="H40" s="25">
        <f>'изменения июль вед стр-ра'!H21</f>
        <v>440.29999999999995</v>
      </c>
      <c r="I40" s="25">
        <f>'изменения июль вед стр-ра'!I21</f>
        <v>440.29999999999995</v>
      </c>
    </row>
    <row r="41" spans="1:9" ht="25.5" x14ac:dyDescent="0.2">
      <c r="A41" s="30" t="s">
        <v>466</v>
      </c>
      <c r="B41" s="24" t="s">
        <v>12</v>
      </c>
      <c r="C41" s="24">
        <v>5</v>
      </c>
      <c r="D41" s="24" t="s">
        <v>463</v>
      </c>
      <c r="E41" s="24">
        <v>71960</v>
      </c>
      <c r="F41" s="27" t="s">
        <v>68</v>
      </c>
      <c r="G41" s="25">
        <f>'изменения июль вед стр-ра'!G22</f>
        <v>28</v>
      </c>
      <c r="H41" s="25">
        <f>'изменения июль вед стр-ра'!H22</f>
        <v>28</v>
      </c>
      <c r="I41" s="25">
        <f>'изменения июль вед стр-ра'!I22</f>
        <v>28</v>
      </c>
    </row>
    <row r="42" spans="1:9" s="79" customFormat="1" x14ac:dyDescent="0.2">
      <c r="A42" s="75" t="s">
        <v>144</v>
      </c>
      <c r="B42" s="77" t="s">
        <v>12</v>
      </c>
      <c r="C42" s="77">
        <v>5</v>
      </c>
      <c r="D42" s="77" t="s">
        <v>463</v>
      </c>
      <c r="E42" s="77">
        <v>79060</v>
      </c>
      <c r="F42" s="77"/>
      <c r="G42" s="78">
        <f>G43+G44</f>
        <v>115</v>
      </c>
      <c r="H42" s="78">
        <f>H43+H44</f>
        <v>115</v>
      </c>
      <c r="I42" s="78">
        <f>I43+I44</f>
        <v>115</v>
      </c>
    </row>
    <row r="43" spans="1:9" s="84" customFormat="1" ht="51" x14ac:dyDescent="0.2">
      <c r="A43" s="80" t="s">
        <v>66</v>
      </c>
      <c r="B43" s="82" t="s">
        <v>12</v>
      </c>
      <c r="C43" s="82">
        <v>5</v>
      </c>
      <c r="D43" s="82" t="s">
        <v>463</v>
      </c>
      <c r="E43" s="82">
        <v>79060</v>
      </c>
      <c r="F43" s="83" t="s">
        <v>67</v>
      </c>
      <c r="G43" s="62">
        <f>'изменения июль вед стр-ра'!G24</f>
        <v>113</v>
      </c>
      <c r="H43" s="62">
        <f>'изменения июль вед стр-ра'!H24</f>
        <v>113</v>
      </c>
      <c r="I43" s="62">
        <f>'изменения июль вед стр-ра'!I24</f>
        <v>113</v>
      </c>
    </row>
    <row r="44" spans="1:9" s="79" customFormat="1" ht="25.5" x14ac:dyDescent="0.2">
      <c r="A44" s="80" t="s">
        <v>466</v>
      </c>
      <c r="B44" s="82" t="s">
        <v>12</v>
      </c>
      <c r="C44" s="82">
        <v>5</v>
      </c>
      <c r="D44" s="82" t="s">
        <v>463</v>
      </c>
      <c r="E44" s="82">
        <v>79060</v>
      </c>
      <c r="F44" s="83" t="s">
        <v>68</v>
      </c>
      <c r="G44" s="62">
        <f>'изменения июль вед стр-ра'!G25</f>
        <v>2</v>
      </c>
      <c r="H44" s="62">
        <f>'изменения июль вед стр-ра'!H25</f>
        <v>2</v>
      </c>
      <c r="I44" s="62">
        <f>'изменения июль вед стр-ра'!I25</f>
        <v>2</v>
      </c>
    </row>
    <row r="45" spans="1:9" s="79" customFormat="1" ht="25.5" x14ac:dyDescent="0.2">
      <c r="A45" s="89" t="s">
        <v>150</v>
      </c>
      <c r="B45" s="77" t="s">
        <v>12</v>
      </c>
      <c r="C45" s="77">
        <v>5</v>
      </c>
      <c r="D45" s="77" t="s">
        <v>463</v>
      </c>
      <c r="E45" s="77" t="s">
        <v>633</v>
      </c>
      <c r="F45" s="77"/>
      <c r="G45" s="78">
        <f>G46</f>
        <v>966</v>
      </c>
      <c r="H45" s="78">
        <f>H46</f>
        <v>966</v>
      </c>
      <c r="I45" s="78">
        <f>I46</f>
        <v>966</v>
      </c>
    </row>
    <row r="46" spans="1:9" s="74" customFormat="1" x14ac:dyDescent="0.2">
      <c r="A46" s="87" t="s">
        <v>69</v>
      </c>
      <c r="B46" s="82" t="s">
        <v>12</v>
      </c>
      <c r="C46" s="82">
        <v>5</v>
      </c>
      <c r="D46" s="82" t="s">
        <v>463</v>
      </c>
      <c r="E46" s="77" t="s">
        <v>633</v>
      </c>
      <c r="F46" s="82" t="s">
        <v>70</v>
      </c>
      <c r="G46" s="62">
        <f>'изменения июль вед стр-ра'!G55</f>
        <v>966</v>
      </c>
      <c r="H46" s="62">
        <f>'изменения июль вед стр-ра'!H55</f>
        <v>966</v>
      </c>
      <c r="I46" s="62">
        <f>'изменения июль вед стр-ра'!I55</f>
        <v>966</v>
      </c>
    </row>
    <row r="47" spans="1:9" s="26" customFormat="1" ht="38.25" x14ac:dyDescent="0.2">
      <c r="A47" s="40" t="s">
        <v>632</v>
      </c>
      <c r="B47" s="41" t="s">
        <v>14</v>
      </c>
      <c r="C47" s="41"/>
      <c r="D47" s="41"/>
      <c r="E47" s="41"/>
      <c r="F47" s="41"/>
      <c r="G47" s="39">
        <f>SUM(G48,G50,G52,G54,G56,G58,G62,G64,G67)</f>
        <v>50640.299999999996</v>
      </c>
      <c r="H47" s="39">
        <f>SUM(H48,H50,H52,H54,H56,H58,H62,H64,H67)</f>
        <v>17980.399999999998</v>
      </c>
      <c r="I47" s="39">
        <f>SUM(I48,I50,I52,I54,I56,I58,I62,I64,I67)</f>
        <v>17980.399999999998</v>
      </c>
    </row>
    <row r="48" spans="1:9" x14ac:dyDescent="0.2">
      <c r="A48" s="18" t="s">
        <v>212</v>
      </c>
      <c r="B48" s="19" t="s">
        <v>14</v>
      </c>
      <c r="C48" s="19">
        <v>0</v>
      </c>
      <c r="D48" s="19" t="s">
        <v>463</v>
      </c>
      <c r="E48" s="19" t="s">
        <v>631</v>
      </c>
      <c r="F48" s="19"/>
      <c r="G48" s="20">
        <f>G49</f>
        <v>700</v>
      </c>
      <c r="H48" s="20">
        <f>H49</f>
        <v>400</v>
      </c>
      <c r="I48" s="20">
        <f>I49</f>
        <v>400</v>
      </c>
    </row>
    <row r="49" spans="1:11" s="26" customFormat="1" ht="25.5" x14ac:dyDescent="0.2">
      <c r="A49" s="30" t="s">
        <v>466</v>
      </c>
      <c r="B49" s="24" t="s">
        <v>14</v>
      </c>
      <c r="C49" s="24">
        <v>0</v>
      </c>
      <c r="D49" s="24" t="s">
        <v>463</v>
      </c>
      <c r="E49" s="24" t="s">
        <v>631</v>
      </c>
      <c r="F49" s="27" t="s">
        <v>68</v>
      </c>
      <c r="G49" s="25">
        <f>'изменения июль вед стр-ра'!G189</f>
        <v>700</v>
      </c>
      <c r="H49" s="25">
        <f>'изменения июль вед стр-ра'!H189</f>
        <v>400</v>
      </c>
      <c r="I49" s="25">
        <f>'изменения июль вед стр-ра'!I189</f>
        <v>400</v>
      </c>
    </row>
    <row r="50" spans="1:11" s="26" customFormat="1" ht="38.25" x14ac:dyDescent="0.2">
      <c r="A50" s="18" t="s">
        <v>213</v>
      </c>
      <c r="B50" s="19" t="s">
        <v>14</v>
      </c>
      <c r="C50" s="19">
        <v>0</v>
      </c>
      <c r="D50" s="19" t="s">
        <v>463</v>
      </c>
      <c r="E50" s="19" t="s">
        <v>630</v>
      </c>
      <c r="F50" s="19"/>
      <c r="G50" s="20">
        <f>G51</f>
        <v>50</v>
      </c>
      <c r="H50" s="20">
        <f>H51</f>
        <v>200</v>
      </c>
      <c r="I50" s="20">
        <f>I51</f>
        <v>200</v>
      </c>
    </row>
    <row r="51" spans="1:11" ht="25.5" x14ac:dyDescent="0.2">
      <c r="A51" s="30" t="s">
        <v>466</v>
      </c>
      <c r="B51" s="24" t="s">
        <v>14</v>
      </c>
      <c r="C51" s="24">
        <v>0</v>
      </c>
      <c r="D51" s="24" t="s">
        <v>463</v>
      </c>
      <c r="E51" s="24" t="s">
        <v>630</v>
      </c>
      <c r="F51" s="27" t="s">
        <v>68</v>
      </c>
      <c r="G51" s="25">
        <f>'изменения июль вед стр-ра'!G191</f>
        <v>50</v>
      </c>
      <c r="H51" s="25">
        <f>'изменения июль вед стр-ра'!H191</f>
        <v>200</v>
      </c>
      <c r="I51" s="25">
        <f>'изменения июль вед стр-ра'!I191</f>
        <v>200</v>
      </c>
    </row>
    <row r="52" spans="1:11" s="26" customFormat="1" ht="25.5" x14ac:dyDescent="0.2">
      <c r="A52" s="18" t="s">
        <v>198</v>
      </c>
      <c r="B52" s="5" t="s">
        <v>14</v>
      </c>
      <c r="C52" s="5">
        <v>0</v>
      </c>
      <c r="D52" s="5" t="s">
        <v>463</v>
      </c>
      <c r="E52" s="5" t="s">
        <v>629</v>
      </c>
      <c r="F52" s="5"/>
      <c r="G52" s="6">
        <f>G53</f>
        <v>1050</v>
      </c>
      <c r="H52" s="6">
        <f>H53</f>
        <v>300</v>
      </c>
      <c r="I52" s="6">
        <f>I53</f>
        <v>300</v>
      </c>
    </row>
    <row r="53" spans="1:11" s="26" customFormat="1" ht="25.5" x14ac:dyDescent="0.2">
      <c r="A53" s="30" t="s">
        <v>466</v>
      </c>
      <c r="B53" s="24" t="s">
        <v>14</v>
      </c>
      <c r="C53" s="24">
        <v>0</v>
      </c>
      <c r="D53" s="24" t="s">
        <v>463</v>
      </c>
      <c r="E53" s="24" t="s">
        <v>629</v>
      </c>
      <c r="F53" s="27" t="s">
        <v>68</v>
      </c>
      <c r="G53" s="25">
        <f>'изменения июль вед стр-ра'!G169</f>
        <v>1050</v>
      </c>
      <c r="H53" s="25">
        <f>'изменения июль вед стр-ра'!H169</f>
        <v>300</v>
      </c>
      <c r="I53" s="25">
        <f>'изменения июль вед стр-ра'!I169</f>
        <v>300</v>
      </c>
    </row>
    <row r="54" spans="1:11" s="26" customFormat="1" x14ac:dyDescent="0.2">
      <c r="A54" s="18" t="s">
        <v>199</v>
      </c>
      <c r="B54" s="5" t="s">
        <v>14</v>
      </c>
      <c r="C54" s="5">
        <v>0</v>
      </c>
      <c r="D54" s="5" t="s">
        <v>463</v>
      </c>
      <c r="E54" s="5" t="s">
        <v>628</v>
      </c>
      <c r="F54" s="5"/>
      <c r="G54" s="6">
        <f>G55</f>
        <v>600</v>
      </c>
      <c r="H54" s="6">
        <f>H55</f>
        <v>300</v>
      </c>
      <c r="I54" s="6">
        <f>I55</f>
        <v>300</v>
      </c>
      <c r="J54" s="21"/>
      <c r="K54" s="21"/>
    </row>
    <row r="55" spans="1:11" ht="25.5" x14ac:dyDescent="0.2">
      <c r="A55" s="30" t="s">
        <v>466</v>
      </c>
      <c r="B55" s="24" t="s">
        <v>14</v>
      </c>
      <c r="C55" s="24">
        <v>0</v>
      </c>
      <c r="D55" s="24" t="s">
        <v>463</v>
      </c>
      <c r="E55" s="24" t="s">
        <v>628</v>
      </c>
      <c r="F55" s="27" t="s">
        <v>68</v>
      </c>
      <c r="G55" s="25">
        <f>'изменения июль вед стр-ра'!G171</f>
        <v>600</v>
      </c>
      <c r="H55" s="25">
        <f>'изменения июль вед стр-ра'!H171</f>
        <v>300</v>
      </c>
      <c r="I55" s="25">
        <f>'изменения июль вед стр-ра'!I171</f>
        <v>300</v>
      </c>
    </row>
    <row r="56" spans="1:11" s="26" customFormat="1" ht="25.5" x14ac:dyDescent="0.2">
      <c r="A56" s="18" t="s">
        <v>201</v>
      </c>
      <c r="B56" s="19" t="s">
        <v>14</v>
      </c>
      <c r="C56" s="19" t="s">
        <v>464</v>
      </c>
      <c r="D56" s="19" t="s">
        <v>463</v>
      </c>
      <c r="E56" s="19" t="s">
        <v>627</v>
      </c>
      <c r="F56" s="19"/>
      <c r="G56" s="20">
        <f>G57</f>
        <v>7310</v>
      </c>
      <c r="H56" s="20">
        <f>H57</f>
        <v>7310</v>
      </c>
      <c r="I56" s="20">
        <f>I57</f>
        <v>7310</v>
      </c>
    </row>
    <row r="57" spans="1:11" s="26" customFormat="1" ht="25.5" x14ac:dyDescent="0.2">
      <c r="A57" s="30" t="s">
        <v>466</v>
      </c>
      <c r="B57" s="24" t="s">
        <v>14</v>
      </c>
      <c r="C57" s="24">
        <v>0</v>
      </c>
      <c r="D57" s="24" t="s">
        <v>463</v>
      </c>
      <c r="E57" s="24" t="s">
        <v>627</v>
      </c>
      <c r="F57" s="27" t="s">
        <v>68</v>
      </c>
      <c r="G57" s="25">
        <f>'изменения июль вед стр-ра'!G173</f>
        <v>7310</v>
      </c>
      <c r="H57" s="25">
        <f>'изменения июль вед стр-ра'!H173</f>
        <v>7310</v>
      </c>
      <c r="I57" s="25">
        <f>'изменения июль вед стр-ра'!I173</f>
        <v>7310</v>
      </c>
      <c r="J57" s="21"/>
      <c r="K57" s="21"/>
    </row>
    <row r="58" spans="1:11" x14ac:dyDescent="0.2">
      <c r="A58" s="18" t="s">
        <v>203</v>
      </c>
      <c r="B58" s="5" t="s">
        <v>14</v>
      </c>
      <c r="C58" s="5">
        <v>0</v>
      </c>
      <c r="D58" s="5" t="s">
        <v>463</v>
      </c>
      <c r="E58" s="5" t="s">
        <v>626</v>
      </c>
      <c r="F58" s="5"/>
      <c r="G58" s="6">
        <f>G61+G59+G60</f>
        <v>6892.9</v>
      </c>
      <c r="H58" s="6">
        <f t="shared" ref="H58:I58" si="0">H61+H59+H60</f>
        <v>400</v>
      </c>
      <c r="I58" s="6">
        <f t="shared" si="0"/>
        <v>400</v>
      </c>
    </row>
    <row r="59" spans="1:11" s="26" customFormat="1" ht="25.5" x14ac:dyDescent="0.2">
      <c r="A59" s="30" t="s">
        <v>466</v>
      </c>
      <c r="B59" s="24" t="s">
        <v>14</v>
      </c>
      <c r="C59" s="24">
        <v>0</v>
      </c>
      <c r="D59" s="24" t="s">
        <v>463</v>
      </c>
      <c r="E59" s="24" t="s">
        <v>626</v>
      </c>
      <c r="F59" s="27" t="s">
        <v>68</v>
      </c>
      <c r="G59" s="25">
        <f>'изменения июль вед стр-ра'!G175</f>
        <v>4600</v>
      </c>
      <c r="H59" s="25">
        <f>'изменения июль вед стр-ра'!H175</f>
        <v>150</v>
      </c>
      <c r="I59" s="25">
        <f>'изменения июль вед стр-ра'!I175</f>
        <v>150</v>
      </c>
      <c r="J59" s="21"/>
      <c r="K59" s="21"/>
    </row>
    <row r="60" spans="1:11" s="26" customFormat="1" ht="25.5" x14ac:dyDescent="0.2">
      <c r="A60" s="28" t="s">
        <v>141</v>
      </c>
      <c r="B60" s="24" t="s">
        <v>14</v>
      </c>
      <c r="C60" s="24">
        <v>0</v>
      </c>
      <c r="D60" s="24" t="s">
        <v>463</v>
      </c>
      <c r="E60" s="24" t="s">
        <v>626</v>
      </c>
      <c r="F60" s="27" t="s">
        <v>65</v>
      </c>
      <c r="G60" s="25">
        <f>'изменения июль вед стр-ра'!G542</f>
        <v>2042.9</v>
      </c>
      <c r="H60" s="25">
        <f>'изменения июль вед стр-ра'!H542</f>
        <v>0</v>
      </c>
      <c r="I60" s="25">
        <f>'изменения июль вед стр-ра'!I542</f>
        <v>0</v>
      </c>
      <c r="J60" s="21"/>
      <c r="K60" s="21"/>
    </row>
    <row r="61" spans="1:11" s="26" customFormat="1" x14ac:dyDescent="0.2">
      <c r="A61" s="28" t="s">
        <v>72</v>
      </c>
      <c r="B61" s="24" t="s">
        <v>14</v>
      </c>
      <c r="C61" s="24">
        <v>0</v>
      </c>
      <c r="D61" s="24" t="s">
        <v>463</v>
      </c>
      <c r="E61" s="24" t="s">
        <v>626</v>
      </c>
      <c r="F61" s="27" t="s">
        <v>73</v>
      </c>
      <c r="G61" s="25">
        <f>'изменения июль вед стр-ра'!G176</f>
        <v>250</v>
      </c>
      <c r="H61" s="25">
        <f>'изменения июль вед стр-ра'!H176</f>
        <v>250</v>
      </c>
      <c r="I61" s="25">
        <f>'изменения июль вед стр-ра'!I176</f>
        <v>250</v>
      </c>
      <c r="J61" s="21"/>
      <c r="K61" s="21"/>
    </row>
    <row r="62" spans="1:11" s="9" customFormat="1" x14ac:dyDescent="0.2">
      <c r="A62" s="18" t="s">
        <v>206</v>
      </c>
      <c r="B62" s="5" t="s">
        <v>14</v>
      </c>
      <c r="C62" s="5">
        <v>0</v>
      </c>
      <c r="D62" s="5" t="s">
        <v>463</v>
      </c>
      <c r="E62" s="5" t="s">
        <v>625</v>
      </c>
      <c r="F62" s="5"/>
      <c r="G62" s="6">
        <f>G63</f>
        <v>700</v>
      </c>
      <c r="H62" s="6">
        <f>H63</f>
        <v>600</v>
      </c>
      <c r="I62" s="6">
        <f>I63</f>
        <v>600</v>
      </c>
    </row>
    <row r="63" spans="1:11" s="7" customFormat="1" ht="25.5" x14ac:dyDescent="0.2">
      <c r="A63" s="30" t="s">
        <v>466</v>
      </c>
      <c r="B63" s="24" t="s">
        <v>14</v>
      </c>
      <c r="C63" s="24">
        <v>0</v>
      </c>
      <c r="D63" s="24" t="s">
        <v>463</v>
      </c>
      <c r="E63" s="24" t="s">
        <v>625</v>
      </c>
      <c r="F63" s="27" t="s">
        <v>68</v>
      </c>
      <c r="G63" s="25">
        <f>'изменения июль вед стр-ра'!G178</f>
        <v>700</v>
      </c>
      <c r="H63" s="25">
        <f>'изменения июль вед стр-ра'!H178</f>
        <v>600</v>
      </c>
      <c r="I63" s="25">
        <f>'изменения июль вед стр-ра'!I178</f>
        <v>600</v>
      </c>
    </row>
    <row r="64" spans="1:11" s="7" customFormat="1" x14ac:dyDescent="0.2">
      <c r="A64" s="18" t="s">
        <v>207</v>
      </c>
      <c r="B64" s="5" t="s">
        <v>14</v>
      </c>
      <c r="C64" s="5">
        <v>0</v>
      </c>
      <c r="D64" s="5" t="s">
        <v>463</v>
      </c>
      <c r="E64" s="5" t="s">
        <v>624</v>
      </c>
      <c r="F64" s="5"/>
      <c r="G64" s="6">
        <f>G65+G66</f>
        <v>23982.3</v>
      </c>
      <c r="H64" s="6">
        <f t="shared" ref="H64:I64" si="1">H65+H66</f>
        <v>288.3</v>
      </c>
      <c r="I64" s="6">
        <f t="shared" si="1"/>
        <v>288.3</v>
      </c>
    </row>
    <row r="65" spans="1:9" s="7" customFormat="1" ht="25.5" x14ac:dyDescent="0.2">
      <c r="A65" s="30" t="s">
        <v>466</v>
      </c>
      <c r="B65" s="24" t="s">
        <v>14</v>
      </c>
      <c r="C65" s="24">
        <v>0</v>
      </c>
      <c r="D65" s="24" t="s">
        <v>463</v>
      </c>
      <c r="E65" s="24" t="s">
        <v>624</v>
      </c>
      <c r="F65" s="27" t="s">
        <v>68</v>
      </c>
      <c r="G65" s="25">
        <f>'изменения июль вед стр-ра'!G180</f>
        <v>88.3</v>
      </c>
      <c r="H65" s="25">
        <f>'изменения июль вед стр-ра'!H180</f>
        <v>88.3</v>
      </c>
      <c r="I65" s="25">
        <f>'изменения июль вед стр-ра'!I180</f>
        <v>88.3</v>
      </c>
    </row>
    <row r="66" spans="1:9" s="7" customFormat="1" x14ac:dyDescent="0.2">
      <c r="A66" s="28" t="s">
        <v>72</v>
      </c>
      <c r="B66" s="24" t="s">
        <v>14</v>
      </c>
      <c r="C66" s="24">
        <v>0</v>
      </c>
      <c r="D66" s="24" t="s">
        <v>463</v>
      </c>
      <c r="E66" s="24" t="s">
        <v>624</v>
      </c>
      <c r="F66" s="24" t="s">
        <v>73</v>
      </c>
      <c r="G66" s="25">
        <f>'изменения июль вед стр-ра'!G181</f>
        <v>23894</v>
      </c>
      <c r="H66" s="25">
        <f>'изменения июль вед стр-ра'!H181</f>
        <v>200</v>
      </c>
      <c r="I66" s="25">
        <f>'изменения июль вед стр-ра'!I181</f>
        <v>200</v>
      </c>
    </row>
    <row r="67" spans="1:9" s="88" customFormat="1" ht="25.5" x14ac:dyDescent="0.2">
      <c r="A67" s="75" t="s">
        <v>209</v>
      </c>
      <c r="B67" s="90" t="s">
        <v>14</v>
      </c>
      <c r="C67" s="90">
        <v>0</v>
      </c>
      <c r="D67" s="90" t="s">
        <v>463</v>
      </c>
      <c r="E67" s="90" t="s">
        <v>623</v>
      </c>
      <c r="F67" s="77"/>
      <c r="G67" s="78">
        <f>G68+G70+G69</f>
        <v>9355.1</v>
      </c>
      <c r="H67" s="78">
        <f>H68+H70+H69</f>
        <v>8182.0999999999995</v>
      </c>
      <c r="I67" s="78">
        <f>I68+I70+I69</f>
        <v>8182.0999999999995</v>
      </c>
    </row>
    <row r="68" spans="1:9" s="7" customFormat="1" ht="51" x14ac:dyDescent="0.2">
      <c r="A68" s="30" t="s">
        <v>66</v>
      </c>
      <c r="B68" s="24" t="s">
        <v>14</v>
      </c>
      <c r="C68" s="24">
        <v>0</v>
      </c>
      <c r="D68" s="24" t="s">
        <v>463</v>
      </c>
      <c r="E68" s="24" t="s">
        <v>623</v>
      </c>
      <c r="F68" s="27" t="s">
        <v>67</v>
      </c>
      <c r="G68" s="25">
        <f>'изменения июль вед стр-ра'!G183</f>
        <v>8442.7000000000007</v>
      </c>
      <c r="H68" s="25">
        <f>'изменения июль вед стр-ра'!H183</f>
        <v>7269.7</v>
      </c>
      <c r="I68" s="25">
        <f>'изменения июль вед стр-ра'!I183</f>
        <v>7269.7</v>
      </c>
    </row>
    <row r="69" spans="1:9" s="74" customFormat="1" ht="24.75" customHeight="1" x14ac:dyDescent="0.2">
      <c r="A69" s="80" t="s">
        <v>466</v>
      </c>
      <c r="B69" s="82" t="s">
        <v>14</v>
      </c>
      <c r="C69" s="82">
        <v>0</v>
      </c>
      <c r="D69" s="82" t="s">
        <v>463</v>
      </c>
      <c r="E69" s="82" t="s">
        <v>623</v>
      </c>
      <c r="F69" s="83" t="s">
        <v>68</v>
      </c>
      <c r="G69" s="25">
        <f>'изменения июль вед стр-ра'!G184</f>
        <v>902.4</v>
      </c>
      <c r="H69" s="25">
        <f>'изменения июль вед стр-ра'!H184</f>
        <v>902.4</v>
      </c>
      <c r="I69" s="25">
        <f>'изменения июль вед стр-ра'!I184</f>
        <v>902.4</v>
      </c>
    </row>
    <row r="70" spans="1:9" s="9" customFormat="1" ht="24.75" customHeight="1" x14ac:dyDescent="0.2">
      <c r="A70" s="30" t="s">
        <v>72</v>
      </c>
      <c r="B70" s="24" t="s">
        <v>14</v>
      </c>
      <c r="C70" s="24">
        <v>0</v>
      </c>
      <c r="D70" s="24" t="s">
        <v>463</v>
      </c>
      <c r="E70" s="24" t="s">
        <v>623</v>
      </c>
      <c r="F70" s="27" t="s">
        <v>73</v>
      </c>
      <c r="G70" s="25">
        <f>'изменения июль вед стр-ра'!G185</f>
        <v>10</v>
      </c>
      <c r="H70" s="25">
        <f>'изменения июль вед стр-ра'!H185</f>
        <v>10</v>
      </c>
      <c r="I70" s="25">
        <f>'изменения июль вед стр-ра'!I185</f>
        <v>10</v>
      </c>
    </row>
    <row r="71" spans="1:9" s="26" customFormat="1" ht="38.25" x14ac:dyDescent="0.2">
      <c r="A71" s="40" t="s">
        <v>622</v>
      </c>
      <c r="B71" s="41" t="s">
        <v>16</v>
      </c>
      <c r="C71" s="41"/>
      <c r="D71" s="41"/>
      <c r="E71" s="41"/>
      <c r="F71" s="41"/>
      <c r="G71" s="39">
        <f>SUM(G72,G81,G90)</f>
        <v>48354.695</v>
      </c>
      <c r="H71" s="39">
        <f>SUM(H72,H81,H90)</f>
        <v>40849.599999999999</v>
      </c>
      <c r="I71" s="39">
        <f>SUM(I72,I81,I90)</f>
        <v>40791.5</v>
      </c>
    </row>
    <row r="72" spans="1:9" s="95" customFormat="1" ht="51" x14ac:dyDescent="0.2">
      <c r="A72" s="154" t="s">
        <v>621</v>
      </c>
      <c r="B72" s="152" t="s">
        <v>16</v>
      </c>
      <c r="C72" s="152" t="s">
        <v>507</v>
      </c>
      <c r="D72" s="152"/>
      <c r="E72" s="152"/>
      <c r="F72" s="152"/>
      <c r="G72" s="151">
        <f>SUM(G73,G77,G79)</f>
        <v>10921.8</v>
      </c>
      <c r="H72" s="151">
        <f t="shared" ref="H72:I72" si="2">SUM(H73,H77,H79)</f>
        <v>14551.2</v>
      </c>
      <c r="I72" s="151">
        <f t="shared" si="2"/>
        <v>14493.1</v>
      </c>
    </row>
    <row r="73" spans="1:9" s="26" customFormat="1" ht="38.25" x14ac:dyDescent="0.2">
      <c r="A73" s="46" t="s">
        <v>159</v>
      </c>
      <c r="B73" s="19" t="s">
        <v>16</v>
      </c>
      <c r="C73" s="19">
        <v>1</v>
      </c>
      <c r="D73" s="19" t="s">
        <v>463</v>
      </c>
      <c r="E73" s="19" t="s">
        <v>620</v>
      </c>
      <c r="F73" s="19"/>
      <c r="G73" s="20">
        <f>G74+G75+G76</f>
        <v>3224.7999999999997</v>
      </c>
      <c r="H73" s="20">
        <f>H74+H75+H76</f>
        <v>0</v>
      </c>
      <c r="I73" s="20">
        <f>I74+I75+I76</f>
        <v>0</v>
      </c>
    </row>
    <row r="74" spans="1:9" s="12" customFormat="1" ht="51" x14ac:dyDescent="0.2">
      <c r="A74" s="30" t="s">
        <v>66</v>
      </c>
      <c r="B74" s="24" t="s">
        <v>16</v>
      </c>
      <c r="C74" s="24">
        <v>1</v>
      </c>
      <c r="D74" s="24" t="s">
        <v>463</v>
      </c>
      <c r="E74" s="24" t="s">
        <v>620</v>
      </c>
      <c r="F74" s="27" t="s">
        <v>67</v>
      </c>
      <c r="G74" s="25">
        <f>'изменения июль вед стр-ра'!G68</f>
        <v>2658.7999999999997</v>
      </c>
      <c r="H74" s="25">
        <f>'изменения июль вед стр-ра'!H68</f>
        <v>0</v>
      </c>
      <c r="I74" s="25">
        <f>'изменения июль вед стр-ра'!I68</f>
        <v>0</v>
      </c>
    </row>
    <row r="75" spans="1:9" s="84" customFormat="1" ht="25.5" x14ac:dyDescent="0.2">
      <c r="A75" s="80" t="s">
        <v>466</v>
      </c>
      <c r="B75" s="82" t="s">
        <v>16</v>
      </c>
      <c r="C75" s="82">
        <v>1</v>
      </c>
      <c r="D75" s="82" t="s">
        <v>463</v>
      </c>
      <c r="E75" s="82" t="s">
        <v>620</v>
      </c>
      <c r="F75" s="83" t="s">
        <v>68</v>
      </c>
      <c r="G75" s="25">
        <f>'изменения июль вед стр-ра'!G69</f>
        <v>559.19999999999982</v>
      </c>
      <c r="H75" s="25">
        <f>'изменения июль вед стр-ра'!H69</f>
        <v>0</v>
      </c>
      <c r="I75" s="25">
        <f>'изменения июль вед стр-ра'!I69</f>
        <v>0</v>
      </c>
    </row>
    <row r="76" spans="1:9" s="26" customFormat="1" x14ac:dyDescent="0.2">
      <c r="A76" s="28" t="s">
        <v>72</v>
      </c>
      <c r="B76" s="24" t="s">
        <v>16</v>
      </c>
      <c r="C76" s="24">
        <v>1</v>
      </c>
      <c r="D76" s="24" t="s">
        <v>463</v>
      </c>
      <c r="E76" s="24" t="s">
        <v>620</v>
      </c>
      <c r="F76" s="24" t="s">
        <v>73</v>
      </c>
      <c r="G76" s="25">
        <f>'изменения июль вед стр-ра'!G70</f>
        <v>6.8</v>
      </c>
      <c r="H76" s="25">
        <f>'изменения июль вед стр-ра'!H70</f>
        <v>0</v>
      </c>
      <c r="I76" s="25">
        <f>'изменения июль вед стр-ра'!I70</f>
        <v>0</v>
      </c>
    </row>
    <row r="77" spans="1:9" s="168" customFormat="1" ht="15" x14ac:dyDescent="0.2">
      <c r="A77" s="51" t="s">
        <v>160</v>
      </c>
      <c r="B77" s="19" t="s">
        <v>16</v>
      </c>
      <c r="C77" s="19">
        <v>1</v>
      </c>
      <c r="D77" s="19" t="s">
        <v>463</v>
      </c>
      <c r="E77" s="19" t="s">
        <v>619</v>
      </c>
      <c r="F77" s="19"/>
      <c r="G77" s="20">
        <f>G78</f>
        <v>2879.4999999999995</v>
      </c>
      <c r="H77" s="20">
        <f>H78</f>
        <v>0</v>
      </c>
      <c r="I77" s="20">
        <f>I78</f>
        <v>0</v>
      </c>
    </row>
    <row r="78" spans="1:9" s="9" customFormat="1" ht="25.5" x14ac:dyDescent="0.2">
      <c r="A78" s="28" t="s">
        <v>141</v>
      </c>
      <c r="B78" s="24" t="s">
        <v>16</v>
      </c>
      <c r="C78" s="24">
        <v>1</v>
      </c>
      <c r="D78" s="24" t="s">
        <v>463</v>
      </c>
      <c r="E78" s="24" t="s">
        <v>619</v>
      </c>
      <c r="F78" s="27" t="s">
        <v>65</v>
      </c>
      <c r="G78" s="25">
        <f>'изменения июль вед стр-ра'!G546</f>
        <v>2879.4999999999995</v>
      </c>
      <c r="H78" s="25">
        <f>'изменения июль вед стр-ра'!H546</f>
        <v>0</v>
      </c>
      <c r="I78" s="25">
        <f>'изменения июль вед стр-ра'!I546</f>
        <v>0</v>
      </c>
    </row>
    <row r="79" spans="1:9" s="9" customFormat="1" ht="63.75" x14ac:dyDescent="0.2">
      <c r="A79" s="18" t="s">
        <v>709</v>
      </c>
      <c r="B79" s="24" t="s">
        <v>16</v>
      </c>
      <c r="C79" s="24" t="s">
        <v>507</v>
      </c>
      <c r="D79" s="24" t="s">
        <v>463</v>
      </c>
      <c r="E79" s="24" t="s">
        <v>708</v>
      </c>
      <c r="F79" s="27"/>
      <c r="G79" s="25">
        <f>G80</f>
        <v>4817.5</v>
      </c>
      <c r="H79" s="25">
        <f t="shared" ref="H79:I79" si="3">H80</f>
        <v>14551.2</v>
      </c>
      <c r="I79" s="25">
        <f t="shared" si="3"/>
        <v>14493.1</v>
      </c>
    </row>
    <row r="80" spans="1:9" s="9" customFormat="1" ht="25.5" x14ac:dyDescent="0.2">
      <c r="A80" s="28" t="s">
        <v>141</v>
      </c>
      <c r="B80" s="24" t="s">
        <v>16</v>
      </c>
      <c r="C80" s="24" t="s">
        <v>507</v>
      </c>
      <c r="D80" s="24" t="s">
        <v>463</v>
      </c>
      <c r="E80" s="24" t="s">
        <v>708</v>
      </c>
      <c r="F80" s="27" t="s">
        <v>65</v>
      </c>
      <c r="G80" s="25">
        <f>'изменения июль вед стр-ра'!G72</f>
        <v>4817.5</v>
      </c>
      <c r="H80" s="25">
        <f>'изменения июль вед стр-ра'!H72</f>
        <v>14551.2</v>
      </c>
      <c r="I80" s="25">
        <f>'изменения июль вед стр-ра'!I72</f>
        <v>14493.1</v>
      </c>
    </row>
    <row r="81" spans="1:11" ht="38.25" x14ac:dyDescent="0.2">
      <c r="A81" s="150" t="s">
        <v>618</v>
      </c>
      <c r="B81" s="149" t="s">
        <v>16</v>
      </c>
      <c r="C81" s="149" t="s">
        <v>502</v>
      </c>
      <c r="D81" s="149"/>
      <c r="E81" s="149"/>
      <c r="F81" s="149"/>
      <c r="G81" s="148">
        <f>SUM(G82,G85,G87)</f>
        <v>28588.494999999999</v>
      </c>
      <c r="H81" s="148">
        <f>SUM(H82,H85,H87)</f>
        <v>18972</v>
      </c>
      <c r="I81" s="148">
        <f>SUM(I82,I85,I87)</f>
        <v>18972</v>
      </c>
    </row>
    <row r="82" spans="1:11" s="26" customFormat="1" ht="25.5" x14ac:dyDescent="0.2">
      <c r="A82" s="17" t="s">
        <v>163</v>
      </c>
      <c r="B82" s="19" t="s">
        <v>16</v>
      </c>
      <c r="C82" s="19">
        <v>2</v>
      </c>
      <c r="D82" s="19" t="s">
        <v>463</v>
      </c>
      <c r="E82" s="19" t="s">
        <v>617</v>
      </c>
      <c r="F82" s="5"/>
      <c r="G82" s="6">
        <f>G83+G84</f>
        <v>28421.294999999998</v>
      </c>
      <c r="H82" s="6">
        <f>H83+H84</f>
        <v>18804.8</v>
      </c>
      <c r="I82" s="6">
        <f>I83+I84</f>
        <v>18804.8</v>
      </c>
      <c r="J82" s="21"/>
      <c r="K82" s="21"/>
    </row>
    <row r="83" spans="1:11" s="84" customFormat="1" ht="25.5" x14ac:dyDescent="0.2">
      <c r="A83" s="80" t="s">
        <v>466</v>
      </c>
      <c r="B83" s="82" t="s">
        <v>16</v>
      </c>
      <c r="C83" s="82">
        <v>2</v>
      </c>
      <c r="D83" s="82" t="s">
        <v>463</v>
      </c>
      <c r="E83" s="82" t="s">
        <v>617</v>
      </c>
      <c r="F83" s="83" t="s">
        <v>68</v>
      </c>
      <c r="G83" s="62">
        <f>'изменения июль вед стр-ра'!G232+'изменения июль вед стр-ра'!G253+'изменения июль вед стр-ра'!G298+'изменения июль вед стр-ра'!G31+'изменения июль вед стр-ра'!G74</f>
        <v>5441.6950000000006</v>
      </c>
      <c r="H83" s="62">
        <f>'изменения июль вед стр-ра'!H232+'изменения июль вед стр-ра'!H253+'изменения июль вед стр-ра'!H298+'изменения июль вед стр-ра'!H31+'изменения июль вед стр-ра'!H74</f>
        <v>3589.1</v>
      </c>
      <c r="I83" s="62">
        <f>'изменения июль вед стр-ра'!I232+'изменения июль вед стр-ра'!I253+'изменения июль вед стр-ра'!I298+'изменения июль вед стр-ра'!I31+'изменения июль вед стр-ра'!I74</f>
        <v>3589.1</v>
      </c>
    </row>
    <row r="84" spans="1:11" s="26" customFormat="1" ht="25.5" x14ac:dyDescent="0.2">
      <c r="A84" s="28" t="s">
        <v>141</v>
      </c>
      <c r="B84" s="24" t="s">
        <v>16</v>
      </c>
      <c r="C84" s="24">
        <v>2</v>
      </c>
      <c r="D84" s="24" t="s">
        <v>463</v>
      </c>
      <c r="E84" s="24" t="s">
        <v>617</v>
      </c>
      <c r="F84" s="27" t="s">
        <v>65</v>
      </c>
      <c r="G84" s="62">
        <f>'изменения июль вед стр-ра'!G49+'изменения июль вед стр-ра'!G142+'изменения июль вед стр-ра'!G233+'изменения июль вед стр-ра'!G254+'изменения июль вед стр-ра'!G289+'изменения июль вед стр-ра'!G299+'изменения июль вед стр-ра'!G371+'изменения июль вед стр-ра'!G385+'изменения июль вед стр-ра'!G75</f>
        <v>22979.599999999999</v>
      </c>
      <c r="H84" s="62">
        <f>'изменения июль вед стр-ра'!H49+'изменения июль вед стр-ра'!H142+'изменения июль вед стр-ра'!H233+'изменения июль вед стр-ра'!H254+'изменения июль вед стр-ра'!H289+'изменения июль вед стр-ра'!H299+'изменения июль вед стр-ра'!H371+'изменения июль вед стр-ра'!H385+'изменения июль вед стр-ра'!H75</f>
        <v>15215.7</v>
      </c>
      <c r="I84" s="62">
        <f>'изменения июль вед стр-ра'!I49+'изменения июль вед стр-ра'!I142+'изменения июль вед стр-ра'!I233+'изменения июль вед стр-ра'!I254+'изменения июль вед стр-ра'!I289+'изменения июль вед стр-ра'!I299+'изменения июль вед стр-ра'!I371+'изменения июль вед стр-ра'!I385+'изменения июль вед стр-ра'!I75</f>
        <v>15215.7</v>
      </c>
    </row>
    <row r="85" spans="1:11" s="84" customFormat="1" x14ac:dyDescent="0.2">
      <c r="A85" s="89" t="s">
        <v>164</v>
      </c>
      <c r="B85" s="77" t="s">
        <v>16</v>
      </c>
      <c r="C85" s="77">
        <v>2</v>
      </c>
      <c r="D85" s="77" t="s">
        <v>463</v>
      </c>
      <c r="E85" s="77" t="s">
        <v>616</v>
      </c>
      <c r="F85" s="90"/>
      <c r="G85" s="91">
        <f>G86</f>
        <v>132.19999999999999</v>
      </c>
      <c r="H85" s="91">
        <f t="shared" ref="H85:I85" si="4">H86</f>
        <v>132.19999999999999</v>
      </c>
      <c r="I85" s="91">
        <f t="shared" si="4"/>
        <v>132.19999999999999</v>
      </c>
    </row>
    <row r="86" spans="1:11" s="84" customFormat="1" ht="25.5" x14ac:dyDescent="0.2">
      <c r="A86" s="80" t="s">
        <v>141</v>
      </c>
      <c r="B86" s="82" t="s">
        <v>16</v>
      </c>
      <c r="C86" s="82" t="s">
        <v>502</v>
      </c>
      <c r="D86" s="82" t="s">
        <v>463</v>
      </c>
      <c r="E86" s="82" t="s">
        <v>616</v>
      </c>
      <c r="F86" s="83" t="s">
        <v>65</v>
      </c>
      <c r="G86" s="62">
        <f>'изменения июль вед стр-ра'!G77</f>
        <v>132.19999999999999</v>
      </c>
      <c r="H86" s="62">
        <f>'изменения июль вед стр-ра'!H77</f>
        <v>132.19999999999999</v>
      </c>
      <c r="I86" s="62">
        <f>'изменения июль вед стр-ра'!I77</f>
        <v>132.19999999999999</v>
      </c>
    </row>
    <row r="87" spans="1:11" ht="25.5" x14ac:dyDescent="0.2">
      <c r="A87" s="17" t="s">
        <v>418</v>
      </c>
      <c r="B87" s="19" t="s">
        <v>16</v>
      </c>
      <c r="C87" s="19">
        <v>2</v>
      </c>
      <c r="D87" s="19" t="s">
        <v>463</v>
      </c>
      <c r="E87" s="19" t="s">
        <v>615</v>
      </c>
      <c r="F87" s="5"/>
      <c r="G87" s="6">
        <f>G88+G89</f>
        <v>35</v>
      </c>
      <c r="H87" s="6">
        <f t="shared" ref="H87:I87" si="5">H88+H89</f>
        <v>35</v>
      </c>
      <c r="I87" s="6">
        <f t="shared" si="5"/>
        <v>35</v>
      </c>
    </row>
    <row r="88" spans="1:11" x14ac:dyDescent="0.2">
      <c r="A88" s="28" t="s">
        <v>69</v>
      </c>
      <c r="B88" s="19" t="s">
        <v>16</v>
      </c>
      <c r="C88" s="19">
        <v>2</v>
      </c>
      <c r="D88" s="19" t="s">
        <v>463</v>
      </c>
      <c r="E88" s="19" t="s">
        <v>615</v>
      </c>
      <c r="F88" s="27" t="s">
        <v>70</v>
      </c>
      <c r="G88" s="25">
        <f>'изменения июль вед стр-ра'!G79</f>
        <v>35</v>
      </c>
      <c r="H88" s="25">
        <f>'изменения июль вед стр-ра'!H79</f>
        <v>0</v>
      </c>
      <c r="I88" s="25">
        <f>'изменения июль вед стр-ра'!I79</f>
        <v>0</v>
      </c>
    </row>
    <row r="89" spans="1:11" s="237" customFormat="1" ht="25.5" x14ac:dyDescent="0.2">
      <c r="A89" s="28" t="s">
        <v>141</v>
      </c>
      <c r="B89" s="19" t="s">
        <v>16</v>
      </c>
      <c r="C89" s="19" t="s">
        <v>502</v>
      </c>
      <c r="D89" s="19" t="s">
        <v>463</v>
      </c>
      <c r="E89" s="19" t="s">
        <v>615</v>
      </c>
      <c r="F89" s="27" t="s">
        <v>65</v>
      </c>
      <c r="G89" s="25">
        <f>'изменения июль вед стр-ра'!G80</f>
        <v>0</v>
      </c>
      <c r="H89" s="25">
        <f>'изменения июль вед стр-ра'!H80</f>
        <v>35</v>
      </c>
      <c r="I89" s="25">
        <f>'изменения июль вед стр-ра'!I80</f>
        <v>35</v>
      </c>
    </row>
    <row r="90" spans="1:11" s="79" customFormat="1" ht="38.25" x14ac:dyDescent="0.2">
      <c r="A90" s="159" t="s">
        <v>614</v>
      </c>
      <c r="B90" s="152" t="s">
        <v>16</v>
      </c>
      <c r="C90" s="152" t="s">
        <v>498</v>
      </c>
      <c r="D90" s="153"/>
      <c r="E90" s="153"/>
      <c r="F90" s="158"/>
      <c r="G90" s="151">
        <f>SUM(G91,G94)</f>
        <v>8844.4</v>
      </c>
      <c r="H90" s="151">
        <f>SUM(H91,H94)</f>
        <v>7326.4000000000005</v>
      </c>
      <c r="I90" s="151">
        <f>SUM(I91,I94)</f>
        <v>7326.4000000000005</v>
      </c>
    </row>
    <row r="91" spans="1:11" s="26" customFormat="1" ht="89.25" x14ac:dyDescent="0.2">
      <c r="A91" s="46" t="s">
        <v>155</v>
      </c>
      <c r="B91" s="19" t="s">
        <v>16</v>
      </c>
      <c r="C91" s="19">
        <v>3</v>
      </c>
      <c r="D91" s="19" t="s">
        <v>463</v>
      </c>
      <c r="E91" s="19" t="s">
        <v>613</v>
      </c>
      <c r="F91" s="19"/>
      <c r="G91" s="20">
        <f>G92+G93</f>
        <v>8615.6</v>
      </c>
      <c r="H91" s="20">
        <f>H92+H93</f>
        <v>7326.4000000000005</v>
      </c>
      <c r="I91" s="20">
        <f>I92+I93</f>
        <v>7326.4000000000005</v>
      </c>
    </row>
    <row r="92" spans="1:11" ht="51" x14ac:dyDescent="0.2">
      <c r="A92" s="30" t="s">
        <v>66</v>
      </c>
      <c r="B92" s="24" t="s">
        <v>16</v>
      </c>
      <c r="C92" s="24">
        <v>3</v>
      </c>
      <c r="D92" s="24" t="s">
        <v>463</v>
      </c>
      <c r="E92" s="19" t="s">
        <v>613</v>
      </c>
      <c r="F92" s="27" t="s">
        <v>67</v>
      </c>
      <c r="G92" s="25">
        <f>'изменения июль вед стр-ра'!G59</f>
        <v>8509.5</v>
      </c>
      <c r="H92" s="25">
        <f>'изменения июль вед стр-ра'!H59</f>
        <v>7220.3</v>
      </c>
      <c r="I92" s="25">
        <f>'изменения июль вед стр-ра'!I59</f>
        <v>7220.3</v>
      </c>
    </row>
    <row r="93" spans="1:11" s="84" customFormat="1" ht="25.5" x14ac:dyDescent="0.2">
      <c r="A93" s="80" t="s">
        <v>466</v>
      </c>
      <c r="B93" s="82" t="s">
        <v>16</v>
      </c>
      <c r="C93" s="82">
        <v>3</v>
      </c>
      <c r="D93" s="82" t="s">
        <v>463</v>
      </c>
      <c r="E93" s="77" t="s">
        <v>613</v>
      </c>
      <c r="F93" s="83" t="s">
        <v>68</v>
      </c>
      <c r="G93" s="25">
        <f>'изменения июль вед стр-ра'!G60</f>
        <v>106.10000000000001</v>
      </c>
      <c r="H93" s="25">
        <f>'изменения июль вед стр-ра'!H60</f>
        <v>106.10000000000001</v>
      </c>
      <c r="I93" s="25">
        <f>'изменения июль вед стр-ра'!I60</f>
        <v>106.10000000000001</v>
      </c>
    </row>
    <row r="94" spans="1:11" s="74" customFormat="1" ht="51" x14ac:dyDescent="0.2">
      <c r="A94" s="97" t="s">
        <v>156</v>
      </c>
      <c r="B94" s="77" t="s">
        <v>16</v>
      </c>
      <c r="C94" s="77">
        <v>3</v>
      </c>
      <c r="D94" s="77" t="s">
        <v>463</v>
      </c>
      <c r="E94" s="77" t="s">
        <v>612</v>
      </c>
      <c r="F94" s="77"/>
      <c r="G94" s="78">
        <f>G95</f>
        <v>228.8</v>
      </c>
      <c r="H94" s="78">
        <f>H95</f>
        <v>0</v>
      </c>
      <c r="I94" s="78">
        <f>I95</f>
        <v>0</v>
      </c>
    </row>
    <row r="95" spans="1:11" s="84" customFormat="1" ht="25.5" x14ac:dyDescent="0.2">
      <c r="A95" s="80" t="s">
        <v>466</v>
      </c>
      <c r="B95" s="82" t="s">
        <v>16</v>
      </c>
      <c r="C95" s="82">
        <v>3</v>
      </c>
      <c r="D95" s="82" t="s">
        <v>463</v>
      </c>
      <c r="E95" s="82" t="s">
        <v>612</v>
      </c>
      <c r="F95" s="83" t="s">
        <v>68</v>
      </c>
      <c r="G95" s="62">
        <f>'изменения июль вед стр-ра'!G62</f>
        <v>228.8</v>
      </c>
      <c r="H95" s="62">
        <f>'изменения июль вед стр-ра'!H62</f>
        <v>0</v>
      </c>
      <c r="I95" s="62">
        <f>'изменения июль вед стр-ра'!I62</f>
        <v>0</v>
      </c>
    </row>
    <row r="96" spans="1:11" s="9" customFormat="1" ht="38.25" x14ac:dyDescent="0.2">
      <c r="A96" s="156" t="s">
        <v>611</v>
      </c>
      <c r="B96" s="41" t="s">
        <v>18</v>
      </c>
      <c r="C96" s="41"/>
      <c r="D96" s="41"/>
      <c r="E96" s="41"/>
      <c r="F96" s="160"/>
      <c r="G96" s="39">
        <f>SUM(G97,G112,G115,G127,G136)</f>
        <v>562224.7125299999</v>
      </c>
      <c r="H96" s="39">
        <f>SUM(H97,H112,H115,H127,H136)</f>
        <v>463512.12174000003</v>
      </c>
      <c r="I96" s="39">
        <f>SUM(I97,I112,I115,I127,I136)</f>
        <v>468621.96399999998</v>
      </c>
    </row>
    <row r="97" spans="1:9" s="26" customFormat="1" ht="38.25" x14ac:dyDescent="0.2">
      <c r="A97" s="155" t="s">
        <v>610</v>
      </c>
      <c r="B97" s="122" t="s">
        <v>18</v>
      </c>
      <c r="C97" s="149" t="s">
        <v>507</v>
      </c>
      <c r="D97" s="149"/>
      <c r="E97" s="149"/>
      <c r="F97" s="167"/>
      <c r="G97" s="148">
        <f>SUM(G98,G104,G108)+G100+G110+G106+G102</f>
        <v>120152.3</v>
      </c>
      <c r="H97" s="148">
        <f>SUM(H98,H104,H108)+H100+H110+H106+H102</f>
        <v>82824.5</v>
      </c>
      <c r="I97" s="148">
        <f>SUM(I98,I104,I108)+I100+I110+I106+I102</f>
        <v>80931.199999999997</v>
      </c>
    </row>
    <row r="98" spans="1:9" s="26" customFormat="1" ht="38.25" x14ac:dyDescent="0.2">
      <c r="A98" s="18" t="s">
        <v>341</v>
      </c>
      <c r="B98" s="19" t="s">
        <v>18</v>
      </c>
      <c r="C98" s="19">
        <v>1</v>
      </c>
      <c r="D98" s="19" t="s">
        <v>463</v>
      </c>
      <c r="E98" s="19" t="s">
        <v>609</v>
      </c>
      <c r="F98" s="19"/>
      <c r="G98" s="20">
        <f>G99</f>
        <v>4158.1000000000004</v>
      </c>
      <c r="H98" s="20">
        <f>H99</f>
        <v>0</v>
      </c>
      <c r="I98" s="20">
        <f>I99</f>
        <v>0</v>
      </c>
    </row>
    <row r="99" spans="1:9" ht="25.5" x14ac:dyDescent="0.2">
      <c r="A99" s="28" t="s">
        <v>83</v>
      </c>
      <c r="B99" s="24" t="s">
        <v>18</v>
      </c>
      <c r="C99" s="24">
        <v>1</v>
      </c>
      <c r="D99" s="24" t="s">
        <v>463</v>
      </c>
      <c r="E99" s="24" t="s">
        <v>609</v>
      </c>
      <c r="F99" s="24" t="s">
        <v>71</v>
      </c>
      <c r="G99" s="25">
        <f>'изменения июль вед стр-ра'!G116+'изменения июль вед стр-ра'!G199</f>
        <v>4158.1000000000004</v>
      </c>
      <c r="H99" s="25">
        <f>'изменения июль вед стр-ра'!H116+'изменения июль вед стр-ра'!H199</f>
        <v>0</v>
      </c>
      <c r="I99" s="25">
        <f>'изменения июль вед стр-ра'!I116+'изменения июль вед стр-ра'!I199</f>
        <v>0</v>
      </c>
    </row>
    <row r="100" spans="1:9" ht="51" x14ac:dyDescent="0.2">
      <c r="A100" s="18" t="s">
        <v>373</v>
      </c>
      <c r="B100" s="19" t="s">
        <v>18</v>
      </c>
      <c r="C100" s="19">
        <v>1</v>
      </c>
      <c r="D100" s="19" t="s">
        <v>463</v>
      </c>
      <c r="E100" s="19" t="s">
        <v>608</v>
      </c>
      <c r="F100" s="19"/>
      <c r="G100" s="20">
        <f>G101</f>
        <v>1329.3999999999999</v>
      </c>
      <c r="H100" s="20">
        <f>H101</f>
        <v>1330</v>
      </c>
      <c r="I100" s="20">
        <f>I101</f>
        <v>701.7</v>
      </c>
    </row>
    <row r="101" spans="1:9" ht="25.5" x14ac:dyDescent="0.2">
      <c r="A101" s="28" t="s">
        <v>83</v>
      </c>
      <c r="B101" s="24" t="s">
        <v>18</v>
      </c>
      <c r="C101" s="24">
        <v>1</v>
      </c>
      <c r="D101" s="24" t="s">
        <v>463</v>
      </c>
      <c r="E101" s="24" t="s">
        <v>608</v>
      </c>
      <c r="F101" s="24" t="s">
        <v>71</v>
      </c>
      <c r="G101" s="25">
        <f>'изменения июль вед стр-ра'!G108</f>
        <v>1329.3999999999999</v>
      </c>
      <c r="H101" s="25">
        <f>'изменения июль вед стр-ра'!H108</f>
        <v>1330</v>
      </c>
      <c r="I101" s="25">
        <f>'изменения июль вед стр-ра'!I108</f>
        <v>701.7</v>
      </c>
    </row>
    <row r="102" spans="1:9" s="26" customFormat="1" ht="49.5" customHeight="1" x14ac:dyDescent="0.2">
      <c r="A102" s="18" t="s">
        <v>414</v>
      </c>
      <c r="B102" s="19" t="s">
        <v>18</v>
      </c>
      <c r="C102" s="19">
        <v>1</v>
      </c>
      <c r="D102" s="19" t="s">
        <v>463</v>
      </c>
      <c r="E102" s="19" t="s">
        <v>607</v>
      </c>
      <c r="F102" s="19"/>
      <c r="G102" s="20">
        <f>G103</f>
        <v>2515.8000000000002</v>
      </c>
      <c r="H102" s="20">
        <f>H103</f>
        <v>0</v>
      </c>
      <c r="I102" s="20">
        <f>I103</f>
        <v>0</v>
      </c>
    </row>
    <row r="103" spans="1:9" s="26" customFormat="1" ht="25.5" customHeight="1" x14ac:dyDescent="0.2">
      <c r="A103" s="28" t="s">
        <v>69</v>
      </c>
      <c r="B103" s="19" t="s">
        <v>18</v>
      </c>
      <c r="C103" s="19">
        <v>1</v>
      </c>
      <c r="D103" s="19" t="s">
        <v>463</v>
      </c>
      <c r="E103" s="19" t="s">
        <v>607</v>
      </c>
      <c r="F103" s="19" t="s">
        <v>70</v>
      </c>
      <c r="G103" s="20">
        <f>'изменения июль вед стр-ра'!G110</f>
        <v>2515.8000000000002</v>
      </c>
      <c r="H103" s="20">
        <f>'изменения июль вед стр-ра'!H110</f>
        <v>0</v>
      </c>
      <c r="I103" s="20">
        <f>'изменения июль вед стр-ра'!I110</f>
        <v>0</v>
      </c>
    </row>
    <row r="104" spans="1:9" s="26" customFormat="1" ht="49.5" customHeight="1" x14ac:dyDescent="0.2">
      <c r="A104" s="18" t="s">
        <v>606</v>
      </c>
      <c r="B104" s="19" t="s">
        <v>18</v>
      </c>
      <c r="C104" s="19">
        <v>1</v>
      </c>
      <c r="D104" s="19" t="s">
        <v>463</v>
      </c>
      <c r="E104" s="19">
        <v>51350</v>
      </c>
      <c r="F104" s="19"/>
      <c r="G104" s="20">
        <f>G105</f>
        <v>3773.7</v>
      </c>
      <c r="H104" s="20">
        <f>H105</f>
        <v>2527.5</v>
      </c>
      <c r="I104" s="20">
        <f>I105</f>
        <v>1262.5</v>
      </c>
    </row>
    <row r="105" spans="1:9" s="26" customFormat="1" ht="25.5" customHeight="1" x14ac:dyDescent="0.2">
      <c r="A105" s="28" t="s">
        <v>69</v>
      </c>
      <c r="B105" s="19" t="s">
        <v>18</v>
      </c>
      <c r="C105" s="19">
        <v>1</v>
      </c>
      <c r="D105" s="19" t="s">
        <v>463</v>
      </c>
      <c r="E105" s="19">
        <v>51350</v>
      </c>
      <c r="F105" s="19" t="s">
        <v>70</v>
      </c>
      <c r="G105" s="20">
        <f>'изменения июль вед стр-ра'!G112</f>
        <v>3773.7</v>
      </c>
      <c r="H105" s="20">
        <f>'изменения июль вед стр-ра'!H112</f>
        <v>2527.5</v>
      </c>
      <c r="I105" s="20">
        <f>'изменения июль вед стр-ра'!I112</f>
        <v>1262.5</v>
      </c>
    </row>
    <row r="106" spans="1:9" s="26" customFormat="1" ht="30.75" customHeight="1" x14ac:dyDescent="0.2">
      <c r="A106" s="18" t="s">
        <v>351</v>
      </c>
      <c r="B106" s="19" t="s">
        <v>18</v>
      </c>
      <c r="C106" s="19">
        <v>1</v>
      </c>
      <c r="D106" s="19" t="s">
        <v>463</v>
      </c>
      <c r="E106" s="19" t="s">
        <v>605</v>
      </c>
      <c r="F106" s="19"/>
      <c r="G106" s="20">
        <f>G107</f>
        <v>25414.9</v>
      </c>
      <c r="H106" s="20">
        <f>H107</f>
        <v>21142.799999999999</v>
      </c>
      <c r="I106" s="20">
        <f>I107</f>
        <v>21142.799999999999</v>
      </c>
    </row>
    <row r="107" spans="1:9" ht="25.5" x14ac:dyDescent="0.2">
      <c r="A107" s="28" t="s">
        <v>83</v>
      </c>
      <c r="B107" s="24" t="s">
        <v>18</v>
      </c>
      <c r="C107" s="24">
        <v>1</v>
      </c>
      <c r="D107" s="24" t="s">
        <v>463</v>
      </c>
      <c r="E107" s="24" t="s">
        <v>605</v>
      </c>
      <c r="F107" s="24" t="s">
        <v>71</v>
      </c>
      <c r="G107" s="25">
        <f>'изменения июль вед стр-ра'!G114</f>
        <v>25414.9</v>
      </c>
      <c r="H107" s="25">
        <f>'изменения июль вед стр-ра'!H114</f>
        <v>21142.799999999999</v>
      </c>
      <c r="I107" s="25">
        <f>'изменения июль вед стр-ра'!I114</f>
        <v>21142.799999999999</v>
      </c>
    </row>
    <row r="108" spans="1:9" s="26" customFormat="1" ht="38.25" x14ac:dyDescent="0.2">
      <c r="A108" s="18" t="s">
        <v>217</v>
      </c>
      <c r="B108" s="19" t="s">
        <v>18</v>
      </c>
      <c r="C108" s="19">
        <v>1</v>
      </c>
      <c r="D108" s="19" t="s">
        <v>463</v>
      </c>
      <c r="E108" s="19" t="s">
        <v>604</v>
      </c>
      <c r="F108" s="19"/>
      <c r="G108" s="20">
        <f>G109</f>
        <v>24881.1</v>
      </c>
      <c r="H108" s="20">
        <f>H109</f>
        <v>25876.2</v>
      </c>
      <c r="I108" s="20">
        <f>I109</f>
        <v>25876.2</v>
      </c>
    </row>
    <row r="109" spans="1:9" ht="25.5" x14ac:dyDescent="0.2">
      <c r="A109" s="28" t="s">
        <v>83</v>
      </c>
      <c r="B109" s="19" t="s">
        <v>18</v>
      </c>
      <c r="C109" s="19">
        <v>1</v>
      </c>
      <c r="D109" s="19" t="s">
        <v>463</v>
      </c>
      <c r="E109" s="19" t="s">
        <v>604</v>
      </c>
      <c r="F109" s="24" t="s">
        <v>71</v>
      </c>
      <c r="G109" s="25">
        <f>'изменения июль вед стр-ра'!G202</f>
        <v>24881.1</v>
      </c>
      <c r="H109" s="25">
        <f>'изменения июль вед стр-ра'!H202</f>
        <v>25876.2</v>
      </c>
      <c r="I109" s="25">
        <f>'изменения июль вед стр-ра'!I202</f>
        <v>25876.2</v>
      </c>
    </row>
    <row r="110" spans="1:9" ht="38.25" x14ac:dyDescent="0.2">
      <c r="A110" s="18" t="s">
        <v>217</v>
      </c>
      <c r="B110" s="19" t="s">
        <v>18</v>
      </c>
      <c r="C110" s="19">
        <v>1</v>
      </c>
      <c r="D110" s="19" t="s">
        <v>463</v>
      </c>
      <c r="E110" s="19" t="s">
        <v>603</v>
      </c>
      <c r="F110" s="19"/>
      <c r="G110" s="20">
        <f>G111</f>
        <v>58079.3</v>
      </c>
      <c r="H110" s="20">
        <f>H111</f>
        <v>31948</v>
      </c>
      <c r="I110" s="20">
        <f>I111</f>
        <v>31948</v>
      </c>
    </row>
    <row r="111" spans="1:9" s="79" customFormat="1" ht="25.5" x14ac:dyDescent="0.2">
      <c r="A111" s="87" t="s">
        <v>83</v>
      </c>
      <c r="B111" s="77" t="s">
        <v>18</v>
      </c>
      <c r="C111" s="77">
        <v>1</v>
      </c>
      <c r="D111" s="77" t="s">
        <v>463</v>
      </c>
      <c r="E111" s="77" t="s">
        <v>603</v>
      </c>
      <c r="F111" s="82" t="s">
        <v>71</v>
      </c>
      <c r="G111" s="62">
        <f>'изменения июль вед стр-ра'!G204</f>
        <v>58079.3</v>
      </c>
      <c r="H111" s="62">
        <f>'изменения июль вед стр-ра'!H204</f>
        <v>31948</v>
      </c>
      <c r="I111" s="62">
        <f>'изменения июль вед стр-ра'!I204</f>
        <v>31948</v>
      </c>
    </row>
    <row r="112" spans="1:9" s="79" customFormat="1" x14ac:dyDescent="0.2">
      <c r="A112" s="154" t="s">
        <v>602</v>
      </c>
      <c r="B112" s="152" t="s">
        <v>18</v>
      </c>
      <c r="C112" s="153" t="s">
        <v>502</v>
      </c>
      <c r="D112" s="153"/>
      <c r="E112" s="153"/>
      <c r="F112" s="152"/>
      <c r="G112" s="151">
        <f t="shared" ref="G112:I113" si="6">G113</f>
        <v>5168.35563</v>
      </c>
      <c r="H112" s="151">
        <f t="shared" si="6"/>
        <v>1966.3</v>
      </c>
      <c r="I112" s="151">
        <f t="shared" si="6"/>
        <v>1966.3</v>
      </c>
    </row>
    <row r="113" spans="1:9" s="84" customFormat="1" x14ac:dyDescent="0.2">
      <c r="A113" s="75" t="s">
        <v>386</v>
      </c>
      <c r="B113" s="77" t="s">
        <v>18</v>
      </c>
      <c r="C113" s="77">
        <v>2</v>
      </c>
      <c r="D113" s="77" t="s">
        <v>463</v>
      </c>
      <c r="E113" s="77" t="s">
        <v>601</v>
      </c>
      <c r="F113" s="77"/>
      <c r="G113" s="78">
        <f t="shared" si="6"/>
        <v>5168.35563</v>
      </c>
      <c r="H113" s="78">
        <f t="shared" si="6"/>
        <v>1966.3</v>
      </c>
      <c r="I113" s="78">
        <f t="shared" si="6"/>
        <v>1966.3</v>
      </c>
    </row>
    <row r="114" spans="1:9" s="79" customFormat="1" x14ac:dyDescent="0.2">
      <c r="A114" s="87" t="s">
        <v>69</v>
      </c>
      <c r="B114" s="82" t="s">
        <v>18</v>
      </c>
      <c r="C114" s="82">
        <v>2</v>
      </c>
      <c r="D114" s="82" t="s">
        <v>463</v>
      </c>
      <c r="E114" s="82" t="s">
        <v>601</v>
      </c>
      <c r="F114" s="162">
        <v>300</v>
      </c>
      <c r="G114" s="62">
        <f>'изменения июль вед стр-ра'!G118</f>
        <v>5168.35563</v>
      </c>
      <c r="H114" s="62">
        <f>'изменения июль вед стр-ра'!H118</f>
        <v>1966.3</v>
      </c>
      <c r="I114" s="62">
        <f>'изменения июль вед стр-ра'!I118</f>
        <v>1966.3</v>
      </c>
    </row>
    <row r="115" spans="1:9" s="74" customFormat="1" ht="25.5" x14ac:dyDescent="0.2">
      <c r="A115" s="154" t="s">
        <v>600</v>
      </c>
      <c r="B115" s="152" t="s">
        <v>18</v>
      </c>
      <c r="C115" s="152" t="s">
        <v>498</v>
      </c>
      <c r="D115" s="152"/>
      <c r="E115" s="152"/>
      <c r="F115" s="166"/>
      <c r="G115" s="151">
        <f>SUM(G121)+G123+G125+G116</f>
        <v>381873.1569</v>
      </c>
      <c r="H115" s="151">
        <f t="shared" ref="H115:I115" si="7">SUM(H121)+H123+H125+H116</f>
        <v>344618.32174000004</v>
      </c>
      <c r="I115" s="151">
        <f t="shared" si="7"/>
        <v>373693.864</v>
      </c>
    </row>
    <row r="116" spans="1:9" s="74" customFormat="1" ht="25.5" x14ac:dyDescent="0.2">
      <c r="A116" s="75" t="s">
        <v>694</v>
      </c>
      <c r="B116" s="82" t="s">
        <v>18</v>
      </c>
      <c r="C116" s="82" t="s">
        <v>498</v>
      </c>
      <c r="D116" s="82" t="s">
        <v>697</v>
      </c>
      <c r="E116" s="152"/>
      <c r="F116" s="166"/>
      <c r="G116" s="78">
        <f>G119+G117</f>
        <v>116237.85690000001</v>
      </c>
      <c r="H116" s="78">
        <f t="shared" ref="H116:I116" si="8">H119+H117</f>
        <v>3946.9217400000002</v>
      </c>
      <c r="I116" s="78">
        <f t="shared" si="8"/>
        <v>100785.364</v>
      </c>
    </row>
    <row r="117" spans="1:9" s="74" customFormat="1" ht="51" x14ac:dyDescent="0.2">
      <c r="A117" s="75" t="s">
        <v>696</v>
      </c>
      <c r="B117" s="77" t="s">
        <v>18</v>
      </c>
      <c r="C117" s="77">
        <v>3</v>
      </c>
      <c r="D117" s="77" t="s">
        <v>463</v>
      </c>
      <c r="E117" s="77" t="s">
        <v>720</v>
      </c>
      <c r="F117" s="166"/>
      <c r="G117" s="78">
        <f>G118</f>
        <v>110562.23375000001</v>
      </c>
      <c r="H117" s="78">
        <f t="shared" ref="H117:I117" si="9">H118</f>
        <v>0</v>
      </c>
      <c r="I117" s="78">
        <f t="shared" si="9"/>
        <v>0</v>
      </c>
    </row>
    <row r="118" spans="1:9" s="74" customFormat="1" ht="25.5" x14ac:dyDescent="0.2">
      <c r="A118" s="87" t="s">
        <v>83</v>
      </c>
      <c r="B118" s="77" t="s">
        <v>18</v>
      </c>
      <c r="C118" s="77">
        <v>3</v>
      </c>
      <c r="D118" s="77" t="s">
        <v>463</v>
      </c>
      <c r="E118" s="82" t="s">
        <v>720</v>
      </c>
      <c r="F118" s="166">
        <v>400</v>
      </c>
      <c r="G118" s="62">
        <f>'изменения июль вед стр-ра'!G90</f>
        <v>110562.23375000001</v>
      </c>
      <c r="H118" s="62">
        <f>'изменения июль вед стр-ра'!H90</f>
        <v>0</v>
      </c>
      <c r="I118" s="62">
        <f>'изменения июль вед стр-ра'!I90</f>
        <v>0</v>
      </c>
    </row>
    <row r="119" spans="1:9" s="74" customFormat="1" ht="51" x14ac:dyDescent="0.2">
      <c r="A119" s="75" t="s">
        <v>696</v>
      </c>
      <c r="B119" s="77" t="s">
        <v>18</v>
      </c>
      <c r="C119" s="77">
        <v>3</v>
      </c>
      <c r="D119" s="77" t="s">
        <v>463</v>
      </c>
      <c r="E119" s="77" t="s">
        <v>698</v>
      </c>
      <c r="F119" s="166"/>
      <c r="G119" s="78">
        <f>G120</f>
        <v>5675.6231500000004</v>
      </c>
      <c r="H119" s="78">
        <f t="shared" ref="H119:I119" si="10">H120</f>
        <v>3946.9217400000002</v>
      </c>
      <c r="I119" s="78">
        <f t="shared" si="10"/>
        <v>100785.364</v>
      </c>
    </row>
    <row r="120" spans="1:9" s="74" customFormat="1" ht="25.5" x14ac:dyDescent="0.2">
      <c r="A120" s="87" t="s">
        <v>83</v>
      </c>
      <c r="B120" s="77" t="s">
        <v>18</v>
      </c>
      <c r="C120" s="77">
        <v>3</v>
      </c>
      <c r="D120" s="77" t="s">
        <v>463</v>
      </c>
      <c r="E120" s="82" t="s">
        <v>698</v>
      </c>
      <c r="F120" s="166">
        <v>400</v>
      </c>
      <c r="G120" s="62">
        <f>'изменения июль вед стр-ра'!G92</f>
        <v>5675.6231500000004</v>
      </c>
      <c r="H120" s="62">
        <f>'изменения июль вед стр-ра'!H92</f>
        <v>3946.9217400000002</v>
      </c>
      <c r="I120" s="62">
        <f>'изменения июль вед стр-ра'!I92</f>
        <v>100785.364</v>
      </c>
    </row>
    <row r="121" spans="1:9" s="79" customFormat="1" ht="25.5" x14ac:dyDescent="0.2">
      <c r="A121" s="75" t="s">
        <v>169</v>
      </c>
      <c r="B121" s="77" t="s">
        <v>18</v>
      </c>
      <c r="C121" s="77">
        <v>3</v>
      </c>
      <c r="D121" s="77" t="s">
        <v>463</v>
      </c>
      <c r="E121" s="77">
        <v>51560</v>
      </c>
      <c r="F121" s="77"/>
      <c r="G121" s="78">
        <f>G122</f>
        <v>262958.3</v>
      </c>
      <c r="H121" s="78">
        <f>H122</f>
        <v>340671.4</v>
      </c>
      <c r="I121" s="78">
        <f>I122</f>
        <v>272908.5</v>
      </c>
    </row>
    <row r="122" spans="1:9" s="84" customFormat="1" x14ac:dyDescent="0.2">
      <c r="A122" s="87" t="s">
        <v>69</v>
      </c>
      <c r="B122" s="82" t="s">
        <v>18</v>
      </c>
      <c r="C122" s="82">
        <v>3</v>
      </c>
      <c r="D122" s="82" t="s">
        <v>463</v>
      </c>
      <c r="E122" s="82">
        <v>51560</v>
      </c>
      <c r="F122" s="82" t="s">
        <v>70</v>
      </c>
      <c r="G122" s="62">
        <f>'изменения июль вед стр-ра'!G120</f>
        <v>262958.3</v>
      </c>
      <c r="H122" s="62">
        <f>'изменения июль вед стр-ра'!H120</f>
        <v>340671.4</v>
      </c>
      <c r="I122" s="62">
        <f>'изменения июль вед стр-ра'!I120</f>
        <v>272908.5</v>
      </c>
    </row>
    <row r="123" spans="1:9" s="84" customFormat="1" x14ac:dyDescent="0.2">
      <c r="A123" s="87" t="s">
        <v>400</v>
      </c>
      <c r="B123" s="82" t="s">
        <v>18</v>
      </c>
      <c r="C123" s="82" t="s">
        <v>498</v>
      </c>
      <c r="D123" s="82" t="s">
        <v>463</v>
      </c>
      <c r="E123" s="82" t="s">
        <v>599</v>
      </c>
      <c r="F123" s="83"/>
      <c r="G123" s="62">
        <f>G124</f>
        <v>1277</v>
      </c>
      <c r="H123" s="62">
        <v>0</v>
      </c>
      <c r="I123" s="62">
        <v>0</v>
      </c>
    </row>
    <row r="124" spans="1:9" s="84" customFormat="1" ht="25.5" x14ac:dyDescent="0.2">
      <c r="A124" s="87" t="s">
        <v>83</v>
      </c>
      <c r="B124" s="82" t="s">
        <v>18</v>
      </c>
      <c r="C124" s="82" t="s">
        <v>498</v>
      </c>
      <c r="D124" s="82" t="s">
        <v>463</v>
      </c>
      <c r="E124" s="82" t="s">
        <v>599</v>
      </c>
      <c r="F124" s="83" t="s">
        <v>71</v>
      </c>
      <c r="G124" s="62">
        <f>'изменения июль вед стр-ра'!G94</f>
        <v>1277</v>
      </c>
      <c r="H124" s="62">
        <f>'изменения июль вед стр-ра'!H94</f>
        <v>0</v>
      </c>
      <c r="I124" s="62">
        <f>'изменения июль вед стр-ра'!I94</f>
        <v>0</v>
      </c>
    </row>
    <row r="125" spans="1:9" s="26" customFormat="1" ht="25.5" x14ac:dyDescent="0.2">
      <c r="A125" s="18" t="s">
        <v>375</v>
      </c>
      <c r="B125" s="24" t="s">
        <v>18</v>
      </c>
      <c r="C125" s="24" t="s">
        <v>498</v>
      </c>
      <c r="D125" s="24" t="s">
        <v>463</v>
      </c>
      <c r="E125" s="24" t="s">
        <v>669</v>
      </c>
      <c r="F125" s="27"/>
      <c r="G125" s="25">
        <f>SUM(G126)</f>
        <v>1400</v>
      </c>
      <c r="H125" s="25">
        <f t="shared" ref="H125:I125" si="11">SUM(H126)</f>
        <v>0</v>
      </c>
      <c r="I125" s="25">
        <f t="shared" si="11"/>
        <v>0</v>
      </c>
    </row>
    <row r="126" spans="1:9" s="26" customFormat="1" ht="25.5" x14ac:dyDescent="0.2">
      <c r="A126" s="28" t="s">
        <v>76</v>
      </c>
      <c r="B126" s="24" t="s">
        <v>18</v>
      </c>
      <c r="C126" s="24" t="s">
        <v>498</v>
      </c>
      <c r="D126" s="24" t="s">
        <v>463</v>
      </c>
      <c r="E126" s="24" t="s">
        <v>669</v>
      </c>
      <c r="F126" s="27" t="s">
        <v>68</v>
      </c>
      <c r="G126" s="25">
        <f>'изменения июль вед стр-ра'!G569</f>
        <v>1400</v>
      </c>
      <c r="H126" s="25">
        <f>'изменения июль вед стр-ра'!H569</f>
        <v>0</v>
      </c>
      <c r="I126" s="25">
        <f>'изменения июль вед стр-ра'!I569</f>
        <v>0</v>
      </c>
    </row>
    <row r="127" spans="1:9" s="74" customFormat="1" x14ac:dyDescent="0.2">
      <c r="A127" s="154" t="s">
        <v>598</v>
      </c>
      <c r="B127" s="152" t="s">
        <v>18</v>
      </c>
      <c r="C127" s="152" t="s">
        <v>495</v>
      </c>
      <c r="D127" s="152"/>
      <c r="E127" s="152"/>
      <c r="F127" s="152"/>
      <c r="G127" s="151">
        <f>SUM(G128,)+G131+G134</f>
        <v>51337.200000000004</v>
      </c>
      <c r="H127" s="151">
        <f>SUM(H128,)+H131+H134</f>
        <v>34103</v>
      </c>
      <c r="I127" s="151">
        <f>SUM(I128,)+I131+I134</f>
        <v>12030.6</v>
      </c>
    </row>
    <row r="128" spans="1:9" x14ac:dyDescent="0.2">
      <c r="A128" s="18" t="s">
        <v>172</v>
      </c>
      <c r="B128" s="19" t="s">
        <v>18</v>
      </c>
      <c r="C128" s="19">
        <v>4</v>
      </c>
      <c r="D128" s="19" t="s">
        <v>463</v>
      </c>
      <c r="E128" s="19" t="s">
        <v>597</v>
      </c>
      <c r="F128" s="19"/>
      <c r="G128" s="20">
        <f>G129+G130</f>
        <v>21873.9</v>
      </c>
      <c r="H128" s="20">
        <f>H129+H130</f>
        <v>30885</v>
      </c>
      <c r="I128" s="20">
        <f>I129+I130</f>
        <v>8812.6</v>
      </c>
    </row>
    <row r="129" spans="1:9" s="165" customFormat="1" ht="25.5" x14ac:dyDescent="0.2">
      <c r="A129" s="80" t="s">
        <v>466</v>
      </c>
      <c r="B129" s="82" t="s">
        <v>18</v>
      </c>
      <c r="C129" s="82">
        <v>4</v>
      </c>
      <c r="D129" s="82" t="s">
        <v>463</v>
      </c>
      <c r="E129" s="82" t="s">
        <v>597</v>
      </c>
      <c r="F129" s="83" t="s">
        <v>68</v>
      </c>
      <c r="G129" s="62">
        <f>'изменения июль вед стр-ра'!G96</f>
        <v>14595.4</v>
      </c>
      <c r="H129" s="62">
        <f>'изменения июль вед стр-ра'!H96</f>
        <v>0</v>
      </c>
      <c r="I129" s="62">
        <f>'изменения июль вед стр-ра'!I96</f>
        <v>0</v>
      </c>
    </row>
    <row r="130" spans="1:9" s="9" customFormat="1" ht="25.5" x14ac:dyDescent="0.2">
      <c r="A130" s="28" t="s">
        <v>83</v>
      </c>
      <c r="B130" s="24" t="s">
        <v>18</v>
      </c>
      <c r="C130" s="24">
        <v>4</v>
      </c>
      <c r="D130" s="24" t="s">
        <v>463</v>
      </c>
      <c r="E130" s="24" t="s">
        <v>597</v>
      </c>
      <c r="F130" s="24" t="s">
        <v>71</v>
      </c>
      <c r="G130" s="25">
        <f>'изменения июль вед стр-ра'!G51+'изменения июль вед стр-ра'!G373+'изменения июль вед стр-ра'!G97</f>
        <v>7278.5</v>
      </c>
      <c r="H130" s="25">
        <f>'изменения июль вед стр-ра'!H51+'изменения июль вед стр-ра'!H373+'изменения июль вед стр-ра'!H97</f>
        <v>30885</v>
      </c>
      <c r="I130" s="25">
        <f>'изменения июль вед стр-ра'!I51+'изменения июль вед стр-ра'!I373+'изменения июль вед стр-ра'!I97</f>
        <v>8812.6</v>
      </c>
    </row>
    <row r="131" spans="1:9" s="163" customFormat="1" x14ac:dyDescent="0.2">
      <c r="A131" s="18" t="s">
        <v>174</v>
      </c>
      <c r="B131" s="24" t="s">
        <v>18</v>
      </c>
      <c r="C131" s="24">
        <v>4</v>
      </c>
      <c r="D131" s="24" t="s">
        <v>463</v>
      </c>
      <c r="E131" s="24" t="s">
        <v>596</v>
      </c>
      <c r="F131" s="19"/>
      <c r="G131" s="20">
        <f>G132+G133</f>
        <v>26039.5</v>
      </c>
      <c r="H131" s="20">
        <f>H132+H133</f>
        <v>0</v>
      </c>
      <c r="I131" s="20">
        <f>I132+I133</f>
        <v>0</v>
      </c>
    </row>
    <row r="132" spans="1:9" s="9" customFormat="1" ht="25.5" x14ac:dyDescent="0.2">
      <c r="A132" s="30" t="s">
        <v>466</v>
      </c>
      <c r="B132" s="24" t="s">
        <v>18</v>
      </c>
      <c r="C132" s="24">
        <v>4</v>
      </c>
      <c r="D132" s="24" t="s">
        <v>463</v>
      </c>
      <c r="E132" s="24" t="s">
        <v>596</v>
      </c>
      <c r="F132" s="27" t="s">
        <v>68</v>
      </c>
      <c r="G132" s="25">
        <f>'изменения июль вед стр-ра'!G99+'изменения июль вед стр-ра'!G387</f>
        <v>16711.3</v>
      </c>
      <c r="H132" s="25">
        <f>'изменения июль вед стр-ра'!H99+'изменения июль вед стр-ра'!H387</f>
        <v>0</v>
      </c>
      <c r="I132" s="25">
        <f>'изменения июль вед стр-ра'!I99+'изменения июль вед стр-ра'!I387</f>
        <v>0</v>
      </c>
    </row>
    <row r="133" spans="1:9" s="9" customFormat="1" ht="25.5" x14ac:dyDescent="0.2">
      <c r="A133" s="28" t="s">
        <v>83</v>
      </c>
      <c r="B133" s="24" t="s">
        <v>18</v>
      </c>
      <c r="C133" s="24">
        <v>4</v>
      </c>
      <c r="D133" s="24" t="s">
        <v>463</v>
      </c>
      <c r="E133" s="24" t="s">
        <v>596</v>
      </c>
      <c r="F133" s="24" t="s">
        <v>71</v>
      </c>
      <c r="G133" s="25">
        <f>'изменения июль вед стр-ра'!G100+'изменения июль вед стр-ра'!G144+'изменения июль вед стр-ра'!G235</f>
        <v>9328.2000000000007</v>
      </c>
      <c r="H133" s="25">
        <f>'изменения июль вед стр-ра'!H100+'изменения июль вед стр-ра'!H144+'изменения июль вед стр-ра'!H235</f>
        <v>0</v>
      </c>
      <c r="I133" s="25">
        <f>'изменения июль вед стр-ра'!I100+'изменения июль вед стр-ра'!I144+'изменения июль вед стр-ра'!I235</f>
        <v>0</v>
      </c>
    </row>
    <row r="134" spans="1:9" s="74" customFormat="1" ht="38.25" x14ac:dyDescent="0.2">
      <c r="A134" s="75" t="s">
        <v>403</v>
      </c>
      <c r="B134" s="82" t="s">
        <v>18</v>
      </c>
      <c r="C134" s="82" t="s">
        <v>495</v>
      </c>
      <c r="D134" s="82" t="s">
        <v>463</v>
      </c>
      <c r="E134" s="82" t="s">
        <v>595</v>
      </c>
      <c r="F134" s="82"/>
      <c r="G134" s="62">
        <f>G135</f>
        <v>3423.8</v>
      </c>
      <c r="H134" s="62">
        <f>H135</f>
        <v>3218</v>
      </c>
      <c r="I134" s="62">
        <f>I135</f>
        <v>3218</v>
      </c>
    </row>
    <row r="135" spans="1:9" s="9" customFormat="1" ht="25.5" x14ac:dyDescent="0.2">
      <c r="A135" s="28" t="s">
        <v>141</v>
      </c>
      <c r="B135" s="24" t="s">
        <v>18</v>
      </c>
      <c r="C135" s="24" t="s">
        <v>495</v>
      </c>
      <c r="D135" s="24" t="s">
        <v>463</v>
      </c>
      <c r="E135" s="24" t="s">
        <v>595</v>
      </c>
      <c r="F135" s="24" t="s">
        <v>65</v>
      </c>
      <c r="G135" s="25">
        <f>'изменения июль вед стр-ра'!G64</f>
        <v>3423.8</v>
      </c>
      <c r="H135" s="25">
        <f>'изменения июль вед стр-ра'!H64</f>
        <v>3218</v>
      </c>
      <c r="I135" s="25">
        <f>'изменения июль вед стр-ра'!I64</f>
        <v>3218</v>
      </c>
    </row>
    <row r="136" spans="1:9" s="163" customFormat="1" x14ac:dyDescent="0.2">
      <c r="A136" s="150" t="s">
        <v>594</v>
      </c>
      <c r="B136" s="149" t="s">
        <v>18</v>
      </c>
      <c r="C136" s="149" t="s">
        <v>492</v>
      </c>
      <c r="D136" s="149"/>
      <c r="E136" s="149"/>
      <c r="F136" s="149"/>
      <c r="G136" s="148">
        <f>SUM(G137,G139)</f>
        <v>3693.7</v>
      </c>
      <c r="H136" s="148">
        <f>SUM(H137,H139)</f>
        <v>0</v>
      </c>
      <c r="I136" s="148">
        <f>SUM(I137,I139)</f>
        <v>0</v>
      </c>
    </row>
    <row r="137" spans="1:9" s="9" customFormat="1" x14ac:dyDescent="0.2">
      <c r="A137" s="18" t="s">
        <v>420</v>
      </c>
      <c r="B137" s="19" t="s">
        <v>18</v>
      </c>
      <c r="C137" s="19">
        <v>5</v>
      </c>
      <c r="D137" s="19" t="s">
        <v>463</v>
      </c>
      <c r="E137" s="19" t="s">
        <v>593</v>
      </c>
      <c r="F137" s="19"/>
      <c r="G137" s="20">
        <f>G138</f>
        <v>1586</v>
      </c>
      <c r="H137" s="20">
        <f>H138</f>
        <v>0</v>
      </c>
      <c r="I137" s="20">
        <f>I138</f>
        <v>0</v>
      </c>
    </row>
    <row r="138" spans="1:9" s="164" customFormat="1" x14ac:dyDescent="0.2">
      <c r="A138" s="87" t="s">
        <v>72</v>
      </c>
      <c r="B138" s="82" t="s">
        <v>18</v>
      </c>
      <c r="C138" s="82">
        <v>5</v>
      </c>
      <c r="D138" s="82" t="s">
        <v>463</v>
      </c>
      <c r="E138" s="82" t="s">
        <v>593</v>
      </c>
      <c r="F138" s="82" t="s">
        <v>73</v>
      </c>
      <c r="G138" s="62">
        <f>'изменения июль вед стр-ра'!G567</f>
        <v>1586</v>
      </c>
      <c r="H138" s="62">
        <f>'изменения июль вед стр-ра'!H567</f>
        <v>0</v>
      </c>
      <c r="I138" s="62">
        <f>'изменения июль вед стр-ра'!I567</f>
        <v>0</v>
      </c>
    </row>
    <row r="139" spans="1:9" s="163" customFormat="1" ht="25.5" x14ac:dyDescent="0.2">
      <c r="A139" s="18" t="s">
        <v>215</v>
      </c>
      <c r="B139" s="19" t="s">
        <v>18</v>
      </c>
      <c r="C139" s="19">
        <v>5</v>
      </c>
      <c r="D139" s="19" t="s">
        <v>463</v>
      </c>
      <c r="E139" s="19" t="s">
        <v>592</v>
      </c>
      <c r="F139" s="19"/>
      <c r="G139" s="20">
        <f>G140</f>
        <v>2107.6999999999998</v>
      </c>
      <c r="H139" s="20">
        <f>H140</f>
        <v>0</v>
      </c>
      <c r="I139" s="20">
        <f>I140</f>
        <v>0</v>
      </c>
    </row>
    <row r="140" spans="1:9" s="9" customFormat="1" ht="25.5" x14ac:dyDescent="0.2">
      <c r="A140" s="30" t="s">
        <v>466</v>
      </c>
      <c r="B140" s="24" t="s">
        <v>18</v>
      </c>
      <c r="C140" s="24">
        <v>5</v>
      </c>
      <c r="D140" s="24" t="s">
        <v>463</v>
      </c>
      <c r="E140" s="24" t="s">
        <v>592</v>
      </c>
      <c r="F140" s="24" t="s">
        <v>68</v>
      </c>
      <c r="G140" s="25">
        <f>'изменения июль вед стр-ра'!G195</f>
        <v>2107.6999999999998</v>
      </c>
      <c r="H140" s="25">
        <f>'изменения июль вед стр-ра'!H195</f>
        <v>0</v>
      </c>
      <c r="I140" s="25">
        <f>'изменения июль вед стр-ра'!I195</f>
        <v>0</v>
      </c>
    </row>
    <row r="141" spans="1:9" ht="25.5" x14ac:dyDescent="0.2">
      <c r="A141" s="40" t="s">
        <v>591</v>
      </c>
      <c r="B141" s="41" t="s">
        <v>31</v>
      </c>
      <c r="C141" s="41"/>
      <c r="D141" s="41"/>
      <c r="E141" s="41"/>
      <c r="F141" s="41"/>
      <c r="G141" s="39">
        <f>SUM(G142,G206,G247)</f>
        <v>1419088.4425000004</v>
      </c>
      <c r="H141" s="39">
        <f>SUM(H142,H206,H247)</f>
        <v>1223864.3</v>
      </c>
      <c r="I141" s="39">
        <f>SUM(I142,I206,I247)</f>
        <v>1177030.1000000001</v>
      </c>
    </row>
    <row r="142" spans="1:9" s="79" customFormat="1" ht="38.25" x14ac:dyDescent="0.2">
      <c r="A142" s="154" t="s">
        <v>590</v>
      </c>
      <c r="B142" s="152" t="s">
        <v>31</v>
      </c>
      <c r="C142" s="152" t="s">
        <v>507</v>
      </c>
      <c r="D142" s="152"/>
      <c r="E142" s="152"/>
      <c r="F142" s="152"/>
      <c r="G142" s="151">
        <f>SUM(G143,G148,G150,G155,G158,G162,G165,G167,G169,G172,G184,G188,G192,G196)+G201+G198+G182+G176+G180+G153+G204+G178</f>
        <v>1288970.7425000002</v>
      </c>
      <c r="H142" s="151">
        <f>SUM(H143,H148,H150,H155,H158,H162,H165,H167,H169,H172,H184,H188,H192,H196)+H201+H198+H182+H176+H180+H153+H204+H178</f>
        <v>1101807.3</v>
      </c>
      <c r="I142" s="151">
        <f>SUM(I143,I148,I150,I155,I158,I162,I165,I167,I169,I172,I184,I188,I192,I196)+I201+I198+I182+I176+I180+I153+I204+I178</f>
        <v>1058129.8</v>
      </c>
    </row>
    <row r="143" spans="1:9" s="79" customFormat="1" ht="51" x14ac:dyDescent="0.2">
      <c r="A143" s="75" t="s">
        <v>344</v>
      </c>
      <c r="B143" s="77" t="s">
        <v>31</v>
      </c>
      <c r="C143" s="77">
        <v>1</v>
      </c>
      <c r="D143" s="77" t="s">
        <v>463</v>
      </c>
      <c r="E143" s="77" t="s">
        <v>589</v>
      </c>
      <c r="F143" s="77"/>
      <c r="G143" s="78">
        <f>G146+G145+G144+G147</f>
        <v>201332.69999999998</v>
      </c>
      <c r="H143" s="78">
        <f>H146+H145+H144+H147</f>
        <v>176581.59999999998</v>
      </c>
      <c r="I143" s="78">
        <f>I146+I145+I144+I147</f>
        <v>168770</v>
      </c>
    </row>
    <row r="144" spans="1:9" s="79" customFormat="1" ht="51" x14ac:dyDescent="0.2">
      <c r="A144" s="80" t="s">
        <v>66</v>
      </c>
      <c r="B144" s="82" t="s">
        <v>31</v>
      </c>
      <c r="C144" s="82">
        <v>1</v>
      </c>
      <c r="D144" s="82" t="s">
        <v>463</v>
      </c>
      <c r="E144" s="82" t="s">
        <v>589</v>
      </c>
      <c r="F144" s="83" t="s">
        <v>67</v>
      </c>
      <c r="G144" s="78">
        <f>'изменения июль вед стр-ра'!G241</f>
        <v>24355.5</v>
      </c>
      <c r="H144" s="78">
        <f>'изменения июль вед стр-ра'!H241</f>
        <v>22781.9</v>
      </c>
      <c r="I144" s="78">
        <f>'изменения июль вед стр-ра'!I241</f>
        <v>22781.9</v>
      </c>
    </row>
    <row r="145" spans="1:9" ht="25.5" x14ac:dyDescent="0.2">
      <c r="A145" s="30" t="s">
        <v>466</v>
      </c>
      <c r="B145" s="24" t="s">
        <v>31</v>
      </c>
      <c r="C145" s="24">
        <v>1</v>
      </c>
      <c r="D145" s="24" t="s">
        <v>463</v>
      </c>
      <c r="E145" s="24" t="s">
        <v>589</v>
      </c>
      <c r="F145" s="27" t="s">
        <v>68</v>
      </c>
      <c r="G145" s="78">
        <f>'изменения июль вед стр-ра'!G242</f>
        <v>11641.2</v>
      </c>
      <c r="H145" s="78">
        <f>'изменения июль вед стр-ра'!H242</f>
        <v>9706.3000000000011</v>
      </c>
      <c r="I145" s="78">
        <f>'изменения июль вед стр-ра'!I242</f>
        <v>8796.7000000000007</v>
      </c>
    </row>
    <row r="146" spans="1:9" ht="25.5" x14ac:dyDescent="0.2">
      <c r="A146" s="28" t="s">
        <v>141</v>
      </c>
      <c r="B146" s="24" t="s">
        <v>31</v>
      </c>
      <c r="C146" s="24">
        <v>1</v>
      </c>
      <c r="D146" s="24" t="s">
        <v>463</v>
      </c>
      <c r="E146" s="24" t="s">
        <v>589</v>
      </c>
      <c r="F146" s="24" t="s">
        <v>65</v>
      </c>
      <c r="G146" s="78">
        <f>'изменения июль вед стр-ра'!G243</f>
        <v>164966.19999999998</v>
      </c>
      <c r="H146" s="78">
        <f>'изменения июль вед стр-ра'!H243</f>
        <v>143502.9</v>
      </c>
      <c r="I146" s="78">
        <f>'изменения июль вед стр-ра'!I243</f>
        <v>136600.9</v>
      </c>
    </row>
    <row r="147" spans="1:9" s="79" customFormat="1" x14ac:dyDescent="0.2">
      <c r="A147" s="87" t="s">
        <v>72</v>
      </c>
      <c r="B147" s="82" t="s">
        <v>31</v>
      </c>
      <c r="C147" s="82">
        <v>1</v>
      </c>
      <c r="D147" s="82" t="s">
        <v>463</v>
      </c>
      <c r="E147" s="82" t="s">
        <v>589</v>
      </c>
      <c r="F147" s="82" t="s">
        <v>73</v>
      </c>
      <c r="G147" s="78">
        <f>'изменения июль вед стр-ра'!G244</f>
        <v>369.79999999999995</v>
      </c>
      <c r="H147" s="78">
        <f>'изменения июль вед стр-ра'!H244</f>
        <v>590.5</v>
      </c>
      <c r="I147" s="78">
        <f>'изменения июль вед стр-ра'!I244</f>
        <v>590.5</v>
      </c>
    </row>
    <row r="148" spans="1:9" ht="51" x14ac:dyDescent="0.2">
      <c r="A148" s="18" t="s">
        <v>344</v>
      </c>
      <c r="B148" s="19" t="s">
        <v>31</v>
      </c>
      <c r="C148" s="19">
        <v>1</v>
      </c>
      <c r="D148" s="19" t="s">
        <v>463</v>
      </c>
      <c r="E148" s="19" t="s">
        <v>588</v>
      </c>
      <c r="F148" s="19"/>
      <c r="G148" s="20">
        <f>G149</f>
        <v>68271.09</v>
      </c>
      <c r="H148" s="20">
        <f>H149</f>
        <v>51697.999999999993</v>
      </c>
      <c r="I148" s="20">
        <f>I149</f>
        <v>19586.399999999994</v>
      </c>
    </row>
    <row r="149" spans="1:9" ht="25.5" x14ac:dyDescent="0.2">
      <c r="A149" s="28" t="s">
        <v>141</v>
      </c>
      <c r="B149" s="24" t="s">
        <v>31</v>
      </c>
      <c r="C149" s="24">
        <v>1</v>
      </c>
      <c r="D149" s="24" t="s">
        <v>463</v>
      </c>
      <c r="E149" s="24" t="s">
        <v>588</v>
      </c>
      <c r="F149" s="24" t="s">
        <v>65</v>
      </c>
      <c r="G149" s="25">
        <f>'изменения июль вед стр-ра'!G270</f>
        <v>68271.09</v>
      </c>
      <c r="H149" s="25">
        <f>'изменения июль вед стр-ра'!H270</f>
        <v>51697.999999999993</v>
      </c>
      <c r="I149" s="25">
        <f>'изменения июль вед стр-ра'!I270</f>
        <v>19586.399999999994</v>
      </c>
    </row>
    <row r="150" spans="1:9" ht="51" x14ac:dyDescent="0.2">
      <c r="A150" s="18" t="s">
        <v>344</v>
      </c>
      <c r="B150" s="19" t="s">
        <v>31</v>
      </c>
      <c r="C150" s="19">
        <v>1</v>
      </c>
      <c r="D150" s="19" t="s">
        <v>463</v>
      </c>
      <c r="E150" s="19" t="s">
        <v>587</v>
      </c>
      <c r="F150" s="19"/>
      <c r="G150" s="20">
        <f>G152+G151</f>
        <v>168005.5</v>
      </c>
      <c r="H150" s="20">
        <f>H152+H151</f>
        <v>152788.4</v>
      </c>
      <c r="I150" s="20">
        <f>I152+I151</f>
        <v>149827</v>
      </c>
    </row>
    <row r="151" spans="1:9" x14ac:dyDescent="0.2">
      <c r="A151" s="28" t="s">
        <v>69</v>
      </c>
      <c r="B151" s="24" t="s">
        <v>31</v>
      </c>
      <c r="C151" s="24">
        <v>1</v>
      </c>
      <c r="D151" s="24" t="s">
        <v>463</v>
      </c>
      <c r="E151" s="24" t="s">
        <v>587</v>
      </c>
      <c r="F151" s="27" t="s">
        <v>70</v>
      </c>
      <c r="G151" s="25">
        <f>'изменения июль вед стр-ра'!G375</f>
        <v>30</v>
      </c>
      <c r="H151" s="25">
        <f>'изменения июль вед стр-ра'!H375</f>
        <v>30</v>
      </c>
      <c r="I151" s="25">
        <f>'изменения июль вед стр-ра'!I375</f>
        <v>30</v>
      </c>
    </row>
    <row r="152" spans="1:9" ht="25.5" x14ac:dyDescent="0.2">
      <c r="A152" s="28" t="s">
        <v>141</v>
      </c>
      <c r="B152" s="24" t="s">
        <v>31</v>
      </c>
      <c r="C152" s="24">
        <v>1</v>
      </c>
      <c r="D152" s="24" t="s">
        <v>463</v>
      </c>
      <c r="E152" s="24" t="s">
        <v>587</v>
      </c>
      <c r="F152" s="24" t="s">
        <v>65</v>
      </c>
      <c r="G152" s="25">
        <f>'изменения июль вед стр-ра'!G376+'изменения июль вед стр-ра'!G293</f>
        <v>167975.5</v>
      </c>
      <c r="H152" s="25">
        <f>'изменения июль вед стр-ра'!H376+'изменения июль вед стр-ра'!H293</f>
        <v>152758.39999999999</v>
      </c>
      <c r="I152" s="25">
        <f>'изменения июль вед стр-ра'!I376+'изменения июль вед стр-ра'!I293</f>
        <v>149797</v>
      </c>
    </row>
    <row r="153" spans="1:9" s="237" customFormat="1" ht="25.5" x14ac:dyDescent="0.2">
      <c r="A153" s="18" t="s">
        <v>701</v>
      </c>
      <c r="B153" s="19" t="s">
        <v>31</v>
      </c>
      <c r="C153" s="19">
        <v>1</v>
      </c>
      <c r="D153" s="19" t="s">
        <v>463</v>
      </c>
      <c r="E153" s="19" t="s">
        <v>703</v>
      </c>
      <c r="F153" s="19"/>
      <c r="G153" s="25">
        <f>G154</f>
        <v>6079.2</v>
      </c>
      <c r="H153" s="25">
        <f t="shared" ref="H153:I153" si="12">H154</f>
        <v>0</v>
      </c>
      <c r="I153" s="25">
        <f t="shared" si="12"/>
        <v>0</v>
      </c>
    </row>
    <row r="154" spans="1:9" s="237" customFormat="1" ht="25.5" x14ac:dyDescent="0.2">
      <c r="A154" s="28" t="s">
        <v>141</v>
      </c>
      <c r="B154" s="24" t="s">
        <v>31</v>
      </c>
      <c r="C154" s="24">
        <v>1</v>
      </c>
      <c r="D154" s="24" t="s">
        <v>463</v>
      </c>
      <c r="E154" s="24" t="s">
        <v>703</v>
      </c>
      <c r="F154" s="24" t="s">
        <v>65</v>
      </c>
      <c r="G154" s="25">
        <f>'изменения июль вед стр-ра'!G295</f>
        <v>6079.2</v>
      </c>
      <c r="H154" s="25">
        <f>'изменения июль вед стр-ра'!H295</f>
        <v>0</v>
      </c>
      <c r="I154" s="25">
        <f>'изменения июль вед стр-ра'!I295</f>
        <v>0</v>
      </c>
    </row>
    <row r="155" spans="1:9" ht="51" x14ac:dyDescent="0.2">
      <c r="A155" s="18" t="s">
        <v>235</v>
      </c>
      <c r="B155" s="19" t="s">
        <v>31</v>
      </c>
      <c r="C155" s="19">
        <v>1</v>
      </c>
      <c r="D155" s="19" t="s">
        <v>463</v>
      </c>
      <c r="E155" s="19" t="s">
        <v>586</v>
      </c>
      <c r="F155" s="19"/>
      <c r="G155" s="20">
        <f>G156+G157</f>
        <v>759.8</v>
      </c>
      <c r="H155" s="20">
        <f t="shared" ref="H155:I155" si="13">H156+H157</f>
        <v>759.8</v>
      </c>
      <c r="I155" s="20">
        <f t="shared" si="13"/>
        <v>707.5</v>
      </c>
    </row>
    <row r="156" spans="1:9" ht="25.5" x14ac:dyDescent="0.2">
      <c r="A156" s="30" t="s">
        <v>466</v>
      </c>
      <c r="B156" s="24" t="s">
        <v>31</v>
      </c>
      <c r="C156" s="24">
        <v>1</v>
      </c>
      <c r="D156" s="24" t="s">
        <v>463</v>
      </c>
      <c r="E156" s="24" t="s">
        <v>586</v>
      </c>
      <c r="F156" s="27" t="s">
        <v>68</v>
      </c>
      <c r="G156" s="25">
        <f>'изменения июль вед стр-ра'!G276</f>
        <v>747.8</v>
      </c>
      <c r="H156" s="25">
        <f>'изменения июль вед стр-ра'!H276</f>
        <v>759.8</v>
      </c>
      <c r="I156" s="25">
        <f>'изменения июль вед стр-ра'!I276</f>
        <v>707.5</v>
      </c>
    </row>
    <row r="157" spans="1:9" s="237" customFormat="1" x14ac:dyDescent="0.2">
      <c r="A157" s="30" t="s">
        <v>72</v>
      </c>
      <c r="B157" s="24" t="s">
        <v>31</v>
      </c>
      <c r="C157" s="24">
        <v>1</v>
      </c>
      <c r="D157" s="24" t="s">
        <v>463</v>
      </c>
      <c r="E157" s="24" t="s">
        <v>586</v>
      </c>
      <c r="F157" s="27" t="s">
        <v>73</v>
      </c>
      <c r="G157" s="25">
        <f>'изменения июль вед стр-ра'!G277</f>
        <v>12</v>
      </c>
      <c r="H157" s="25">
        <f>'изменения июль вед стр-ра'!H277</f>
        <v>0</v>
      </c>
      <c r="I157" s="25">
        <f>'изменения июль вед стр-ра'!I277</f>
        <v>0</v>
      </c>
    </row>
    <row r="158" spans="1:9" s="79" customFormat="1" ht="51" x14ac:dyDescent="0.2">
      <c r="A158" s="75" t="s">
        <v>235</v>
      </c>
      <c r="B158" s="77" t="s">
        <v>31</v>
      </c>
      <c r="C158" s="77">
        <v>1</v>
      </c>
      <c r="D158" s="77" t="s">
        <v>463</v>
      </c>
      <c r="E158" s="77" t="s">
        <v>585</v>
      </c>
      <c r="F158" s="77"/>
      <c r="G158" s="78">
        <f>G159+G160+G161</f>
        <v>6248.4000000000005</v>
      </c>
      <c r="H158" s="78">
        <f>H159+H160+H161</f>
        <v>6143.2000000000007</v>
      </c>
      <c r="I158" s="78">
        <f>I159+I160+I161</f>
        <v>5402.6</v>
      </c>
    </row>
    <row r="159" spans="1:9" s="79" customFormat="1" ht="51" x14ac:dyDescent="0.2">
      <c r="A159" s="80" t="s">
        <v>66</v>
      </c>
      <c r="B159" s="82" t="s">
        <v>31</v>
      </c>
      <c r="C159" s="82">
        <v>1</v>
      </c>
      <c r="D159" s="82" t="s">
        <v>463</v>
      </c>
      <c r="E159" s="82" t="s">
        <v>585</v>
      </c>
      <c r="F159" s="83" t="s">
        <v>67</v>
      </c>
      <c r="G159" s="62">
        <f>'изменения июль вед стр-ра'!G272</f>
        <v>3.3</v>
      </c>
      <c r="H159" s="62">
        <f>'изменения июль вед стр-ра'!H272</f>
        <v>3.3</v>
      </c>
      <c r="I159" s="62">
        <f>'изменения июль вед стр-ра'!I272</f>
        <v>3.3</v>
      </c>
    </row>
    <row r="160" spans="1:9" ht="25.5" x14ac:dyDescent="0.2">
      <c r="A160" s="30" t="s">
        <v>466</v>
      </c>
      <c r="B160" s="24" t="s">
        <v>31</v>
      </c>
      <c r="C160" s="24">
        <v>1</v>
      </c>
      <c r="D160" s="24" t="s">
        <v>463</v>
      </c>
      <c r="E160" s="24" t="s">
        <v>585</v>
      </c>
      <c r="F160" s="27" t="s">
        <v>68</v>
      </c>
      <c r="G160" s="62">
        <f>'изменения июль вед стр-ра'!G273</f>
        <v>5775.3</v>
      </c>
      <c r="H160" s="62">
        <f>'изменения июль вед стр-ра'!H273</f>
        <v>4930.1000000000004</v>
      </c>
      <c r="I160" s="62">
        <f>'изменения июль вед стр-ра'!I273</f>
        <v>4189.5</v>
      </c>
    </row>
    <row r="161" spans="1:9" x14ac:dyDescent="0.2">
      <c r="A161" s="28" t="s">
        <v>72</v>
      </c>
      <c r="B161" s="24" t="s">
        <v>31</v>
      </c>
      <c r="C161" s="24">
        <v>1</v>
      </c>
      <c r="D161" s="24" t="s">
        <v>463</v>
      </c>
      <c r="E161" s="24" t="s">
        <v>585</v>
      </c>
      <c r="F161" s="24" t="s">
        <v>73</v>
      </c>
      <c r="G161" s="62">
        <f>'изменения июль вед стр-ра'!G274</f>
        <v>469.79999999999995</v>
      </c>
      <c r="H161" s="62">
        <f>'изменения июль вед стр-ра'!H274</f>
        <v>1209.8</v>
      </c>
      <c r="I161" s="62">
        <f>'изменения июль вед стр-ра'!I274</f>
        <v>1209.8</v>
      </c>
    </row>
    <row r="162" spans="1:9" s="79" customFormat="1" ht="25.5" x14ac:dyDescent="0.2">
      <c r="A162" s="75" t="s">
        <v>345</v>
      </c>
      <c r="B162" s="77" t="s">
        <v>31</v>
      </c>
      <c r="C162" s="77">
        <v>1</v>
      </c>
      <c r="D162" s="77" t="s">
        <v>463</v>
      </c>
      <c r="E162" s="77" t="s">
        <v>584</v>
      </c>
      <c r="F162" s="77"/>
      <c r="G162" s="78">
        <f>G164+G163</f>
        <v>403.7</v>
      </c>
      <c r="H162" s="78">
        <f>H164+H163</f>
        <v>403.7</v>
      </c>
      <c r="I162" s="78">
        <f>I164+I163</f>
        <v>403.7</v>
      </c>
    </row>
    <row r="163" spans="1:9" ht="25.5" x14ac:dyDescent="0.2">
      <c r="A163" s="30" t="s">
        <v>466</v>
      </c>
      <c r="B163" s="24" t="s">
        <v>31</v>
      </c>
      <c r="C163" s="24">
        <v>1</v>
      </c>
      <c r="D163" s="24" t="s">
        <v>463</v>
      </c>
      <c r="E163" s="24" t="s">
        <v>584</v>
      </c>
      <c r="F163" s="24" t="s">
        <v>68</v>
      </c>
      <c r="G163" s="25">
        <f>'изменения июль вед стр-ра'!G308</f>
        <v>4</v>
      </c>
      <c r="H163" s="25">
        <f>'изменения июль вед стр-ра'!H308</f>
        <v>4</v>
      </c>
      <c r="I163" s="25">
        <f>'изменения июль вед стр-ра'!I308</f>
        <v>4</v>
      </c>
    </row>
    <row r="164" spans="1:9" s="79" customFormat="1" ht="25.5" x14ac:dyDescent="0.2">
      <c r="A164" s="87" t="s">
        <v>141</v>
      </c>
      <c r="B164" s="82" t="s">
        <v>31</v>
      </c>
      <c r="C164" s="82">
        <v>1</v>
      </c>
      <c r="D164" s="82" t="s">
        <v>463</v>
      </c>
      <c r="E164" s="82" t="s">
        <v>584</v>
      </c>
      <c r="F164" s="82" t="s">
        <v>65</v>
      </c>
      <c r="G164" s="62">
        <f>'изменения июль вед стр-ра'!G309+'изменения июль вед стр-ра'!G381</f>
        <v>399.7</v>
      </c>
      <c r="H164" s="62">
        <f>'изменения июль вед стр-ра'!H309+'изменения июль вед стр-ра'!H381</f>
        <v>399.7</v>
      </c>
      <c r="I164" s="62">
        <f>'изменения июль вед стр-ра'!I309+'изменения июль вед стр-ра'!I381</f>
        <v>399.7</v>
      </c>
    </row>
    <row r="165" spans="1:9" ht="25.5" x14ac:dyDescent="0.2">
      <c r="A165" s="18" t="s">
        <v>345</v>
      </c>
      <c r="B165" s="19" t="s">
        <v>31</v>
      </c>
      <c r="C165" s="19">
        <v>1</v>
      </c>
      <c r="D165" s="19" t="s">
        <v>463</v>
      </c>
      <c r="E165" s="19" t="s">
        <v>583</v>
      </c>
      <c r="F165" s="19"/>
      <c r="G165" s="20">
        <f>G166</f>
        <v>0</v>
      </c>
      <c r="H165" s="20">
        <f>H166</f>
        <v>100</v>
      </c>
      <c r="I165" s="20">
        <f>I166</f>
        <v>100</v>
      </c>
    </row>
    <row r="166" spans="1:9" ht="25.5" x14ac:dyDescent="0.2">
      <c r="A166" s="28" t="s">
        <v>141</v>
      </c>
      <c r="B166" s="24" t="s">
        <v>31</v>
      </c>
      <c r="C166" s="24">
        <v>1</v>
      </c>
      <c r="D166" s="24" t="s">
        <v>463</v>
      </c>
      <c r="E166" s="24" t="s">
        <v>583</v>
      </c>
      <c r="F166" s="24" t="s">
        <v>65</v>
      </c>
      <c r="G166" s="25">
        <f>'изменения июль вед стр-ра'!G306</f>
        <v>0</v>
      </c>
      <c r="H166" s="25">
        <f>'изменения июль вед стр-ра'!H306</f>
        <v>100</v>
      </c>
      <c r="I166" s="25">
        <f>'изменения июль вед стр-ра'!I306</f>
        <v>100</v>
      </c>
    </row>
    <row r="167" spans="1:9" ht="25.5" x14ac:dyDescent="0.2">
      <c r="A167" s="18" t="s">
        <v>176</v>
      </c>
      <c r="B167" s="19" t="s">
        <v>31</v>
      </c>
      <c r="C167" s="19">
        <v>1</v>
      </c>
      <c r="D167" s="19" t="s">
        <v>463</v>
      </c>
      <c r="E167" s="19" t="s">
        <v>582</v>
      </c>
      <c r="F167" s="19"/>
      <c r="G167" s="20">
        <f>G168</f>
        <v>216.7</v>
      </c>
      <c r="H167" s="20">
        <f t="shared" ref="H167:I167" si="14">H168</f>
        <v>116.7</v>
      </c>
      <c r="I167" s="20">
        <f t="shared" si="14"/>
        <v>116.7</v>
      </c>
    </row>
    <row r="168" spans="1:9" ht="25.5" x14ac:dyDescent="0.2">
      <c r="A168" s="30" t="s">
        <v>466</v>
      </c>
      <c r="B168" s="24" t="s">
        <v>31</v>
      </c>
      <c r="C168" s="24">
        <v>1</v>
      </c>
      <c r="D168" s="24" t="s">
        <v>463</v>
      </c>
      <c r="E168" s="24" t="s">
        <v>582</v>
      </c>
      <c r="F168" s="27" t="s">
        <v>68</v>
      </c>
      <c r="G168" s="25">
        <f>'изменения июль вед стр-ра'!G104</f>
        <v>216.7</v>
      </c>
      <c r="H168" s="25">
        <f>'изменения июль вед стр-ра'!H104</f>
        <v>116.7</v>
      </c>
      <c r="I168" s="25">
        <f>'изменения июль вед стр-ра'!I104</f>
        <v>116.7</v>
      </c>
    </row>
    <row r="169" spans="1:9" ht="37.5" customHeight="1" x14ac:dyDescent="0.2">
      <c r="A169" s="18" t="s">
        <v>346</v>
      </c>
      <c r="B169" s="19" t="s">
        <v>31</v>
      </c>
      <c r="C169" s="19">
        <v>1</v>
      </c>
      <c r="D169" s="19" t="s">
        <v>463</v>
      </c>
      <c r="E169" s="19" t="s">
        <v>581</v>
      </c>
      <c r="F169" s="19"/>
      <c r="G169" s="20">
        <f>G170+G171</f>
        <v>784.19999999999993</v>
      </c>
      <c r="H169" s="20">
        <f>H170+H171</f>
        <v>714.19999999999993</v>
      </c>
      <c r="I169" s="20">
        <f>I170+I171</f>
        <v>714.19999999999993</v>
      </c>
    </row>
    <row r="170" spans="1:9" ht="51" x14ac:dyDescent="0.2">
      <c r="A170" s="30" t="s">
        <v>66</v>
      </c>
      <c r="B170" s="24" t="s">
        <v>31</v>
      </c>
      <c r="C170" s="24">
        <v>1</v>
      </c>
      <c r="D170" s="24" t="s">
        <v>463</v>
      </c>
      <c r="E170" s="24" t="s">
        <v>581</v>
      </c>
      <c r="F170" s="27" t="s">
        <v>67</v>
      </c>
      <c r="G170" s="25">
        <f>'изменения июль вед стр-ра'!G311</f>
        <v>64.8</v>
      </c>
      <c r="H170" s="25">
        <f>'изменения июль вед стр-ра'!H311</f>
        <v>54.4</v>
      </c>
      <c r="I170" s="25">
        <f>'изменения июль вед стр-ра'!I311</f>
        <v>54.4</v>
      </c>
    </row>
    <row r="171" spans="1:9" ht="25.5" x14ac:dyDescent="0.2">
      <c r="A171" s="28" t="s">
        <v>141</v>
      </c>
      <c r="B171" s="24" t="s">
        <v>31</v>
      </c>
      <c r="C171" s="24">
        <v>1</v>
      </c>
      <c r="D171" s="24" t="s">
        <v>463</v>
      </c>
      <c r="E171" s="24" t="s">
        <v>581</v>
      </c>
      <c r="F171" s="24" t="s">
        <v>65</v>
      </c>
      <c r="G171" s="25">
        <f>'изменения июль вед стр-ра'!G312</f>
        <v>719.4</v>
      </c>
      <c r="H171" s="25">
        <f>'изменения июль вед стр-ра'!H312</f>
        <v>659.8</v>
      </c>
      <c r="I171" s="25">
        <f>'изменения июль вед стр-ра'!I312</f>
        <v>659.8</v>
      </c>
    </row>
    <row r="172" spans="1:9" s="79" customFormat="1" ht="25.5" x14ac:dyDescent="0.2">
      <c r="A172" s="75" t="s">
        <v>243</v>
      </c>
      <c r="B172" s="77" t="s">
        <v>31</v>
      </c>
      <c r="C172" s="77">
        <v>1</v>
      </c>
      <c r="D172" s="77" t="s">
        <v>463</v>
      </c>
      <c r="E172" s="77" t="s">
        <v>580</v>
      </c>
      <c r="F172" s="77"/>
      <c r="G172" s="78">
        <f>G175+G174+G173</f>
        <v>643.4</v>
      </c>
      <c r="H172" s="78">
        <f>H175+H174+H173</f>
        <v>643.4</v>
      </c>
      <c r="I172" s="78">
        <f>I175+I174+I173</f>
        <v>643.4</v>
      </c>
    </row>
    <row r="173" spans="1:9" ht="51" x14ac:dyDescent="0.2">
      <c r="A173" s="30" t="s">
        <v>66</v>
      </c>
      <c r="B173" s="24" t="s">
        <v>31</v>
      </c>
      <c r="C173" s="24">
        <v>1</v>
      </c>
      <c r="D173" s="24" t="s">
        <v>463</v>
      </c>
      <c r="E173" s="24" t="s">
        <v>580</v>
      </c>
      <c r="F173" s="24" t="s">
        <v>67</v>
      </c>
      <c r="G173" s="25">
        <f>'изменения июль вед стр-ра'!G314</f>
        <v>22.6</v>
      </c>
      <c r="H173" s="25">
        <f>'изменения июль вед стр-ра'!H314</f>
        <v>22.6</v>
      </c>
      <c r="I173" s="25">
        <f>'изменения июль вед стр-ра'!I314</f>
        <v>22.6</v>
      </c>
    </row>
    <row r="174" spans="1:9" s="79" customFormat="1" ht="25.5" x14ac:dyDescent="0.2">
      <c r="A174" s="80" t="s">
        <v>466</v>
      </c>
      <c r="B174" s="82" t="s">
        <v>31</v>
      </c>
      <c r="C174" s="82">
        <v>1</v>
      </c>
      <c r="D174" s="82" t="s">
        <v>463</v>
      </c>
      <c r="E174" s="82" t="s">
        <v>580</v>
      </c>
      <c r="F174" s="82" t="s">
        <v>68</v>
      </c>
      <c r="G174" s="25">
        <f>'изменения июль вед стр-ра'!G315</f>
        <v>105</v>
      </c>
      <c r="H174" s="25">
        <f>'изменения июль вед стр-ра'!H315</f>
        <v>105</v>
      </c>
      <c r="I174" s="25">
        <f>'изменения июль вед стр-ра'!I315</f>
        <v>105</v>
      </c>
    </row>
    <row r="175" spans="1:9" s="79" customFormat="1" ht="25.5" x14ac:dyDescent="0.2">
      <c r="A175" s="87" t="s">
        <v>141</v>
      </c>
      <c r="B175" s="82" t="s">
        <v>31</v>
      </c>
      <c r="C175" s="82">
        <v>1</v>
      </c>
      <c r="D175" s="82" t="s">
        <v>463</v>
      </c>
      <c r="E175" s="82" t="s">
        <v>580</v>
      </c>
      <c r="F175" s="82" t="s">
        <v>65</v>
      </c>
      <c r="G175" s="25">
        <f>'изменения июль вед стр-ра'!G316</f>
        <v>515.79999999999995</v>
      </c>
      <c r="H175" s="25">
        <f>'изменения июль вед стр-ра'!H316</f>
        <v>515.79999999999995</v>
      </c>
      <c r="I175" s="25">
        <f>'изменения июль вед стр-ра'!I316</f>
        <v>515.79999999999995</v>
      </c>
    </row>
    <row r="176" spans="1:9" s="79" customFormat="1" ht="25.5" x14ac:dyDescent="0.2">
      <c r="A176" s="18" t="s">
        <v>443</v>
      </c>
      <c r="B176" s="82" t="s">
        <v>31</v>
      </c>
      <c r="C176" s="82">
        <v>1</v>
      </c>
      <c r="D176" s="82" t="s">
        <v>463</v>
      </c>
      <c r="E176" s="19" t="s">
        <v>490</v>
      </c>
      <c r="F176" s="19"/>
      <c r="G176" s="20">
        <f>G177</f>
        <v>1321.6100000000001</v>
      </c>
      <c r="H176" s="20">
        <f t="shared" ref="H176:I176" si="15">H177</f>
        <v>0</v>
      </c>
      <c r="I176" s="20">
        <f t="shared" si="15"/>
        <v>0</v>
      </c>
    </row>
    <row r="177" spans="1:9" s="79" customFormat="1" ht="25.5" x14ac:dyDescent="0.2">
      <c r="A177" s="28" t="s">
        <v>141</v>
      </c>
      <c r="B177" s="82" t="s">
        <v>31</v>
      </c>
      <c r="C177" s="82">
        <v>1</v>
      </c>
      <c r="D177" s="82" t="s">
        <v>463</v>
      </c>
      <c r="E177" s="24" t="s">
        <v>490</v>
      </c>
      <c r="F177" s="24" t="s">
        <v>65</v>
      </c>
      <c r="G177" s="25">
        <f>'изменения июль вед стр-ра'!G249</f>
        <v>1321.6100000000001</v>
      </c>
      <c r="H177" s="25">
        <f>'изменения июль вед стр-ра'!H249</f>
        <v>0</v>
      </c>
      <c r="I177" s="25">
        <f>'изменения июль вед стр-ра'!I249</f>
        <v>0</v>
      </c>
    </row>
    <row r="178" spans="1:9" s="79" customFormat="1" ht="25.5" x14ac:dyDescent="0.2">
      <c r="A178" s="18" t="s">
        <v>443</v>
      </c>
      <c r="B178" s="82" t="s">
        <v>31</v>
      </c>
      <c r="C178" s="82">
        <v>1</v>
      </c>
      <c r="D178" s="82" t="s">
        <v>463</v>
      </c>
      <c r="E178" s="19" t="s">
        <v>722</v>
      </c>
      <c r="F178" s="19"/>
      <c r="G178" s="25">
        <f>G179</f>
        <v>1250</v>
      </c>
      <c r="H178" s="25">
        <f t="shared" ref="H178:I178" si="16">H179</f>
        <v>0</v>
      </c>
      <c r="I178" s="25">
        <f t="shared" si="16"/>
        <v>0</v>
      </c>
    </row>
    <row r="179" spans="1:9" s="79" customFormat="1" ht="25.5" x14ac:dyDescent="0.2">
      <c r="A179" s="28" t="s">
        <v>141</v>
      </c>
      <c r="B179" s="82" t="s">
        <v>31</v>
      </c>
      <c r="C179" s="82">
        <v>1</v>
      </c>
      <c r="D179" s="82" t="s">
        <v>463</v>
      </c>
      <c r="E179" s="24" t="s">
        <v>722</v>
      </c>
      <c r="F179" s="24" t="s">
        <v>65</v>
      </c>
      <c r="G179" s="25">
        <f>'изменения июль вед стр-ра'!G251</f>
        <v>1250</v>
      </c>
      <c r="H179" s="25">
        <f>'изменения июль вед стр-ра'!H251</f>
        <v>0</v>
      </c>
      <c r="I179" s="25">
        <f>'изменения июль вед стр-ра'!I251</f>
        <v>0</v>
      </c>
    </row>
    <row r="180" spans="1:9" s="79" customFormat="1" ht="38.25" x14ac:dyDescent="0.2">
      <c r="A180" s="18" t="s">
        <v>685</v>
      </c>
      <c r="B180" s="82" t="s">
        <v>31</v>
      </c>
      <c r="C180" s="82">
        <v>1</v>
      </c>
      <c r="D180" s="82" t="s">
        <v>463</v>
      </c>
      <c r="E180" s="19" t="s">
        <v>693</v>
      </c>
      <c r="F180" s="19"/>
      <c r="G180" s="20">
        <f>G181</f>
        <v>12187.400000000001</v>
      </c>
      <c r="H180" s="20">
        <f t="shared" ref="H180:I180" si="17">H181</f>
        <v>0</v>
      </c>
      <c r="I180" s="20">
        <f t="shared" si="17"/>
        <v>0</v>
      </c>
    </row>
    <row r="181" spans="1:9" s="79" customFormat="1" ht="25.5" x14ac:dyDescent="0.2">
      <c r="A181" s="28" t="s">
        <v>141</v>
      </c>
      <c r="B181" s="82" t="s">
        <v>31</v>
      </c>
      <c r="C181" s="82">
        <v>1</v>
      </c>
      <c r="D181" s="82" t="s">
        <v>463</v>
      </c>
      <c r="E181" s="24" t="s">
        <v>693</v>
      </c>
      <c r="F181" s="24" t="s">
        <v>65</v>
      </c>
      <c r="G181" s="25">
        <f>'изменения июль вед стр-ра'!G258</f>
        <v>12187.400000000001</v>
      </c>
      <c r="H181" s="25">
        <f>'изменения июль вед стр-ра'!H258</f>
        <v>0</v>
      </c>
      <c r="I181" s="25">
        <f>'изменения июль вед стр-ра'!I258</f>
        <v>0</v>
      </c>
    </row>
    <row r="182" spans="1:9" s="79" customFormat="1" ht="38.25" x14ac:dyDescent="0.2">
      <c r="A182" s="18" t="s">
        <v>685</v>
      </c>
      <c r="B182" s="19" t="s">
        <v>31</v>
      </c>
      <c r="C182" s="19">
        <v>1</v>
      </c>
      <c r="D182" s="19" t="s">
        <v>463</v>
      </c>
      <c r="E182" s="19" t="s">
        <v>687</v>
      </c>
      <c r="F182" s="82"/>
      <c r="G182" s="20">
        <f>G183</f>
        <v>126558.6425</v>
      </c>
      <c r="H182" s="20">
        <f t="shared" ref="H182:I182" si="18">H183</f>
        <v>0</v>
      </c>
      <c r="I182" s="20">
        <f t="shared" si="18"/>
        <v>0</v>
      </c>
    </row>
    <row r="183" spans="1:9" s="79" customFormat="1" ht="25.5" x14ac:dyDescent="0.2">
      <c r="A183" s="87" t="s">
        <v>141</v>
      </c>
      <c r="B183" s="19" t="s">
        <v>31</v>
      </c>
      <c r="C183" s="19">
        <v>1</v>
      </c>
      <c r="D183" s="19" t="s">
        <v>463</v>
      </c>
      <c r="E183" s="19" t="s">
        <v>687</v>
      </c>
      <c r="F183" s="82" t="s">
        <v>65</v>
      </c>
      <c r="G183" s="25">
        <f>'изменения июль вед стр-ра'!G256</f>
        <v>126558.6425</v>
      </c>
      <c r="H183" s="25">
        <f>'изменения июль вед стр-ра'!H256</f>
        <v>0</v>
      </c>
      <c r="I183" s="25">
        <f>'изменения июль вед стр-ра'!I256</f>
        <v>0</v>
      </c>
    </row>
    <row r="184" spans="1:9" ht="51" x14ac:dyDescent="0.2">
      <c r="A184" s="60" t="s">
        <v>360</v>
      </c>
      <c r="B184" s="19" t="s">
        <v>31</v>
      </c>
      <c r="C184" s="19">
        <v>1</v>
      </c>
      <c r="D184" s="19" t="s">
        <v>463</v>
      </c>
      <c r="E184" s="19">
        <v>71800</v>
      </c>
      <c r="F184" s="19"/>
      <c r="G184" s="20">
        <f>G187+G185+G186</f>
        <v>245466.7</v>
      </c>
      <c r="H184" s="20">
        <f>H187+H185+H186</f>
        <v>256466.7</v>
      </c>
      <c r="I184" s="20">
        <f>I187+I185+I186</f>
        <v>256466.7</v>
      </c>
    </row>
    <row r="185" spans="1:9" s="79" customFormat="1" ht="51" x14ac:dyDescent="0.2">
      <c r="A185" s="80" t="s">
        <v>66</v>
      </c>
      <c r="B185" s="82" t="s">
        <v>31</v>
      </c>
      <c r="C185" s="82">
        <v>1</v>
      </c>
      <c r="D185" s="82" t="s">
        <v>463</v>
      </c>
      <c r="E185" s="82">
        <v>71800</v>
      </c>
      <c r="F185" s="83" t="s">
        <v>67</v>
      </c>
      <c r="G185" s="62">
        <f>'изменения июль вед стр-ра'!G237</f>
        <v>40850.5</v>
      </c>
      <c r="H185" s="62">
        <f>'изменения июль вед стр-ра'!H237</f>
        <v>41527.5</v>
      </c>
      <c r="I185" s="62">
        <f>'изменения июль вед стр-ра'!I237</f>
        <v>41527.5</v>
      </c>
    </row>
    <row r="186" spans="1:9" ht="25.5" x14ac:dyDescent="0.2">
      <c r="A186" s="30" t="s">
        <v>466</v>
      </c>
      <c r="B186" s="24" t="s">
        <v>31</v>
      </c>
      <c r="C186" s="24">
        <v>1</v>
      </c>
      <c r="D186" s="24" t="s">
        <v>463</v>
      </c>
      <c r="E186" s="24">
        <v>71800</v>
      </c>
      <c r="F186" s="27" t="s">
        <v>68</v>
      </c>
      <c r="G186" s="62">
        <f>'изменения июль вед стр-ра'!G238</f>
        <v>148.4</v>
      </c>
      <c r="H186" s="62">
        <f>'изменения июль вед стр-ра'!H238</f>
        <v>148.4</v>
      </c>
      <c r="I186" s="62">
        <f>'изменения июль вед стр-ра'!I238</f>
        <v>148.4</v>
      </c>
    </row>
    <row r="187" spans="1:9" s="84" customFormat="1" ht="25.5" x14ac:dyDescent="0.2">
      <c r="A187" s="87" t="s">
        <v>141</v>
      </c>
      <c r="B187" s="82" t="s">
        <v>31</v>
      </c>
      <c r="C187" s="82">
        <v>1</v>
      </c>
      <c r="D187" s="82" t="s">
        <v>463</v>
      </c>
      <c r="E187" s="82">
        <v>71800</v>
      </c>
      <c r="F187" s="82" t="s">
        <v>65</v>
      </c>
      <c r="G187" s="62">
        <f>'изменения июль вед стр-ра'!G239</f>
        <v>204467.80000000002</v>
      </c>
      <c r="H187" s="62">
        <f>'изменения июль вед стр-ра'!H239</f>
        <v>214790.80000000002</v>
      </c>
      <c r="I187" s="62">
        <f>'изменения июль вед стр-ра'!I239</f>
        <v>214790.80000000002</v>
      </c>
    </row>
    <row r="188" spans="1:9" ht="25.5" x14ac:dyDescent="0.2">
      <c r="A188" s="18" t="s">
        <v>228</v>
      </c>
      <c r="B188" s="19" t="s">
        <v>31</v>
      </c>
      <c r="C188" s="19">
        <v>1</v>
      </c>
      <c r="D188" s="19" t="s">
        <v>463</v>
      </c>
      <c r="E188" s="19">
        <v>71820</v>
      </c>
      <c r="F188" s="19"/>
      <c r="G188" s="20">
        <f>G189+G191+G190</f>
        <v>48898.299999999996</v>
      </c>
      <c r="H188" s="20">
        <f>H189+H191+H190</f>
        <v>46674.7</v>
      </c>
      <c r="I188" s="20">
        <f>I189+I191+I190</f>
        <v>46674.7</v>
      </c>
    </row>
    <row r="189" spans="1:9" s="79" customFormat="1" ht="51" x14ac:dyDescent="0.2">
      <c r="A189" s="80" t="s">
        <v>66</v>
      </c>
      <c r="B189" s="82" t="s">
        <v>31</v>
      </c>
      <c r="C189" s="82">
        <v>1</v>
      </c>
      <c r="D189" s="82" t="s">
        <v>463</v>
      </c>
      <c r="E189" s="82">
        <v>71820</v>
      </c>
      <c r="F189" s="83" t="s">
        <v>67</v>
      </c>
      <c r="G189" s="62">
        <f>'изменения июль вед стр-ра'!G260</f>
        <v>34833.299999999996</v>
      </c>
      <c r="H189" s="62">
        <f>'изменения июль вед стр-ра'!H260</f>
        <v>34853.199999999997</v>
      </c>
      <c r="I189" s="62">
        <f>'изменения июль вед стр-ра'!I260</f>
        <v>34853.199999999997</v>
      </c>
    </row>
    <row r="190" spans="1:9" s="79" customFormat="1" ht="25.5" x14ac:dyDescent="0.2">
      <c r="A190" s="80" t="s">
        <v>466</v>
      </c>
      <c r="B190" s="82" t="s">
        <v>31</v>
      </c>
      <c r="C190" s="82" t="s">
        <v>507</v>
      </c>
      <c r="D190" s="82" t="s">
        <v>463</v>
      </c>
      <c r="E190" s="82">
        <v>71820</v>
      </c>
      <c r="F190" s="83" t="s">
        <v>68</v>
      </c>
      <c r="G190" s="62">
        <f>'изменения июль вед стр-ра'!G261</f>
        <v>12979.1</v>
      </c>
      <c r="H190" s="62">
        <f>'изменения июль вед стр-ра'!H261</f>
        <v>11046.2</v>
      </c>
      <c r="I190" s="62">
        <f>'изменения июль вед стр-ра'!I261</f>
        <v>11046.2</v>
      </c>
    </row>
    <row r="191" spans="1:9" x14ac:dyDescent="0.2">
      <c r="A191" s="28" t="s">
        <v>72</v>
      </c>
      <c r="B191" s="24" t="s">
        <v>31</v>
      </c>
      <c r="C191" s="24">
        <v>1</v>
      </c>
      <c r="D191" s="24" t="s">
        <v>463</v>
      </c>
      <c r="E191" s="24">
        <v>71820</v>
      </c>
      <c r="F191" s="24" t="s">
        <v>73</v>
      </c>
      <c r="G191" s="62">
        <f>'изменения июль вед стр-ра'!G262</f>
        <v>1085.9000000000001</v>
      </c>
      <c r="H191" s="62">
        <f>'изменения июль вед стр-ра'!H262</f>
        <v>775.3</v>
      </c>
      <c r="I191" s="62">
        <f>'изменения июль вед стр-ра'!I262</f>
        <v>775.3</v>
      </c>
    </row>
    <row r="192" spans="1:9" ht="63.75" x14ac:dyDescent="0.2">
      <c r="A192" s="18" t="s">
        <v>579</v>
      </c>
      <c r="B192" s="19" t="s">
        <v>31</v>
      </c>
      <c r="C192" s="19">
        <v>1</v>
      </c>
      <c r="D192" s="19" t="s">
        <v>463</v>
      </c>
      <c r="E192" s="19">
        <v>71830</v>
      </c>
      <c r="F192" s="19"/>
      <c r="G192" s="20">
        <f>G195+G194+G193</f>
        <v>391631.4</v>
      </c>
      <c r="H192" s="20">
        <f>H195+H194+H193</f>
        <v>400168.9</v>
      </c>
      <c r="I192" s="20">
        <f>I195+I194+I193</f>
        <v>400168.9</v>
      </c>
    </row>
    <row r="193" spans="1:9" s="79" customFormat="1" ht="51" x14ac:dyDescent="0.2">
      <c r="A193" s="80" t="s">
        <v>66</v>
      </c>
      <c r="B193" s="82" t="s">
        <v>31</v>
      </c>
      <c r="C193" s="82">
        <v>1</v>
      </c>
      <c r="D193" s="82" t="s">
        <v>463</v>
      </c>
      <c r="E193" s="82">
        <v>71830</v>
      </c>
      <c r="F193" s="83" t="s">
        <v>67</v>
      </c>
      <c r="G193" s="62">
        <f>'изменения июль вед стр-ра'!G264</f>
        <v>67627.399999999994</v>
      </c>
      <c r="H193" s="62">
        <f>'изменения июль вед стр-ра'!H264</f>
        <v>70933.8</v>
      </c>
      <c r="I193" s="62">
        <f>'изменения июль вед стр-ра'!I264</f>
        <v>70933.8</v>
      </c>
    </row>
    <row r="194" spans="1:9" s="79" customFormat="1" ht="25.5" x14ac:dyDescent="0.2">
      <c r="A194" s="80" t="s">
        <v>466</v>
      </c>
      <c r="B194" s="82" t="s">
        <v>31</v>
      </c>
      <c r="C194" s="82">
        <v>1</v>
      </c>
      <c r="D194" s="82" t="s">
        <v>463</v>
      </c>
      <c r="E194" s="82">
        <v>71830</v>
      </c>
      <c r="F194" s="83" t="s">
        <v>68</v>
      </c>
      <c r="G194" s="62">
        <f>'изменения июль вед стр-ра'!G265</f>
        <v>1777.3</v>
      </c>
      <c r="H194" s="62">
        <f>'изменения июль вед стр-ра'!H265</f>
        <v>1869.2</v>
      </c>
      <c r="I194" s="62">
        <f>'изменения июль вед стр-ра'!I265</f>
        <v>1869.2</v>
      </c>
    </row>
    <row r="195" spans="1:9" s="79" customFormat="1" ht="25.5" x14ac:dyDescent="0.2">
      <c r="A195" s="87" t="s">
        <v>141</v>
      </c>
      <c r="B195" s="82" t="s">
        <v>31</v>
      </c>
      <c r="C195" s="82">
        <v>1</v>
      </c>
      <c r="D195" s="82" t="s">
        <v>463</v>
      </c>
      <c r="E195" s="82">
        <v>71830</v>
      </c>
      <c r="F195" s="82" t="s">
        <v>65</v>
      </c>
      <c r="G195" s="62">
        <f>'изменения июль вед стр-ра'!G266</f>
        <v>322226.7</v>
      </c>
      <c r="H195" s="62">
        <f>'изменения июль вед стр-ра'!H266</f>
        <v>327365.90000000002</v>
      </c>
      <c r="I195" s="62">
        <f>'изменения июль вед стр-ра'!I266</f>
        <v>327365.90000000002</v>
      </c>
    </row>
    <row r="196" spans="1:9" ht="38.25" x14ac:dyDescent="0.2">
      <c r="A196" s="18" t="s">
        <v>230</v>
      </c>
      <c r="B196" s="19" t="s">
        <v>31</v>
      </c>
      <c r="C196" s="19">
        <v>1</v>
      </c>
      <c r="D196" s="19" t="s">
        <v>463</v>
      </c>
      <c r="E196" s="19">
        <v>71840</v>
      </c>
      <c r="F196" s="19"/>
      <c r="G196" s="20">
        <f>G197</f>
        <v>3738</v>
      </c>
      <c r="H196" s="20">
        <f>H197</f>
        <v>3738</v>
      </c>
      <c r="I196" s="20">
        <f>I197</f>
        <v>3738</v>
      </c>
    </row>
    <row r="197" spans="1:9" ht="25.5" x14ac:dyDescent="0.2">
      <c r="A197" s="30" t="s">
        <v>466</v>
      </c>
      <c r="B197" s="24" t="s">
        <v>31</v>
      </c>
      <c r="C197" s="24">
        <v>1</v>
      </c>
      <c r="D197" s="24" t="s">
        <v>463</v>
      </c>
      <c r="E197" s="24">
        <v>71840</v>
      </c>
      <c r="F197" s="27" t="s">
        <v>68</v>
      </c>
      <c r="G197" s="25">
        <f>'изменения июль вед стр-ра'!G268</f>
        <v>3738</v>
      </c>
      <c r="H197" s="25">
        <f>'изменения июль вед стр-ра'!H268</f>
        <v>3738</v>
      </c>
      <c r="I197" s="25">
        <f>'изменения июль вед стр-ра'!I268</f>
        <v>3738</v>
      </c>
    </row>
    <row r="198" spans="1:9" ht="25.5" x14ac:dyDescent="0.2">
      <c r="A198" s="18" t="s">
        <v>231</v>
      </c>
      <c r="B198" s="24" t="s">
        <v>31</v>
      </c>
      <c r="C198" s="19" t="s">
        <v>507</v>
      </c>
      <c r="D198" s="19" t="s">
        <v>463</v>
      </c>
      <c r="E198" s="19" t="s">
        <v>578</v>
      </c>
      <c r="F198" s="19"/>
      <c r="G198" s="20">
        <f>G200+G199</f>
        <v>465</v>
      </c>
      <c r="H198" s="20">
        <f>H200+H199</f>
        <v>365</v>
      </c>
      <c r="I198" s="20">
        <f>I200+I199</f>
        <v>365</v>
      </c>
    </row>
    <row r="199" spans="1:9" ht="25.5" x14ac:dyDescent="0.2">
      <c r="A199" s="30" t="s">
        <v>466</v>
      </c>
      <c r="B199" s="24" t="s">
        <v>31</v>
      </c>
      <c r="C199" s="24" t="s">
        <v>507</v>
      </c>
      <c r="D199" s="24" t="s">
        <v>463</v>
      </c>
      <c r="E199" s="19" t="s">
        <v>578</v>
      </c>
      <c r="F199" s="24" t="s">
        <v>68</v>
      </c>
      <c r="G199" s="25">
        <f>'изменения июль вед стр-ра'!G279</f>
        <v>57.7</v>
      </c>
      <c r="H199" s="25">
        <f>'изменения июль вед стр-ра'!H279</f>
        <v>57.7</v>
      </c>
      <c r="I199" s="25">
        <f>'изменения июль вед стр-ра'!I279</f>
        <v>57.7</v>
      </c>
    </row>
    <row r="200" spans="1:9" ht="25.5" x14ac:dyDescent="0.2">
      <c r="A200" s="28" t="s">
        <v>141</v>
      </c>
      <c r="B200" s="24" t="s">
        <v>31</v>
      </c>
      <c r="C200" s="24" t="s">
        <v>507</v>
      </c>
      <c r="D200" s="24" t="s">
        <v>463</v>
      </c>
      <c r="E200" s="19" t="s">
        <v>578</v>
      </c>
      <c r="F200" s="24" t="s">
        <v>65</v>
      </c>
      <c r="G200" s="25">
        <f>'изменения июль вед стр-ра'!G280+'изменения июль вед стр-ра'!G291+'изменения июль вед стр-ра'!G301</f>
        <v>407.3</v>
      </c>
      <c r="H200" s="25">
        <f>'изменения июль вед стр-ра'!H280+'изменения июль вед стр-ра'!H291+'изменения июль вед стр-ра'!H301</f>
        <v>307.3</v>
      </c>
      <c r="I200" s="25">
        <f>'изменения июль вед стр-ра'!I280+'изменения июль вед стр-ра'!I291+'изменения июль вед стр-ра'!I301</f>
        <v>307.3</v>
      </c>
    </row>
    <row r="201" spans="1:9" ht="25.5" x14ac:dyDescent="0.2">
      <c r="A201" s="18" t="s">
        <v>188</v>
      </c>
      <c r="B201" s="24" t="s">
        <v>31</v>
      </c>
      <c r="C201" s="19" t="s">
        <v>507</v>
      </c>
      <c r="D201" s="19" t="s">
        <v>463</v>
      </c>
      <c r="E201" s="19" t="s">
        <v>577</v>
      </c>
      <c r="F201" s="19"/>
      <c r="G201" s="20">
        <f>G203+G202</f>
        <v>4445</v>
      </c>
      <c r="H201" s="20">
        <f>H203+H202</f>
        <v>4445</v>
      </c>
      <c r="I201" s="20">
        <f>I203+I202</f>
        <v>4445</v>
      </c>
    </row>
    <row r="202" spans="1:9" ht="25.5" x14ac:dyDescent="0.2">
      <c r="A202" s="30" t="s">
        <v>466</v>
      </c>
      <c r="B202" s="24" t="s">
        <v>31</v>
      </c>
      <c r="C202" s="24" t="s">
        <v>507</v>
      </c>
      <c r="D202" s="24" t="s">
        <v>463</v>
      </c>
      <c r="E202" s="24" t="s">
        <v>577</v>
      </c>
      <c r="F202" s="24" t="s">
        <v>68</v>
      </c>
      <c r="G202" s="25">
        <f>'изменения июль вед стр-ра'!G303</f>
        <v>113.8</v>
      </c>
      <c r="H202" s="25">
        <f>'изменения июль вед стр-ра'!H303</f>
        <v>80</v>
      </c>
      <c r="I202" s="25">
        <f>'изменения июль вед стр-ра'!I303</f>
        <v>80</v>
      </c>
    </row>
    <row r="203" spans="1:9" s="79" customFormat="1" ht="25.5" x14ac:dyDescent="0.2">
      <c r="A203" s="87" t="s">
        <v>141</v>
      </c>
      <c r="B203" s="82" t="s">
        <v>31</v>
      </c>
      <c r="C203" s="82" t="s">
        <v>507</v>
      </c>
      <c r="D203" s="82" t="s">
        <v>463</v>
      </c>
      <c r="E203" s="82" t="s">
        <v>577</v>
      </c>
      <c r="F203" s="82" t="s">
        <v>65</v>
      </c>
      <c r="G203" s="62">
        <f>'изменения июль вед стр-ра'!G304+'изменения июль вед стр-ра'!G379</f>
        <v>4331.2</v>
      </c>
      <c r="H203" s="62">
        <f>'изменения июль вед стр-ра'!H304+'изменения июль вед стр-ра'!H379</f>
        <v>4365</v>
      </c>
      <c r="I203" s="62">
        <f>'изменения июль вед стр-ра'!I304+'изменения июль вед стр-ра'!I379</f>
        <v>4365</v>
      </c>
    </row>
    <row r="204" spans="1:9" s="79" customFormat="1" ht="25.5" x14ac:dyDescent="0.2">
      <c r="A204" s="18" t="s">
        <v>699</v>
      </c>
      <c r="B204" s="24" t="s">
        <v>31</v>
      </c>
      <c r="C204" s="24" t="s">
        <v>507</v>
      </c>
      <c r="D204" s="24" t="s">
        <v>463</v>
      </c>
      <c r="E204" s="19" t="s">
        <v>700</v>
      </c>
      <c r="F204" s="19"/>
      <c r="G204" s="62">
        <f>G205</f>
        <v>264</v>
      </c>
      <c r="H204" s="62">
        <f t="shared" ref="H204:I204" si="19">H205</f>
        <v>0</v>
      </c>
      <c r="I204" s="62">
        <f t="shared" si="19"/>
        <v>0</v>
      </c>
    </row>
    <row r="205" spans="1:9" s="79" customFormat="1" ht="25.5" x14ac:dyDescent="0.2">
      <c r="A205" s="28" t="s">
        <v>76</v>
      </c>
      <c r="B205" s="82" t="s">
        <v>31</v>
      </c>
      <c r="C205" s="82" t="s">
        <v>507</v>
      </c>
      <c r="D205" s="82" t="s">
        <v>463</v>
      </c>
      <c r="E205" s="24" t="s">
        <v>700</v>
      </c>
      <c r="F205" s="24" t="s">
        <v>68</v>
      </c>
      <c r="G205" s="62">
        <f>'изменения июль вед стр-ра'!G246</f>
        <v>264</v>
      </c>
      <c r="H205" s="62">
        <f>'изменения июль вед стр-ра'!H246</f>
        <v>0</v>
      </c>
      <c r="I205" s="62">
        <f>'изменения июль вед стр-ра'!I246</f>
        <v>0</v>
      </c>
    </row>
    <row r="206" spans="1:9" s="79" customFormat="1" x14ac:dyDescent="0.2">
      <c r="A206" s="154" t="s">
        <v>576</v>
      </c>
      <c r="B206" s="152" t="s">
        <v>31</v>
      </c>
      <c r="C206" s="152" t="s">
        <v>502</v>
      </c>
      <c r="D206" s="152"/>
      <c r="E206" s="152"/>
      <c r="F206" s="152"/>
      <c r="G206" s="151">
        <f>SUM(G207,G210,G214,G221,G224,G226,G230,G233,G237)+G218+G212+G239+G241+G228+G235+G244</f>
        <v>55043.600000000006</v>
      </c>
      <c r="H206" s="151">
        <f t="shared" ref="H206:I206" si="20">SUM(H207,H210,H214,H221,H224,H226,H230,H233,H237)+H218+H212+H239+H241+H228+H235+H244</f>
        <v>54061.4</v>
      </c>
      <c r="I206" s="151">
        <f t="shared" si="20"/>
        <v>52112.3</v>
      </c>
    </row>
    <row r="207" spans="1:9" s="79" customFormat="1" x14ac:dyDescent="0.2">
      <c r="A207" s="75" t="s">
        <v>347</v>
      </c>
      <c r="B207" s="77" t="s">
        <v>31</v>
      </c>
      <c r="C207" s="77">
        <v>2</v>
      </c>
      <c r="D207" s="77" t="s">
        <v>463</v>
      </c>
      <c r="E207" s="77" t="s">
        <v>575</v>
      </c>
      <c r="F207" s="77"/>
      <c r="G207" s="78">
        <f>G209+G208</f>
        <v>400</v>
      </c>
      <c r="H207" s="78">
        <f>H209+H208</f>
        <v>250</v>
      </c>
      <c r="I207" s="78">
        <f>I209+I208</f>
        <v>250</v>
      </c>
    </row>
    <row r="208" spans="1:9" x14ac:dyDescent="0.2">
      <c r="A208" s="28" t="s">
        <v>69</v>
      </c>
      <c r="B208" s="19" t="s">
        <v>31</v>
      </c>
      <c r="C208" s="19">
        <v>2</v>
      </c>
      <c r="D208" s="19" t="s">
        <v>463</v>
      </c>
      <c r="E208" s="19" t="s">
        <v>575</v>
      </c>
      <c r="F208" s="24" t="s">
        <v>70</v>
      </c>
      <c r="G208" s="25">
        <f>'изменения июль вед стр-ра'!G285</f>
        <v>12</v>
      </c>
      <c r="H208" s="25">
        <f>'изменения июль вед стр-ра'!H285</f>
        <v>2</v>
      </c>
      <c r="I208" s="25">
        <f>'изменения июль вед стр-ра'!I285</f>
        <v>2</v>
      </c>
    </row>
    <row r="209" spans="1:9" s="79" customFormat="1" ht="25.5" x14ac:dyDescent="0.2">
      <c r="A209" s="87" t="s">
        <v>141</v>
      </c>
      <c r="B209" s="77" t="s">
        <v>31</v>
      </c>
      <c r="C209" s="77">
        <v>2</v>
      </c>
      <c r="D209" s="77" t="s">
        <v>463</v>
      </c>
      <c r="E209" s="77" t="s">
        <v>575</v>
      </c>
      <c r="F209" s="82" t="s">
        <v>65</v>
      </c>
      <c r="G209" s="25">
        <f>'изменения июль вед стр-ра'!G286</f>
        <v>388</v>
      </c>
      <c r="H209" s="25">
        <f>'изменения июль вед стр-ра'!H286</f>
        <v>248</v>
      </c>
      <c r="I209" s="25">
        <f>'изменения июль вед стр-ра'!I286</f>
        <v>248</v>
      </c>
    </row>
    <row r="210" spans="1:9" ht="25.5" x14ac:dyDescent="0.2">
      <c r="A210" s="18" t="s">
        <v>253</v>
      </c>
      <c r="B210" s="19" t="s">
        <v>31</v>
      </c>
      <c r="C210" s="19">
        <v>2</v>
      </c>
      <c r="D210" s="19" t="s">
        <v>463</v>
      </c>
      <c r="E210" s="19">
        <v>52600</v>
      </c>
      <c r="F210" s="19"/>
      <c r="G210" s="20">
        <f>G211</f>
        <v>1288</v>
      </c>
      <c r="H210" s="20">
        <f>H211</f>
        <v>1000</v>
      </c>
      <c r="I210" s="20">
        <f>I211</f>
        <v>1300</v>
      </c>
    </row>
    <row r="211" spans="1:9" s="26" customFormat="1" x14ac:dyDescent="0.2">
      <c r="A211" s="28" t="s">
        <v>69</v>
      </c>
      <c r="B211" s="24" t="s">
        <v>31</v>
      </c>
      <c r="C211" s="24">
        <v>2</v>
      </c>
      <c r="D211" s="24" t="s">
        <v>463</v>
      </c>
      <c r="E211" s="24">
        <v>52600</v>
      </c>
      <c r="F211" s="24" t="s">
        <v>70</v>
      </c>
      <c r="G211" s="25">
        <f>'изменения июль вед стр-ра'!G348</f>
        <v>1288</v>
      </c>
      <c r="H211" s="25">
        <f>'изменения июль вед стр-ра'!H348</f>
        <v>1000</v>
      </c>
      <c r="I211" s="25">
        <f>'изменения июль вед стр-ра'!I348</f>
        <v>1300</v>
      </c>
    </row>
    <row r="212" spans="1:9" x14ac:dyDescent="0.2">
      <c r="A212" s="18" t="s">
        <v>262</v>
      </c>
      <c r="B212" s="19" t="s">
        <v>31</v>
      </c>
      <c r="C212" s="19">
        <v>2</v>
      </c>
      <c r="D212" s="19" t="s">
        <v>463</v>
      </c>
      <c r="E212" s="19" t="s">
        <v>574</v>
      </c>
      <c r="F212" s="19"/>
      <c r="G212" s="20">
        <f>G213</f>
        <v>219.6</v>
      </c>
      <c r="H212" s="20">
        <f>H213</f>
        <v>193</v>
      </c>
      <c r="I212" s="20">
        <f>I213</f>
        <v>193</v>
      </c>
    </row>
    <row r="213" spans="1:9" ht="51" x14ac:dyDescent="0.2">
      <c r="A213" s="30" t="s">
        <v>66</v>
      </c>
      <c r="B213" s="19" t="s">
        <v>31</v>
      </c>
      <c r="C213" s="19">
        <v>2</v>
      </c>
      <c r="D213" s="19" t="s">
        <v>463</v>
      </c>
      <c r="E213" s="27" t="s">
        <v>574</v>
      </c>
      <c r="F213" s="27" t="s">
        <v>67</v>
      </c>
      <c r="G213" s="25">
        <f>'изменения июль вед стр-ра'!G421</f>
        <v>219.6</v>
      </c>
      <c r="H213" s="25">
        <f>'изменения июль вед стр-ра'!H421</f>
        <v>193</v>
      </c>
      <c r="I213" s="25">
        <f>'изменения июль вед стр-ра'!I421</f>
        <v>193</v>
      </c>
    </row>
    <row r="214" spans="1:9" s="79" customFormat="1" ht="38.25" x14ac:dyDescent="0.2">
      <c r="A214" s="75" t="s">
        <v>254</v>
      </c>
      <c r="B214" s="77" t="s">
        <v>31</v>
      </c>
      <c r="C214" s="77">
        <v>2</v>
      </c>
      <c r="D214" s="77" t="s">
        <v>463</v>
      </c>
      <c r="E214" s="77">
        <v>71810</v>
      </c>
      <c r="F214" s="77"/>
      <c r="G214" s="78">
        <f>G216+G217+G215</f>
        <v>3000.0000000000005</v>
      </c>
      <c r="H214" s="78">
        <f>H216+H217+H215</f>
        <v>3754</v>
      </c>
      <c r="I214" s="78">
        <f>I216+I217+I215</f>
        <v>3754</v>
      </c>
    </row>
    <row r="215" spans="1:9" s="79" customFormat="1" ht="25.5" x14ac:dyDescent="0.2">
      <c r="A215" s="80" t="s">
        <v>466</v>
      </c>
      <c r="B215" s="82" t="s">
        <v>31</v>
      </c>
      <c r="C215" s="82">
        <v>2</v>
      </c>
      <c r="D215" s="82" t="s">
        <v>463</v>
      </c>
      <c r="E215" s="82">
        <v>71810</v>
      </c>
      <c r="F215" s="83" t="s">
        <v>68</v>
      </c>
      <c r="G215" s="62">
        <f>'изменения июль вед стр-ра'!G350</f>
        <v>1.3</v>
      </c>
      <c r="H215" s="62">
        <f>'изменения июль вед стр-ра'!H350</f>
        <v>4.2</v>
      </c>
      <c r="I215" s="62">
        <f>'изменения июль вед стр-ра'!I350</f>
        <v>4.2</v>
      </c>
    </row>
    <row r="216" spans="1:9" s="79" customFormat="1" x14ac:dyDescent="0.2">
      <c r="A216" s="87" t="s">
        <v>69</v>
      </c>
      <c r="B216" s="82" t="s">
        <v>31</v>
      </c>
      <c r="C216" s="82">
        <v>2</v>
      </c>
      <c r="D216" s="82" t="s">
        <v>463</v>
      </c>
      <c r="E216" s="82">
        <v>71810</v>
      </c>
      <c r="F216" s="162">
        <v>300</v>
      </c>
      <c r="G216" s="62">
        <f>'изменения июль вед стр-ра'!G351</f>
        <v>271.10000000000002</v>
      </c>
      <c r="H216" s="62">
        <f>'изменения июль вед стр-ра'!H351</f>
        <v>419</v>
      </c>
      <c r="I216" s="62">
        <f>'изменения июль вед стр-ра'!I351</f>
        <v>419</v>
      </c>
    </row>
    <row r="217" spans="1:9" s="79" customFormat="1" ht="25.5" x14ac:dyDescent="0.2">
      <c r="A217" s="87" t="s">
        <v>141</v>
      </c>
      <c r="B217" s="82" t="s">
        <v>31</v>
      </c>
      <c r="C217" s="82">
        <v>2</v>
      </c>
      <c r="D217" s="82" t="s">
        <v>463</v>
      </c>
      <c r="E217" s="82">
        <v>71810</v>
      </c>
      <c r="F217" s="82" t="s">
        <v>65</v>
      </c>
      <c r="G217" s="62">
        <f>'изменения июль вед стр-ра'!G352</f>
        <v>2727.6000000000004</v>
      </c>
      <c r="H217" s="62">
        <f>'изменения июль вед стр-ра'!H352</f>
        <v>3330.8</v>
      </c>
      <c r="I217" s="62">
        <f>'изменения июль вед стр-ра'!I352</f>
        <v>3330.8</v>
      </c>
    </row>
    <row r="218" spans="1:9" ht="25.5" x14ac:dyDescent="0.2">
      <c r="A218" s="18" t="s">
        <v>236</v>
      </c>
      <c r="B218" s="19" t="s">
        <v>31</v>
      </c>
      <c r="C218" s="19">
        <v>2</v>
      </c>
      <c r="D218" s="19" t="s">
        <v>463</v>
      </c>
      <c r="E218" s="19" t="s">
        <v>573</v>
      </c>
      <c r="F218" s="19"/>
      <c r="G218" s="20">
        <f>G220+G219</f>
        <v>1209</v>
      </c>
      <c r="H218" s="20">
        <f>H220+H219</f>
        <v>1209</v>
      </c>
      <c r="I218" s="20">
        <f>I220+I219</f>
        <v>1209</v>
      </c>
    </row>
    <row r="219" spans="1:9" s="9" customFormat="1" x14ac:dyDescent="0.2">
      <c r="A219" s="28" t="s">
        <v>69</v>
      </c>
      <c r="B219" s="19" t="s">
        <v>31</v>
      </c>
      <c r="C219" s="19">
        <v>2</v>
      </c>
      <c r="D219" s="19" t="s">
        <v>463</v>
      </c>
      <c r="E219" s="19" t="s">
        <v>573</v>
      </c>
      <c r="F219" s="24" t="s">
        <v>70</v>
      </c>
      <c r="G219" s="25">
        <f>'изменения июль вед стр-ра'!G282</f>
        <v>30</v>
      </c>
      <c r="H219" s="25">
        <f>'изменения июль вед стр-ра'!H282</f>
        <v>30</v>
      </c>
      <c r="I219" s="25">
        <f>'изменения июль вед стр-ра'!I282</f>
        <v>30</v>
      </c>
    </row>
    <row r="220" spans="1:9" ht="25.5" x14ac:dyDescent="0.2">
      <c r="A220" s="28" t="s">
        <v>141</v>
      </c>
      <c r="B220" s="19" t="s">
        <v>31</v>
      </c>
      <c r="C220" s="19">
        <v>2</v>
      </c>
      <c r="D220" s="19" t="s">
        <v>463</v>
      </c>
      <c r="E220" s="19" t="s">
        <v>573</v>
      </c>
      <c r="F220" s="24" t="s">
        <v>65</v>
      </c>
      <c r="G220" s="25">
        <f>'изменения июль вед стр-ра'!G283</f>
        <v>1179</v>
      </c>
      <c r="H220" s="25">
        <f>'изменения июль вед стр-ра'!H283</f>
        <v>1179</v>
      </c>
      <c r="I220" s="25">
        <f>'изменения июль вед стр-ра'!I283</f>
        <v>1179</v>
      </c>
    </row>
    <row r="221" spans="1:9" ht="25.5" x14ac:dyDescent="0.2">
      <c r="A221" s="18" t="s">
        <v>359</v>
      </c>
      <c r="B221" s="19" t="s">
        <v>31</v>
      </c>
      <c r="C221" s="19">
        <v>2</v>
      </c>
      <c r="D221" s="19" t="s">
        <v>463</v>
      </c>
      <c r="E221" s="19">
        <v>72010</v>
      </c>
      <c r="F221" s="19"/>
      <c r="G221" s="20">
        <f>G222+G223</f>
        <v>1600</v>
      </c>
      <c r="H221" s="20">
        <f>H222+H223</f>
        <v>1600</v>
      </c>
      <c r="I221" s="20">
        <f>I222+I223</f>
        <v>1600</v>
      </c>
    </row>
    <row r="222" spans="1:9" x14ac:dyDescent="0.2">
      <c r="A222" s="28" t="s">
        <v>69</v>
      </c>
      <c r="B222" s="24" t="s">
        <v>31</v>
      </c>
      <c r="C222" s="24">
        <v>2</v>
      </c>
      <c r="D222" s="24" t="s">
        <v>463</v>
      </c>
      <c r="E222" s="24">
        <v>72010</v>
      </c>
      <c r="F222" s="24" t="s">
        <v>70</v>
      </c>
      <c r="G222" s="25">
        <f>'изменения июль вед стр-ра'!G333+'изменения июль вед стр-ра'!G413</f>
        <v>230.7</v>
      </c>
      <c r="H222" s="25">
        <f>'изменения июль вед стр-ра'!H333+'изменения июль вед стр-ра'!H413</f>
        <v>230.7</v>
      </c>
      <c r="I222" s="25">
        <f>'изменения июль вед стр-ра'!I333+'изменения июль вед стр-ра'!I413</f>
        <v>230.7</v>
      </c>
    </row>
    <row r="223" spans="1:9" ht="25.5" x14ac:dyDescent="0.2">
      <c r="A223" s="28" t="s">
        <v>141</v>
      </c>
      <c r="B223" s="24" t="s">
        <v>31</v>
      </c>
      <c r="C223" s="24">
        <v>2</v>
      </c>
      <c r="D223" s="24" t="s">
        <v>463</v>
      </c>
      <c r="E223" s="24">
        <v>72010</v>
      </c>
      <c r="F223" s="24" t="s">
        <v>65</v>
      </c>
      <c r="G223" s="25">
        <f>'изменения июль вед стр-ра'!G334</f>
        <v>1369.3</v>
      </c>
      <c r="H223" s="25">
        <f>'изменения июль вед стр-ра'!H334</f>
        <v>1369.3</v>
      </c>
      <c r="I223" s="25">
        <f>'изменения июль вед стр-ра'!I334</f>
        <v>1369.3</v>
      </c>
    </row>
    <row r="224" spans="1:9" ht="38.25" x14ac:dyDescent="0.2">
      <c r="A224" s="18" t="s">
        <v>247</v>
      </c>
      <c r="B224" s="19" t="s">
        <v>31</v>
      </c>
      <c r="C224" s="19">
        <v>2</v>
      </c>
      <c r="D224" s="19" t="s">
        <v>463</v>
      </c>
      <c r="E224" s="19">
        <v>72030</v>
      </c>
      <c r="F224" s="19"/>
      <c r="G224" s="20">
        <f>G225</f>
        <v>207</v>
      </c>
      <c r="H224" s="20">
        <f>H225</f>
        <v>207</v>
      </c>
      <c r="I224" s="20">
        <f>I225</f>
        <v>207</v>
      </c>
    </row>
    <row r="225" spans="1:9" x14ac:dyDescent="0.2">
      <c r="A225" s="28" t="s">
        <v>69</v>
      </c>
      <c r="B225" s="24" t="s">
        <v>31</v>
      </c>
      <c r="C225" s="24">
        <v>2</v>
      </c>
      <c r="D225" s="24" t="s">
        <v>463</v>
      </c>
      <c r="E225" s="24">
        <v>72030</v>
      </c>
      <c r="F225" s="146">
        <v>300</v>
      </c>
      <c r="G225" s="25">
        <f>'изменения июль вед стр-ра'!G336</f>
        <v>207</v>
      </c>
      <c r="H225" s="25">
        <f>'изменения июль вед стр-ра'!H336</f>
        <v>207</v>
      </c>
      <c r="I225" s="25">
        <f>'изменения июль вед стр-ра'!I336</f>
        <v>207</v>
      </c>
    </row>
    <row r="226" spans="1:9" ht="38.25" x14ac:dyDescent="0.2">
      <c r="A226" s="47" t="s">
        <v>249</v>
      </c>
      <c r="B226" s="19" t="s">
        <v>31</v>
      </c>
      <c r="C226" s="19">
        <v>2</v>
      </c>
      <c r="D226" s="19" t="s">
        <v>463</v>
      </c>
      <c r="E226" s="19">
        <v>72050</v>
      </c>
      <c r="F226" s="19"/>
      <c r="G226" s="20">
        <f>G227</f>
        <v>570</v>
      </c>
      <c r="H226" s="20">
        <f>H227</f>
        <v>570</v>
      </c>
      <c r="I226" s="20">
        <f>I227</f>
        <v>570</v>
      </c>
    </row>
    <row r="227" spans="1:9" x14ac:dyDescent="0.2">
      <c r="A227" s="28" t="s">
        <v>69</v>
      </c>
      <c r="B227" s="24" t="s">
        <v>31</v>
      </c>
      <c r="C227" s="24">
        <v>2</v>
      </c>
      <c r="D227" s="24" t="s">
        <v>463</v>
      </c>
      <c r="E227" s="24">
        <v>72050</v>
      </c>
      <c r="F227" s="24" t="s">
        <v>70</v>
      </c>
      <c r="G227" s="25">
        <f>'изменения июль вед стр-ра'!G338</f>
        <v>570</v>
      </c>
      <c r="H227" s="25">
        <f>'изменения июль вед стр-ра'!H338</f>
        <v>570</v>
      </c>
      <c r="I227" s="25">
        <f>'изменения июль вед стр-ра'!I338</f>
        <v>570</v>
      </c>
    </row>
    <row r="228" spans="1:9" ht="25.5" x14ac:dyDescent="0.2">
      <c r="A228" s="60" t="s">
        <v>448</v>
      </c>
      <c r="B228" s="19" t="s">
        <v>31</v>
      </c>
      <c r="C228" s="19">
        <v>2</v>
      </c>
      <c r="D228" s="19" t="s">
        <v>463</v>
      </c>
      <c r="E228" s="19" t="s">
        <v>572</v>
      </c>
      <c r="F228" s="19"/>
      <c r="G228" s="20">
        <f>G229</f>
        <v>0</v>
      </c>
      <c r="H228" s="20">
        <f>H229</f>
        <v>5</v>
      </c>
      <c r="I228" s="20">
        <f>I229</f>
        <v>0</v>
      </c>
    </row>
    <row r="229" spans="1:9" x14ac:dyDescent="0.2">
      <c r="A229" s="28" t="s">
        <v>69</v>
      </c>
      <c r="B229" s="24" t="s">
        <v>31</v>
      </c>
      <c r="C229" s="24">
        <v>2</v>
      </c>
      <c r="D229" s="24" t="s">
        <v>463</v>
      </c>
      <c r="E229" s="24" t="s">
        <v>572</v>
      </c>
      <c r="F229" s="24" t="s">
        <v>70</v>
      </c>
      <c r="G229" s="25">
        <f>'изменения июль вед стр-ра'!G354</f>
        <v>0</v>
      </c>
      <c r="H229" s="25">
        <f>'изменения июль вед стр-ра'!H354</f>
        <v>5</v>
      </c>
      <c r="I229" s="25">
        <f>'изменения июль вед стр-ра'!I354</f>
        <v>0</v>
      </c>
    </row>
    <row r="230" spans="1:9" s="79" customFormat="1" ht="25.5" x14ac:dyDescent="0.2">
      <c r="A230" s="106" t="s">
        <v>250</v>
      </c>
      <c r="B230" s="77" t="s">
        <v>31</v>
      </c>
      <c r="C230" s="77">
        <v>2</v>
      </c>
      <c r="D230" s="77" t="s">
        <v>463</v>
      </c>
      <c r="E230" s="77">
        <v>73050</v>
      </c>
      <c r="F230" s="77"/>
      <c r="G230" s="78">
        <f>G232+G231</f>
        <v>2112.6</v>
      </c>
      <c r="H230" s="78">
        <f>H232+H231</f>
        <v>636</v>
      </c>
      <c r="I230" s="78">
        <f>I232+I231</f>
        <v>636</v>
      </c>
    </row>
    <row r="231" spans="1:9" s="79" customFormat="1" ht="25.5" x14ac:dyDescent="0.2">
      <c r="A231" s="80" t="s">
        <v>466</v>
      </c>
      <c r="B231" s="82" t="s">
        <v>31</v>
      </c>
      <c r="C231" s="82">
        <v>2</v>
      </c>
      <c r="D231" s="82" t="s">
        <v>463</v>
      </c>
      <c r="E231" s="82">
        <v>73050</v>
      </c>
      <c r="F231" s="83" t="s">
        <v>68</v>
      </c>
      <c r="G231" s="62">
        <f>'изменения июль вед стр-ра'!G340</f>
        <v>476.59999999999997</v>
      </c>
      <c r="H231" s="62">
        <f>'изменения июль вед стр-ра'!H340</f>
        <v>118.8</v>
      </c>
      <c r="I231" s="62">
        <f>'изменения июль вед стр-ра'!I340</f>
        <v>118.8</v>
      </c>
    </row>
    <row r="232" spans="1:9" s="79" customFormat="1" ht="25.5" x14ac:dyDescent="0.2">
      <c r="A232" s="87" t="s">
        <v>141</v>
      </c>
      <c r="B232" s="82" t="s">
        <v>31</v>
      </c>
      <c r="C232" s="82">
        <v>2</v>
      </c>
      <c r="D232" s="82" t="s">
        <v>463</v>
      </c>
      <c r="E232" s="82">
        <v>73050</v>
      </c>
      <c r="F232" s="82" t="s">
        <v>65</v>
      </c>
      <c r="G232" s="62">
        <f>'изменения июль вед стр-ра'!G341</f>
        <v>1636</v>
      </c>
      <c r="H232" s="62">
        <f>'изменения июль вед стр-ра'!H341</f>
        <v>517.20000000000005</v>
      </c>
      <c r="I232" s="62">
        <f>'изменения июль вед стр-ра'!I341</f>
        <v>517.20000000000005</v>
      </c>
    </row>
    <row r="233" spans="1:9" ht="63.75" x14ac:dyDescent="0.2">
      <c r="A233" s="18" t="s">
        <v>458</v>
      </c>
      <c r="B233" s="19" t="s">
        <v>31</v>
      </c>
      <c r="C233" s="19">
        <v>2</v>
      </c>
      <c r="D233" s="19" t="s">
        <v>463</v>
      </c>
      <c r="E233" s="19">
        <v>80120</v>
      </c>
      <c r="F233" s="19"/>
      <c r="G233" s="20">
        <f>G234</f>
        <v>600</v>
      </c>
      <c r="H233" s="20">
        <f>H234</f>
        <v>1000</v>
      </c>
      <c r="I233" s="20">
        <f>I234</f>
        <v>1000</v>
      </c>
    </row>
    <row r="234" spans="1:9" s="79" customFormat="1" x14ac:dyDescent="0.2">
      <c r="A234" s="87" t="s">
        <v>69</v>
      </c>
      <c r="B234" s="82" t="s">
        <v>31</v>
      </c>
      <c r="C234" s="82">
        <v>2</v>
      </c>
      <c r="D234" s="82" t="s">
        <v>463</v>
      </c>
      <c r="E234" s="82">
        <v>80120</v>
      </c>
      <c r="F234" s="82" t="s">
        <v>70</v>
      </c>
      <c r="G234" s="62">
        <f>'изменения июль вед стр-ра'!G343</f>
        <v>600</v>
      </c>
      <c r="H234" s="62">
        <f>'изменения июль вед стр-ра'!H343</f>
        <v>1000</v>
      </c>
      <c r="I234" s="62">
        <f>'изменения июль вед стр-ра'!I343</f>
        <v>1000</v>
      </c>
    </row>
    <row r="235" spans="1:9" ht="101.25" customHeight="1" x14ac:dyDescent="0.2">
      <c r="A235" s="60" t="s">
        <v>453</v>
      </c>
      <c r="B235" s="19" t="s">
        <v>31</v>
      </c>
      <c r="C235" s="19">
        <v>2</v>
      </c>
      <c r="D235" s="19" t="s">
        <v>463</v>
      </c>
      <c r="E235" s="19">
        <v>80130</v>
      </c>
      <c r="F235" s="19"/>
      <c r="G235" s="20">
        <f>G236</f>
        <v>38467</v>
      </c>
      <c r="H235" s="20">
        <f>H236</f>
        <v>38467</v>
      </c>
      <c r="I235" s="20">
        <f>I236</f>
        <v>38467</v>
      </c>
    </row>
    <row r="236" spans="1:9" x14ac:dyDescent="0.2">
      <c r="A236" s="28" t="s">
        <v>69</v>
      </c>
      <c r="B236" s="24" t="s">
        <v>31</v>
      </c>
      <c r="C236" s="24">
        <v>2</v>
      </c>
      <c r="D236" s="24" t="s">
        <v>463</v>
      </c>
      <c r="E236" s="24">
        <v>80130</v>
      </c>
      <c r="F236" s="24" t="s">
        <v>70</v>
      </c>
      <c r="G236" s="25">
        <f>'изменения июль вед стр-ра'!G356</f>
        <v>38467</v>
      </c>
      <c r="H236" s="25">
        <f>'изменения июль вед стр-ра'!H356</f>
        <v>38467</v>
      </c>
      <c r="I236" s="25">
        <f>'изменения июль вед стр-ра'!I356</f>
        <v>38467</v>
      </c>
    </row>
    <row r="237" spans="1:9" ht="101.25" customHeight="1" x14ac:dyDescent="0.2">
      <c r="A237" s="60" t="s">
        <v>450</v>
      </c>
      <c r="B237" s="19" t="s">
        <v>31</v>
      </c>
      <c r="C237" s="19">
        <v>2</v>
      </c>
      <c r="D237" s="19" t="s">
        <v>463</v>
      </c>
      <c r="E237" s="19" t="s">
        <v>571</v>
      </c>
      <c r="F237" s="19"/>
      <c r="G237" s="20">
        <f>G238</f>
        <v>250</v>
      </c>
      <c r="H237" s="20">
        <f>H238</f>
        <v>50</v>
      </c>
      <c r="I237" s="20">
        <f>I238</f>
        <v>50</v>
      </c>
    </row>
    <row r="238" spans="1:9" x14ac:dyDescent="0.2">
      <c r="A238" s="28" t="s">
        <v>69</v>
      </c>
      <c r="B238" s="24" t="s">
        <v>31</v>
      </c>
      <c r="C238" s="24">
        <v>2</v>
      </c>
      <c r="D238" s="24" t="s">
        <v>463</v>
      </c>
      <c r="E238" s="24" t="s">
        <v>571</v>
      </c>
      <c r="F238" s="24" t="s">
        <v>70</v>
      </c>
      <c r="G238" s="25">
        <f>'изменения июль вед стр-ра'!G358</f>
        <v>250</v>
      </c>
      <c r="H238" s="25">
        <f>'изменения июль вед стр-ра'!H358</f>
        <v>50</v>
      </c>
      <c r="I238" s="25">
        <f>'изменения июль вед стр-ра'!I358</f>
        <v>50</v>
      </c>
    </row>
    <row r="239" spans="1:9" ht="38.25" x14ac:dyDescent="0.2">
      <c r="A239" s="18" t="s">
        <v>424</v>
      </c>
      <c r="B239" s="19" t="s">
        <v>31</v>
      </c>
      <c r="C239" s="19">
        <v>2</v>
      </c>
      <c r="D239" s="19" t="s">
        <v>463</v>
      </c>
      <c r="E239" s="19" t="s">
        <v>570</v>
      </c>
      <c r="F239" s="19"/>
      <c r="G239" s="20">
        <f>G240</f>
        <v>3643.2</v>
      </c>
      <c r="H239" s="20">
        <f>H240</f>
        <v>3643.2</v>
      </c>
      <c r="I239" s="20">
        <f>I240</f>
        <v>1399.0999999999997</v>
      </c>
    </row>
    <row r="240" spans="1:9" s="26" customFormat="1" ht="25.5" x14ac:dyDescent="0.2">
      <c r="A240" s="87" t="s">
        <v>141</v>
      </c>
      <c r="B240" s="24" t="s">
        <v>31</v>
      </c>
      <c r="C240" s="24">
        <v>2</v>
      </c>
      <c r="D240" s="24" t="s">
        <v>463</v>
      </c>
      <c r="E240" s="24" t="s">
        <v>570</v>
      </c>
      <c r="F240" s="24" t="s">
        <v>65</v>
      </c>
      <c r="G240" s="25">
        <f>'изменения июль вед стр-ра'!G360</f>
        <v>3643.2</v>
      </c>
      <c r="H240" s="25">
        <f>'изменения июль вед стр-ра'!H360</f>
        <v>3643.2</v>
      </c>
      <c r="I240" s="25">
        <f>'изменения июль вед стр-ра'!I360</f>
        <v>1399.0999999999997</v>
      </c>
    </row>
    <row r="241" spans="1:9" ht="38.25" x14ac:dyDescent="0.2">
      <c r="A241" s="18" t="s">
        <v>423</v>
      </c>
      <c r="B241" s="19" t="s">
        <v>31</v>
      </c>
      <c r="C241" s="19">
        <v>2</v>
      </c>
      <c r="D241" s="19" t="s">
        <v>463</v>
      </c>
      <c r="E241" s="19" t="s">
        <v>569</v>
      </c>
      <c r="F241" s="19"/>
      <c r="G241" s="20">
        <f>G243+G242</f>
        <v>1445.2</v>
      </c>
      <c r="H241" s="20">
        <f>H243+H242</f>
        <v>1445.2</v>
      </c>
      <c r="I241" s="20">
        <f>I243+I242</f>
        <v>1445.2</v>
      </c>
    </row>
    <row r="242" spans="1:9" s="26" customFormat="1" ht="25.5" x14ac:dyDescent="0.2">
      <c r="A242" s="87" t="s">
        <v>76</v>
      </c>
      <c r="B242" s="24" t="s">
        <v>31</v>
      </c>
      <c r="C242" s="24">
        <v>2</v>
      </c>
      <c r="D242" s="24" t="s">
        <v>463</v>
      </c>
      <c r="E242" s="24" t="s">
        <v>569</v>
      </c>
      <c r="F242" s="24" t="s">
        <v>68</v>
      </c>
      <c r="G242" s="25">
        <f>'изменения июль вед стр-ра'!G362</f>
        <v>420</v>
      </c>
      <c r="H242" s="25">
        <f>'изменения июль вед стр-ра'!H362</f>
        <v>420</v>
      </c>
      <c r="I242" s="25">
        <f>'изменения июль вед стр-ра'!I362</f>
        <v>420</v>
      </c>
    </row>
    <row r="243" spans="1:9" s="26" customFormat="1" ht="25.5" x14ac:dyDescent="0.2">
      <c r="A243" s="87" t="s">
        <v>141</v>
      </c>
      <c r="B243" s="24" t="s">
        <v>31</v>
      </c>
      <c r="C243" s="24">
        <v>2</v>
      </c>
      <c r="D243" s="24" t="s">
        <v>463</v>
      </c>
      <c r="E243" s="24" t="s">
        <v>569</v>
      </c>
      <c r="F243" s="24" t="s">
        <v>65</v>
      </c>
      <c r="G243" s="25">
        <f>'изменения июль вед стр-ра'!G363</f>
        <v>1025.2</v>
      </c>
      <c r="H243" s="25">
        <f>'изменения июль вед стр-ра'!H363</f>
        <v>1025.2</v>
      </c>
      <c r="I243" s="25">
        <f>'изменения июль вед стр-ра'!I363</f>
        <v>1025.2</v>
      </c>
    </row>
    <row r="244" spans="1:9" s="237" customFormat="1" ht="25.5" x14ac:dyDescent="0.2">
      <c r="A244" s="18" t="s">
        <v>734</v>
      </c>
      <c r="B244" s="19" t="s">
        <v>31</v>
      </c>
      <c r="C244" s="19" t="s">
        <v>502</v>
      </c>
      <c r="D244" s="19" t="s">
        <v>463</v>
      </c>
      <c r="E244" s="19" t="s">
        <v>735</v>
      </c>
      <c r="F244" s="19"/>
      <c r="G244" s="20">
        <f>G246+G245</f>
        <v>32</v>
      </c>
      <c r="H244" s="20">
        <f t="shared" ref="H244:I244" si="21">H246+H245</f>
        <v>32</v>
      </c>
      <c r="I244" s="20">
        <f t="shared" si="21"/>
        <v>32</v>
      </c>
    </row>
    <row r="245" spans="1:9" s="237" customFormat="1" ht="51" x14ac:dyDescent="0.2">
      <c r="A245" s="80" t="s">
        <v>66</v>
      </c>
      <c r="B245" s="24" t="s">
        <v>31</v>
      </c>
      <c r="C245" s="24" t="s">
        <v>502</v>
      </c>
      <c r="D245" s="24" t="s">
        <v>463</v>
      </c>
      <c r="E245" s="24" t="s">
        <v>735</v>
      </c>
      <c r="F245" s="27" t="s">
        <v>67</v>
      </c>
      <c r="G245" s="25">
        <f>'изменения июль вед стр-ра'!G418</f>
        <v>19.34</v>
      </c>
      <c r="H245" s="25">
        <f>'изменения июль вед стр-ра'!H418</f>
        <v>16.899999999999999</v>
      </c>
      <c r="I245" s="25">
        <f>'изменения июль вед стр-ра'!I418</f>
        <v>16.899999999999999</v>
      </c>
    </row>
    <row r="246" spans="1:9" s="237" customFormat="1" ht="25.5" x14ac:dyDescent="0.2">
      <c r="A246" s="30" t="s">
        <v>466</v>
      </c>
      <c r="B246" s="24" t="s">
        <v>31</v>
      </c>
      <c r="C246" s="24" t="s">
        <v>502</v>
      </c>
      <c r="D246" s="24" t="s">
        <v>463</v>
      </c>
      <c r="E246" s="24" t="s">
        <v>735</v>
      </c>
      <c r="F246" s="27" t="s">
        <v>68</v>
      </c>
      <c r="G246" s="25">
        <f>'изменения июль вед стр-ра'!G419</f>
        <v>12.66</v>
      </c>
      <c r="H246" s="25">
        <f>'изменения июль вед стр-ра'!H419</f>
        <v>15.1</v>
      </c>
      <c r="I246" s="25">
        <f>'изменения июль вед стр-ра'!I419</f>
        <v>15.1</v>
      </c>
    </row>
    <row r="247" spans="1:9" s="79" customFormat="1" x14ac:dyDescent="0.2">
      <c r="A247" s="154" t="s">
        <v>568</v>
      </c>
      <c r="B247" s="153" t="s">
        <v>31</v>
      </c>
      <c r="C247" s="152" t="s">
        <v>498</v>
      </c>
      <c r="D247" s="152"/>
      <c r="E247" s="152"/>
      <c r="F247" s="152"/>
      <c r="G247" s="151">
        <f>SUM(G248,G251,G253,G258)</f>
        <v>75074.100000000006</v>
      </c>
      <c r="H247" s="151">
        <f>SUM(H248,H251,H253,H258)</f>
        <v>67995.600000000006</v>
      </c>
      <c r="I247" s="151">
        <f>SUM(I248,I251,I253,I258)</f>
        <v>66788.000000000015</v>
      </c>
    </row>
    <row r="248" spans="1:9" s="79" customFormat="1" ht="25.5" x14ac:dyDescent="0.2">
      <c r="A248" s="75" t="s">
        <v>348</v>
      </c>
      <c r="B248" s="77" t="s">
        <v>31</v>
      </c>
      <c r="C248" s="77">
        <v>3</v>
      </c>
      <c r="D248" s="77" t="s">
        <v>463</v>
      </c>
      <c r="E248" s="77" t="s">
        <v>567</v>
      </c>
      <c r="F248" s="77"/>
      <c r="G248" s="78">
        <f>G249+G250</f>
        <v>4894.2</v>
      </c>
      <c r="H248" s="78">
        <f>H249+H250</f>
        <v>3681.4</v>
      </c>
      <c r="I248" s="78">
        <f>I249+I250</f>
        <v>3681.4</v>
      </c>
    </row>
    <row r="249" spans="1:9" ht="51" x14ac:dyDescent="0.2">
      <c r="A249" s="30" t="s">
        <v>66</v>
      </c>
      <c r="B249" s="24" t="s">
        <v>31</v>
      </c>
      <c r="C249" s="24">
        <v>3</v>
      </c>
      <c r="D249" s="24" t="s">
        <v>463</v>
      </c>
      <c r="E249" s="24" t="s">
        <v>567</v>
      </c>
      <c r="F249" s="27" t="s">
        <v>67</v>
      </c>
      <c r="G249" s="25">
        <f>'изменения июль вед стр-ра'!G321</f>
        <v>4864.2</v>
      </c>
      <c r="H249" s="25">
        <f>'изменения июль вед стр-ра'!H321</f>
        <v>3641.4</v>
      </c>
      <c r="I249" s="25">
        <f>'изменения июль вед стр-ра'!I321</f>
        <v>3641.4</v>
      </c>
    </row>
    <row r="250" spans="1:9" s="79" customFormat="1" ht="25.5" x14ac:dyDescent="0.2">
      <c r="A250" s="80" t="s">
        <v>466</v>
      </c>
      <c r="B250" s="82" t="s">
        <v>31</v>
      </c>
      <c r="C250" s="82">
        <v>3</v>
      </c>
      <c r="D250" s="82" t="s">
        <v>463</v>
      </c>
      <c r="E250" s="82" t="s">
        <v>567</v>
      </c>
      <c r="F250" s="83" t="s">
        <v>68</v>
      </c>
      <c r="G250" s="25">
        <f>'изменения июль вед стр-ра'!G322</f>
        <v>30</v>
      </c>
      <c r="H250" s="25">
        <f>'изменения июль вед стр-ра'!H322</f>
        <v>40</v>
      </c>
      <c r="I250" s="25">
        <f>'изменения июль вед стр-ра'!I322</f>
        <v>40</v>
      </c>
    </row>
    <row r="251" spans="1:9" s="79" customFormat="1" ht="25.5" x14ac:dyDescent="0.2">
      <c r="A251" s="75" t="s">
        <v>348</v>
      </c>
      <c r="B251" s="77" t="s">
        <v>31</v>
      </c>
      <c r="C251" s="77">
        <v>3</v>
      </c>
      <c r="D251" s="77" t="s">
        <v>463</v>
      </c>
      <c r="E251" s="77" t="s">
        <v>566</v>
      </c>
      <c r="F251" s="77"/>
      <c r="G251" s="78">
        <f>G252</f>
        <v>22445.200000000001</v>
      </c>
      <c r="H251" s="78">
        <f>H252</f>
        <v>20310.8</v>
      </c>
      <c r="I251" s="78">
        <f>I252</f>
        <v>19969.7</v>
      </c>
    </row>
    <row r="252" spans="1:9" ht="25.5" x14ac:dyDescent="0.2">
      <c r="A252" s="28" t="s">
        <v>141</v>
      </c>
      <c r="B252" s="24" t="s">
        <v>31</v>
      </c>
      <c r="C252" s="24">
        <v>3</v>
      </c>
      <c r="D252" s="24" t="s">
        <v>463</v>
      </c>
      <c r="E252" s="24" t="s">
        <v>566</v>
      </c>
      <c r="F252" s="24" t="s">
        <v>65</v>
      </c>
      <c r="G252" s="25">
        <f>'изменения июль вед стр-ра'!G324</f>
        <v>22445.200000000001</v>
      </c>
      <c r="H252" s="25">
        <f>'изменения июль вед стр-ра'!H324</f>
        <v>20310.8</v>
      </c>
      <c r="I252" s="25">
        <f>'изменения июль вед стр-ра'!I324</f>
        <v>19969.7</v>
      </c>
    </row>
    <row r="253" spans="1:9" s="84" customFormat="1" ht="25.5" x14ac:dyDescent="0.2">
      <c r="A253" s="75" t="s">
        <v>348</v>
      </c>
      <c r="B253" s="77" t="s">
        <v>31</v>
      </c>
      <c r="C253" s="77">
        <v>3</v>
      </c>
      <c r="D253" s="77" t="s">
        <v>463</v>
      </c>
      <c r="E253" s="77" t="s">
        <v>565</v>
      </c>
      <c r="F253" s="77"/>
      <c r="G253" s="78">
        <f>G254+G255+G256+G257</f>
        <v>44619.600000000006</v>
      </c>
      <c r="H253" s="78">
        <f>H254+H255+H256+H257</f>
        <v>40888.300000000003</v>
      </c>
      <c r="I253" s="78">
        <f>I254+I255+I256+I257</f>
        <v>40021.800000000003</v>
      </c>
    </row>
    <row r="254" spans="1:9" ht="51" x14ac:dyDescent="0.2">
      <c r="A254" s="30" t="s">
        <v>66</v>
      </c>
      <c r="B254" s="24" t="s">
        <v>31</v>
      </c>
      <c r="C254" s="24">
        <v>3</v>
      </c>
      <c r="D254" s="24" t="s">
        <v>463</v>
      </c>
      <c r="E254" s="24" t="s">
        <v>565</v>
      </c>
      <c r="F254" s="27" t="s">
        <v>67</v>
      </c>
      <c r="G254" s="25">
        <f>'изменения июль вед стр-ра'!G326</f>
        <v>22446</v>
      </c>
      <c r="H254" s="25">
        <f>'изменения июль вед стр-ра'!H326</f>
        <v>20676.400000000001</v>
      </c>
      <c r="I254" s="25">
        <f>'изменения июль вед стр-ра'!I326</f>
        <v>20676.400000000001</v>
      </c>
    </row>
    <row r="255" spans="1:9" s="79" customFormat="1" ht="25.5" x14ac:dyDescent="0.2">
      <c r="A255" s="80" t="s">
        <v>466</v>
      </c>
      <c r="B255" s="82" t="s">
        <v>31</v>
      </c>
      <c r="C255" s="82">
        <v>3</v>
      </c>
      <c r="D255" s="82" t="s">
        <v>463</v>
      </c>
      <c r="E255" s="82" t="s">
        <v>565</v>
      </c>
      <c r="F255" s="83" t="s">
        <v>68</v>
      </c>
      <c r="G255" s="25">
        <f>'изменения июль вед стр-ра'!G327</f>
        <v>3618</v>
      </c>
      <c r="H255" s="25">
        <f>'изменения июль вед стр-ра'!H327</f>
        <v>2835.6</v>
      </c>
      <c r="I255" s="25">
        <f>'изменения июль вед стр-ра'!I327</f>
        <v>2240.8000000000002</v>
      </c>
    </row>
    <row r="256" spans="1:9" s="79" customFormat="1" ht="25.5" x14ac:dyDescent="0.2">
      <c r="A256" s="87" t="s">
        <v>141</v>
      </c>
      <c r="B256" s="82" t="s">
        <v>31</v>
      </c>
      <c r="C256" s="82">
        <v>3</v>
      </c>
      <c r="D256" s="82" t="s">
        <v>463</v>
      </c>
      <c r="E256" s="82" t="s">
        <v>565</v>
      </c>
      <c r="F256" s="82" t="s">
        <v>65</v>
      </c>
      <c r="G256" s="25">
        <f>'изменения июль вед стр-ра'!G328</f>
        <v>18484.100000000002</v>
      </c>
      <c r="H256" s="25">
        <f>'изменения июль вед стр-ра'!H328</f>
        <v>17304.800000000003</v>
      </c>
      <c r="I256" s="25">
        <f>'изменения июль вед стр-ра'!I328</f>
        <v>17033.099999999999</v>
      </c>
    </row>
    <row r="257" spans="1:9" s="79" customFormat="1" x14ac:dyDescent="0.2">
      <c r="A257" s="87" t="s">
        <v>72</v>
      </c>
      <c r="B257" s="82" t="s">
        <v>31</v>
      </c>
      <c r="C257" s="82">
        <v>3</v>
      </c>
      <c r="D257" s="82" t="s">
        <v>463</v>
      </c>
      <c r="E257" s="82" t="s">
        <v>565</v>
      </c>
      <c r="F257" s="82" t="s">
        <v>73</v>
      </c>
      <c r="G257" s="25">
        <f>'изменения июль вед стр-ра'!G329</f>
        <v>71.5</v>
      </c>
      <c r="H257" s="25">
        <f>'изменения июль вед стр-ра'!H329</f>
        <v>71.5</v>
      </c>
      <c r="I257" s="25">
        <f>'изменения июль вед стр-ра'!I329</f>
        <v>71.5</v>
      </c>
    </row>
    <row r="258" spans="1:9" ht="102" x14ac:dyDescent="0.2">
      <c r="A258" s="18" t="s">
        <v>435</v>
      </c>
      <c r="B258" s="5" t="s">
        <v>31</v>
      </c>
      <c r="C258" s="5">
        <v>3</v>
      </c>
      <c r="D258" s="5" t="s">
        <v>463</v>
      </c>
      <c r="E258" s="5">
        <v>72070</v>
      </c>
      <c r="F258" s="19"/>
      <c r="G258" s="20">
        <f>G259+G260</f>
        <v>3115.1</v>
      </c>
      <c r="H258" s="20">
        <f>H259+H260</f>
        <v>3115.1</v>
      </c>
      <c r="I258" s="20">
        <f>I259+I260</f>
        <v>3115.1</v>
      </c>
    </row>
    <row r="259" spans="1:9" ht="51" x14ac:dyDescent="0.2">
      <c r="A259" s="30" t="s">
        <v>66</v>
      </c>
      <c r="B259" s="24" t="s">
        <v>31</v>
      </c>
      <c r="C259" s="24">
        <v>3</v>
      </c>
      <c r="D259" s="24" t="s">
        <v>463</v>
      </c>
      <c r="E259" s="24">
        <v>72070</v>
      </c>
      <c r="F259" s="27" t="s">
        <v>67</v>
      </c>
      <c r="G259" s="25">
        <f>'изменения июль вед стр-ра'!G318</f>
        <v>2764.5</v>
      </c>
      <c r="H259" s="25">
        <f>'изменения июль вед стр-ра'!H318</f>
        <v>2764.5</v>
      </c>
      <c r="I259" s="25">
        <f>'изменения июль вед стр-ра'!I318</f>
        <v>2764.5</v>
      </c>
    </row>
    <row r="260" spans="1:9" ht="25.5" x14ac:dyDescent="0.2">
      <c r="A260" s="30" t="s">
        <v>466</v>
      </c>
      <c r="B260" s="24" t="s">
        <v>31</v>
      </c>
      <c r="C260" s="24">
        <v>3</v>
      </c>
      <c r="D260" s="24" t="s">
        <v>463</v>
      </c>
      <c r="E260" s="24">
        <v>72070</v>
      </c>
      <c r="F260" s="27" t="s">
        <v>68</v>
      </c>
      <c r="G260" s="25">
        <f>'изменения июль вед стр-ра'!G319</f>
        <v>350.6</v>
      </c>
      <c r="H260" s="25">
        <f>'изменения июль вед стр-ра'!H319</f>
        <v>350.6</v>
      </c>
      <c r="I260" s="25">
        <f>'изменения июль вед стр-ра'!I319</f>
        <v>350.6</v>
      </c>
    </row>
    <row r="261" spans="1:9" ht="27.75" customHeight="1" x14ac:dyDescent="0.2">
      <c r="A261" s="161" t="s">
        <v>564</v>
      </c>
      <c r="B261" s="41" t="s">
        <v>50</v>
      </c>
      <c r="C261" s="41"/>
      <c r="D261" s="41"/>
      <c r="E261" s="41"/>
      <c r="F261" s="160"/>
      <c r="G261" s="39">
        <f>SUM(G269,G272,G274,G277,G281)+G265+G267+G262</f>
        <v>121239.9</v>
      </c>
      <c r="H261" s="39">
        <f t="shared" ref="H261:I261" si="22">SUM(H269,H272,H274,H277,H281)+H265+H267+H262</f>
        <v>86917.9</v>
      </c>
      <c r="I261" s="39">
        <f t="shared" si="22"/>
        <v>84701.5</v>
      </c>
    </row>
    <row r="262" spans="1:9" s="26" customFormat="1" x14ac:dyDescent="0.2">
      <c r="A262" s="23" t="s">
        <v>727</v>
      </c>
      <c r="B262" s="24" t="s">
        <v>50</v>
      </c>
      <c r="C262" s="24" t="s">
        <v>464</v>
      </c>
      <c r="D262" s="24" t="s">
        <v>725</v>
      </c>
      <c r="E262" s="24"/>
      <c r="F262" s="27"/>
      <c r="G262" s="25">
        <f>G263</f>
        <v>5600</v>
      </c>
      <c r="H262" s="25">
        <f t="shared" ref="H262:I263" si="23">H263</f>
        <v>0</v>
      </c>
      <c r="I262" s="25">
        <f t="shared" si="23"/>
        <v>0</v>
      </c>
    </row>
    <row r="263" spans="1:9" s="237" customFormat="1" x14ac:dyDescent="0.2">
      <c r="A263" s="18" t="s">
        <v>723</v>
      </c>
      <c r="B263" s="19" t="s">
        <v>50</v>
      </c>
      <c r="C263" s="19" t="s">
        <v>464</v>
      </c>
      <c r="D263" s="19" t="s">
        <v>725</v>
      </c>
      <c r="E263" s="19" t="s">
        <v>726</v>
      </c>
      <c r="F263" s="19"/>
      <c r="G263" s="20">
        <f>G264</f>
        <v>5600</v>
      </c>
      <c r="H263" s="20">
        <f t="shared" si="23"/>
        <v>0</v>
      </c>
      <c r="I263" s="20">
        <f t="shared" si="23"/>
        <v>0</v>
      </c>
    </row>
    <row r="264" spans="1:9" s="237" customFormat="1" ht="25.5" x14ac:dyDescent="0.2">
      <c r="A264" s="28" t="s">
        <v>141</v>
      </c>
      <c r="B264" s="24" t="s">
        <v>50</v>
      </c>
      <c r="C264" s="24" t="s">
        <v>464</v>
      </c>
      <c r="D264" s="24" t="s">
        <v>725</v>
      </c>
      <c r="E264" s="24" t="s">
        <v>726</v>
      </c>
      <c r="F264" s="24" t="s">
        <v>65</v>
      </c>
      <c r="G264" s="20">
        <f>'изменения июль вед стр-ра'!G389</f>
        <v>5600</v>
      </c>
      <c r="H264" s="20">
        <f>'изменения июль вед стр-ра'!H389</f>
        <v>0</v>
      </c>
      <c r="I264" s="20">
        <f>'изменения июль вед стр-ра'!I389</f>
        <v>0</v>
      </c>
    </row>
    <row r="265" spans="1:9" ht="38.25" x14ac:dyDescent="0.2">
      <c r="A265" s="18" t="s">
        <v>370</v>
      </c>
      <c r="B265" s="19" t="s">
        <v>50</v>
      </c>
      <c r="C265" s="19" t="s">
        <v>464</v>
      </c>
      <c r="D265" s="19" t="s">
        <v>463</v>
      </c>
      <c r="E265" s="19" t="s">
        <v>563</v>
      </c>
      <c r="F265" s="19"/>
      <c r="G265" s="20">
        <f>G266</f>
        <v>4464</v>
      </c>
      <c r="H265" s="20">
        <f>H266</f>
        <v>4564</v>
      </c>
      <c r="I265" s="20">
        <f>I266</f>
        <v>4564</v>
      </c>
    </row>
    <row r="266" spans="1:9" ht="25.5" x14ac:dyDescent="0.2">
      <c r="A266" s="28" t="s">
        <v>141</v>
      </c>
      <c r="B266" s="24" t="s">
        <v>50</v>
      </c>
      <c r="C266" s="24" t="s">
        <v>464</v>
      </c>
      <c r="D266" s="24" t="s">
        <v>463</v>
      </c>
      <c r="E266" s="24" t="s">
        <v>563</v>
      </c>
      <c r="F266" s="24" t="s">
        <v>65</v>
      </c>
      <c r="G266" s="25">
        <f>'изменения июль вед стр-ра'!G391</f>
        <v>4464</v>
      </c>
      <c r="H266" s="25">
        <f>'изменения июль вед стр-ра'!H391</f>
        <v>4564</v>
      </c>
      <c r="I266" s="25">
        <f>'изменения июль вед стр-ра'!I391</f>
        <v>4564</v>
      </c>
    </row>
    <row r="267" spans="1:9" s="237" customFormat="1" ht="25.5" x14ac:dyDescent="0.2">
      <c r="A267" s="18" t="s">
        <v>380</v>
      </c>
      <c r="B267" s="19" t="s">
        <v>50</v>
      </c>
      <c r="C267" s="19" t="s">
        <v>464</v>
      </c>
      <c r="D267" s="19" t="s">
        <v>463</v>
      </c>
      <c r="E267" s="19" t="s">
        <v>670</v>
      </c>
      <c r="F267" s="19"/>
      <c r="G267" s="20">
        <f>G268</f>
        <v>140</v>
      </c>
      <c r="H267" s="20">
        <f>H268</f>
        <v>0</v>
      </c>
      <c r="I267" s="20">
        <f>I268</f>
        <v>0</v>
      </c>
    </row>
    <row r="268" spans="1:9" s="237" customFormat="1" ht="25.5" x14ac:dyDescent="0.2">
      <c r="A268" s="28" t="s">
        <v>141</v>
      </c>
      <c r="B268" s="24" t="s">
        <v>50</v>
      </c>
      <c r="C268" s="24" t="s">
        <v>464</v>
      </c>
      <c r="D268" s="24" t="s">
        <v>463</v>
      </c>
      <c r="E268" s="24" t="s">
        <v>670</v>
      </c>
      <c r="F268" s="24" t="s">
        <v>65</v>
      </c>
      <c r="G268" s="25">
        <f>'изменения июль вед стр-ра'!G393</f>
        <v>140</v>
      </c>
      <c r="H268" s="25">
        <f>'изменения июль вед стр-ра'!H393</f>
        <v>0</v>
      </c>
      <c r="I268" s="25">
        <f>'изменения июль вед стр-ра'!I393</f>
        <v>0</v>
      </c>
    </row>
    <row r="269" spans="1:9" x14ac:dyDescent="0.2">
      <c r="A269" s="18" t="s">
        <v>256</v>
      </c>
      <c r="B269" s="19" t="s">
        <v>50</v>
      </c>
      <c r="C269" s="19">
        <v>0</v>
      </c>
      <c r="D269" s="19" t="s">
        <v>463</v>
      </c>
      <c r="E269" s="19" t="s">
        <v>562</v>
      </c>
      <c r="F269" s="19"/>
      <c r="G269" s="20">
        <f>G271+G270</f>
        <v>62258.399999999994</v>
      </c>
      <c r="H269" s="20">
        <f>H271+H270</f>
        <v>41649.699999999997</v>
      </c>
      <c r="I269" s="20">
        <f>I271+I270</f>
        <v>39724.700000000004</v>
      </c>
    </row>
    <row r="270" spans="1:9" s="9" customFormat="1" x14ac:dyDescent="0.2">
      <c r="A270" s="28" t="s">
        <v>69</v>
      </c>
      <c r="B270" s="24" t="s">
        <v>50</v>
      </c>
      <c r="C270" s="24">
        <v>0</v>
      </c>
      <c r="D270" s="24" t="s">
        <v>463</v>
      </c>
      <c r="E270" s="24" t="s">
        <v>562</v>
      </c>
      <c r="F270" s="27" t="s">
        <v>70</v>
      </c>
      <c r="G270" s="25">
        <f>'изменения июль вед стр-ра'!G395</f>
        <v>15</v>
      </c>
      <c r="H270" s="25">
        <f>'изменения июль вед стр-ра'!H395</f>
        <v>15</v>
      </c>
      <c r="I270" s="25">
        <f>'изменения июль вед стр-ра'!I395</f>
        <v>15</v>
      </c>
    </row>
    <row r="271" spans="1:9" ht="25.5" x14ac:dyDescent="0.2">
      <c r="A271" s="28" t="s">
        <v>141</v>
      </c>
      <c r="B271" s="24" t="s">
        <v>50</v>
      </c>
      <c r="C271" s="24">
        <v>0</v>
      </c>
      <c r="D271" s="24" t="s">
        <v>463</v>
      </c>
      <c r="E271" s="24" t="s">
        <v>562</v>
      </c>
      <c r="F271" s="24" t="s">
        <v>65</v>
      </c>
      <c r="G271" s="25">
        <f>'изменения июль вед стр-ра'!G396</f>
        <v>62243.399999999994</v>
      </c>
      <c r="H271" s="25">
        <f>'изменения июль вед стр-ра'!H396</f>
        <v>41634.699999999997</v>
      </c>
      <c r="I271" s="25">
        <f>'изменения июль вед стр-ра'!I396</f>
        <v>39709.700000000004</v>
      </c>
    </row>
    <row r="272" spans="1:9" x14ac:dyDescent="0.2">
      <c r="A272" s="18" t="s">
        <v>258</v>
      </c>
      <c r="B272" s="19" t="s">
        <v>50</v>
      </c>
      <c r="C272" s="19">
        <v>0</v>
      </c>
      <c r="D272" s="19" t="s">
        <v>463</v>
      </c>
      <c r="E272" s="19" t="s">
        <v>561</v>
      </c>
      <c r="F272" s="19"/>
      <c r="G272" s="20">
        <f>G273</f>
        <v>4567.9000000000005</v>
      </c>
      <c r="H272" s="20">
        <f>H273</f>
        <v>3721.4</v>
      </c>
      <c r="I272" s="20">
        <f>I273</f>
        <v>3673.4</v>
      </c>
    </row>
    <row r="273" spans="1:9" ht="25.5" x14ac:dyDescent="0.2">
      <c r="A273" s="28" t="s">
        <v>141</v>
      </c>
      <c r="B273" s="24" t="s">
        <v>50</v>
      </c>
      <c r="C273" s="24">
        <v>0</v>
      </c>
      <c r="D273" s="24" t="s">
        <v>463</v>
      </c>
      <c r="E273" s="24" t="s">
        <v>561</v>
      </c>
      <c r="F273" s="24" t="s">
        <v>65</v>
      </c>
      <c r="G273" s="25">
        <f>'изменения июль вед стр-ра'!G398</f>
        <v>4567.9000000000005</v>
      </c>
      <c r="H273" s="25">
        <f>'изменения июль вед стр-ра'!H398</f>
        <v>3721.4</v>
      </c>
      <c r="I273" s="25">
        <f>'изменения июль вед стр-ра'!I398</f>
        <v>3673.4</v>
      </c>
    </row>
    <row r="274" spans="1:9" x14ac:dyDescent="0.2">
      <c r="A274" s="18" t="s">
        <v>260</v>
      </c>
      <c r="B274" s="19" t="s">
        <v>50</v>
      </c>
      <c r="C274" s="19">
        <v>0</v>
      </c>
      <c r="D274" s="19" t="s">
        <v>463</v>
      </c>
      <c r="E274" s="19" t="s">
        <v>560</v>
      </c>
      <c r="F274" s="19"/>
      <c r="G274" s="20">
        <f>G276+G275</f>
        <v>20691.3</v>
      </c>
      <c r="H274" s="20">
        <f>H276+H275</f>
        <v>17131.400000000001</v>
      </c>
      <c r="I274" s="20">
        <f>I276+I275</f>
        <v>16888</v>
      </c>
    </row>
    <row r="275" spans="1:9" x14ac:dyDescent="0.2">
      <c r="A275" s="28" t="s">
        <v>69</v>
      </c>
      <c r="B275" s="24" t="s">
        <v>50</v>
      </c>
      <c r="C275" s="24">
        <v>0</v>
      </c>
      <c r="D275" s="24" t="s">
        <v>463</v>
      </c>
      <c r="E275" s="24" t="s">
        <v>560</v>
      </c>
      <c r="F275" s="27" t="s">
        <v>70</v>
      </c>
      <c r="G275" s="25">
        <f>'изменения июль вед стр-ра'!G400</f>
        <v>15</v>
      </c>
      <c r="H275" s="25">
        <f>'изменения июль вед стр-ра'!H400</f>
        <v>15</v>
      </c>
      <c r="I275" s="25">
        <f>'изменения июль вед стр-ра'!I400</f>
        <v>15</v>
      </c>
    </row>
    <row r="276" spans="1:9" ht="25.5" x14ac:dyDescent="0.2">
      <c r="A276" s="28" t="s">
        <v>141</v>
      </c>
      <c r="B276" s="24" t="s">
        <v>50</v>
      </c>
      <c r="C276" s="24">
        <v>0</v>
      </c>
      <c r="D276" s="24" t="s">
        <v>463</v>
      </c>
      <c r="E276" s="24" t="s">
        <v>560</v>
      </c>
      <c r="F276" s="24" t="s">
        <v>65</v>
      </c>
      <c r="G276" s="25">
        <f>'изменения июль вед стр-ра'!G401</f>
        <v>20676.3</v>
      </c>
      <c r="H276" s="25">
        <f>'изменения июль вед стр-ра'!H401</f>
        <v>17116.400000000001</v>
      </c>
      <c r="I276" s="25">
        <f>'изменения июль вед стр-ра'!I401</f>
        <v>16873</v>
      </c>
    </row>
    <row r="277" spans="1:9" s="79" customFormat="1" x14ac:dyDescent="0.2">
      <c r="A277" s="75" t="s">
        <v>349</v>
      </c>
      <c r="B277" s="77" t="s">
        <v>50</v>
      </c>
      <c r="C277" s="77">
        <v>0</v>
      </c>
      <c r="D277" s="77" t="s">
        <v>463</v>
      </c>
      <c r="E277" s="77" t="s">
        <v>559</v>
      </c>
      <c r="F277" s="77"/>
      <c r="G277" s="78">
        <f>G278+G279+G280</f>
        <v>1398.5</v>
      </c>
      <c r="H277" s="78">
        <f>H278+H279+H280</f>
        <v>1057.5</v>
      </c>
      <c r="I277" s="78">
        <f>I278+I279+I280</f>
        <v>1057.5</v>
      </c>
    </row>
    <row r="278" spans="1:9" s="79" customFormat="1" ht="51" x14ac:dyDescent="0.2">
      <c r="A278" s="80" t="s">
        <v>66</v>
      </c>
      <c r="B278" s="82" t="s">
        <v>50</v>
      </c>
      <c r="C278" s="82">
        <v>0</v>
      </c>
      <c r="D278" s="82" t="s">
        <v>463</v>
      </c>
      <c r="E278" s="82" t="s">
        <v>559</v>
      </c>
      <c r="F278" s="83" t="s">
        <v>67</v>
      </c>
      <c r="G278" s="62">
        <f>'изменения июль вед стр-ра'!G404</f>
        <v>1303.8</v>
      </c>
      <c r="H278" s="62">
        <f>'изменения июль вед стр-ра'!H404</f>
        <v>968.5</v>
      </c>
      <c r="I278" s="62">
        <f>'изменения июль вед стр-ра'!I404</f>
        <v>968.5</v>
      </c>
    </row>
    <row r="279" spans="1:9" s="79" customFormat="1" ht="25.5" x14ac:dyDescent="0.2">
      <c r="A279" s="80" t="s">
        <v>466</v>
      </c>
      <c r="B279" s="82" t="s">
        <v>50</v>
      </c>
      <c r="C279" s="82">
        <v>0</v>
      </c>
      <c r="D279" s="82" t="s">
        <v>463</v>
      </c>
      <c r="E279" s="82" t="s">
        <v>559</v>
      </c>
      <c r="F279" s="83" t="s">
        <v>68</v>
      </c>
      <c r="G279" s="62">
        <f>'изменения июль вед стр-ра'!G405</f>
        <v>83.3</v>
      </c>
      <c r="H279" s="62">
        <f>'изменения июль вед стр-ра'!H405</f>
        <v>80.5</v>
      </c>
      <c r="I279" s="62">
        <f>'изменения июль вед стр-ра'!I405</f>
        <v>80.5</v>
      </c>
    </row>
    <row r="280" spans="1:9" x14ac:dyDescent="0.2">
      <c r="A280" s="28" t="s">
        <v>72</v>
      </c>
      <c r="B280" s="24" t="s">
        <v>50</v>
      </c>
      <c r="C280" s="24">
        <v>0</v>
      </c>
      <c r="D280" s="24" t="s">
        <v>463</v>
      </c>
      <c r="E280" s="24" t="s">
        <v>559</v>
      </c>
      <c r="F280" s="24" t="s">
        <v>73</v>
      </c>
      <c r="G280" s="62">
        <f>'изменения июль вед стр-ра'!G406</f>
        <v>11.4</v>
      </c>
      <c r="H280" s="62">
        <f>'изменения июль вед стр-ра'!H406</f>
        <v>8.5</v>
      </c>
      <c r="I280" s="62">
        <f>'изменения июль вед стр-ра'!I406</f>
        <v>8.5</v>
      </c>
    </row>
    <row r="281" spans="1:9" x14ac:dyDescent="0.2">
      <c r="A281" s="18" t="s">
        <v>349</v>
      </c>
      <c r="B281" s="19" t="s">
        <v>50</v>
      </c>
      <c r="C281" s="19">
        <v>0</v>
      </c>
      <c r="D281" s="19" t="s">
        <v>463</v>
      </c>
      <c r="E281" s="19" t="s">
        <v>558</v>
      </c>
      <c r="F281" s="19"/>
      <c r="G281" s="20">
        <f>G282+G283</f>
        <v>22119.8</v>
      </c>
      <c r="H281" s="20">
        <f>H282+H283</f>
        <v>18793.899999999998</v>
      </c>
      <c r="I281" s="20">
        <f>I282+I283</f>
        <v>18793.899999999998</v>
      </c>
    </row>
    <row r="282" spans="1:9" ht="51" x14ac:dyDescent="0.2">
      <c r="A282" s="30" t="s">
        <v>66</v>
      </c>
      <c r="B282" s="24" t="s">
        <v>50</v>
      </c>
      <c r="C282" s="24">
        <v>0</v>
      </c>
      <c r="D282" s="24" t="s">
        <v>463</v>
      </c>
      <c r="E282" s="19" t="s">
        <v>558</v>
      </c>
      <c r="F282" s="27" t="s">
        <v>67</v>
      </c>
      <c r="G282" s="25">
        <f>'изменения июль вед стр-ра'!G408</f>
        <v>21630.1</v>
      </c>
      <c r="H282" s="25">
        <f>'изменения июль вед стр-ра'!H408</f>
        <v>18319.599999999999</v>
      </c>
      <c r="I282" s="25">
        <f>'изменения июль вед стр-ра'!I408</f>
        <v>18319.599999999999</v>
      </c>
    </row>
    <row r="283" spans="1:9" s="79" customFormat="1" ht="25.5" x14ac:dyDescent="0.2">
      <c r="A283" s="80" t="s">
        <v>466</v>
      </c>
      <c r="B283" s="82" t="s">
        <v>50</v>
      </c>
      <c r="C283" s="82">
        <v>0</v>
      </c>
      <c r="D283" s="82" t="s">
        <v>463</v>
      </c>
      <c r="E283" s="77" t="s">
        <v>558</v>
      </c>
      <c r="F283" s="83" t="s">
        <v>68</v>
      </c>
      <c r="G283" s="25">
        <f>'изменения июль вед стр-ра'!G409</f>
        <v>489.7</v>
      </c>
      <c r="H283" s="25">
        <f>'изменения июль вед стр-ра'!H409</f>
        <v>474.3</v>
      </c>
      <c r="I283" s="25">
        <f>'изменения июль вед стр-ра'!I409</f>
        <v>474.3</v>
      </c>
    </row>
    <row r="284" spans="1:9" ht="25.5" x14ac:dyDescent="0.2">
      <c r="A284" s="40" t="s">
        <v>557</v>
      </c>
      <c r="B284" s="41" t="s">
        <v>43</v>
      </c>
      <c r="C284" s="41"/>
      <c r="D284" s="41"/>
      <c r="E284" s="41"/>
      <c r="F284" s="41"/>
      <c r="G284" s="39">
        <f>SUM(G285,G305,G309,G314,G326,G406)</f>
        <v>711947.53926999995</v>
      </c>
      <c r="H284" s="39">
        <f t="shared" ref="H284:I284" si="24">SUM(H285,H305,H309,H314,H326,H406)</f>
        <v>680824.9</v>
      </c>
      <c r="I284" s="39">
        <f t="shared" si="24"/>
        <v>685066.70000000007</v>
      </c>
    </row>
    <row r="285" spans="1:9" x14ac:dyDescent="0.2">
      <c r="A285" s="150" t="s">
        <v>556</v>
      </c>
      <c r="B285" s="122" t="s">
        <v>43</v>
      </c>
      <c r="C285" s="149" t="s">
        <v>507</v>
      </c>
      <c r="D285" s="149"/>
      <c r="E285" s="149"/>
      <c r="F285" s="149"/>
      <c r="G285" s="148">
        <f>SUM(G289,G292,G294,G299,G301)+G303+G286</f>
        <v>5830.5999999999995</v>
      </c>
      <c r="H285" s="148">
        <f t="shared" ref="H285:I285" si="25">SUM(H289,H292,H294,H299,H301)+H303+H286</f>
        <v>0</v>
      </c>
      <c r="I285" s="148">
        <f t="shared" si="25"/>
        <v>0</v>
      </c>
    </row>
    <row r="286" spans="1:9" s="237" customFormat="1" x14ac:dyDescent="0.2">
      <c r="A286" s="150" t="s">
        <v>677</v>
      </c>
      <c r="B286" s="122" t="s">
        <v>43</v>
      </c>
      <c r="C286" s="149" t="s">
        <v>507</v>
      </c>
      <c r="D286" s="149" t="s">
        <v>680</v>
      </c>
      <c r="E286" s="149"/>
      <c r="F286" s="149"/>
      <c r="G286" s="148">
        <f>G287</f>
        <v>200</v>
      </c>
      <c r="H286" s="148">
        <f t="shared" ref="H286:I287" si="26">H287</f>
        <v>0</v>
      </c>
      <c r="I286" s="148">
        <f t="shared" si="26"/>
        <v>0</v>
      </c>
    </row>
    <row r="287" spans="1:9" s="237" customFormat="1" x14ac:dyDescent="0.2">
      <c r="A287" s="18" t="s">
        <v>280</v>
      </c>
      <c r="B287" s="19" t="s">
        <v>43</v>
      </c>
      <c r="C287" s="19">
        <v>1</v>
      </c>
      <c r="D287" s="19" t="s">
        <v>680</v>
      </c>
      <c r="E287" s="19" t="s">
        <v>732</v>
      </c>
      <c r="F287" s="19"/>
      <c r="G287" s="20">
        <f>G288</f>
        <v>200</v>
      </c>
      <c r="H287" s="20">
        <f t="shared" si="26"/>
        <v>0</v>
      </c>
      <c r="I287" s="20">
        <f t="shared" si="26"/>
        <v>0</v>
      </c>
    </row>
    <row r="288" spans="1:9" s="237" customFormat="1" ht="25.5" x14ac:dyDescent="0.2">
      <c r="A288" s="30" t="s">
        <v>466</v>
      </c>
      <c r="B288" s="24" t="s">
        <v>43</v>
      </c>
      <c r="C288" s="24">
        <v>1</v>
      </c>
      <c r="D288" s="24" t="s">
        <v>680</v>
      </c>
      <c r="E288" s="24" t="s">
        <v>732</v>
      </c>
      <c r="F288" s="24" t="s">
        <v>68</v>
      </c>
      <c r="G288" s="25">
        <f>'изменения июль вед стр-ра'!G517</f>
        <v>200</v>
      </c>
      <c r="H288" s="25">
        <f>'изменения июль вед стр-ра'!H517</f>
        <v>0</v>
      </c>
      <c r="I288" s="25">
        <f>'изменения июль вед стр-ра'!I517</f>
        <v>0</v>
      </c>
    </row>
    <row r="289" spans="1:9" x14ac:dyDescent="0.2">
      <c r="A289" s="18" t="s">
        <v>280</v>
      </c>
      <c r="B289" s="19" t="s">
        <v>43</v>
      </c>
      <c r="C289" s="19">
        <v>1</v>
      </c>
      <c r="D289" s="19" t="s">
        <v>463</v>
      </c>
      <c r="E289" s="19" t="s">
        <v>555</v>
      </c>
      <c r="F289" s="19"/>
      <c r="G289" s="20">
        <f>G290+G291</f>
        <v>1885.7</v>
      </c>
      <c r="H289" s="20">
        <f>H290+H291</f>
        <v>0</v>
      </c>
      <c r="I289" s="20">
        <f>I290+I291</f>
        <v>0</v>
      </c>
    </row>
    <row r="290" spans="1:9" ht="25.5" x14ac:dyDescent="0.2">
      <c r="A290" s="30" t="s">
        <v>466</v>
      </c>
      <c r="B290" s="24" t="s">
        <v>43</v>
      </c>
      <c r="C290" s="24">
        <v>1</v>
      </c>
      <c r="D290" s="24" t="s">
        <v>463</v>
      </c>
      <c r="E290" s="24" t="s">
        <v>555</v>
      </c>
      <c r="F290" s="24" t="s">
        <v>68</v>
      </c>
      <c r="G290" s="25">
        <f>'изменения июль вед стр-ра'!G519</f>
        <v>1399.7</v>
      </c>
      <c r="H290" s="25">
        <f>'изменения июль вед стр-ра'!H519</f>
        <v>0</v>
      </c>
      <c r="I290" s="25">
        <f>'изменения июль вед стр-ра'!I519</f>
        <v>0</v>
      </c>
    </row>
    <row r="291" spans="1:9" s="79" customFormat="1" x14ac:dyDescent="0.2">
      <c r="A291" s="87" t="s">
        <v>69</v>
      </c>
      <c r="B291" s="82" t="s">
        <v>43</v>
      </c>
      <c r="C291" s="82">
        <v>1</v>
      </c>
      <c r="D291" s="82" t="s">
        <v>463</v>
      </c>
      <c r="E291" s="82" t="s">
        <v>555</v>
      </c>
      <c r="F291" s="83" t="s">
        <v>70</v>
      </c>
      <c r="G291" s="25">
        <f>'изменения июль вед стр-ра'!G520</f>
        <v>486</v>
      </c>
      <c r="H291" s="25">
        <f>'изменения июль вед стр-ра'!H520</f>
        <v>0</v>
      </c>
      <c r="I291" s="25">
        <f>'изменения июль вед стр-ра'!I520</f>
        <v>0</v>
      </c>
    </row>
    <row r="292" spans="1:9" x14ac:dyDescent="0.2">
      <c r="A292" s="18" t="s">
        <v>282</v>
      </c>
      <c r="B292" s="19" t="s">
        <v>43</v>
      </c>
      <c r="C292" s="19">
        <v>1</v>
      </c>
      <c r="D292" s="19" t="s">
        <v>463</v>
      </c>
      <c r="E292" s="19" t="s">
        <v>554</v>
      </c>
      <c r="F292" s="19"/>
      <c r="G292" s="20">
        <f>G293</f>
        <v>976.2</v>
      </c>
      <c r="H292" s="20">
        <f>H293</f>
        <v>0</v>
      </c>
      <c r="I292" s="20">
        <f>I293</f>
        <v>0</v>
      </c>
    </row>
    <row r="293" spans="1:9" ht="25.5" x14ac:dyDescent="0.2">
      <c r="A293" s="28" t="s">
        <v>141</v>
      </c>
      <c r="B293" s="24" t="s">
        <v>43</v>
      </c>
      <c r="C293" s="24">
        <v>1</v>
      </c>
      <c r="D293" s="24" t="s">
        <v>463</v>
      </c>
      <c r="E293" s="24" t="s">
        <v>554</v>
      </c>
      <c r="F293" s="24" t="s">
        <v>65</v>
      </c>
      <c r="G293" s="25">
        <f>'изменения июль вед стр-ра'!G522</f>
        <v>976.2</v>
      </c>
      <c r="H293" s="25">
        <f>'изменения июль вед стр-ра'!H522</f>
        <v>0</v>
      </c>
      <c r="I293" s="25">
        <f>'изменения июль вед стр-ра'!I522</f>
        <v>0</v>
      </c>
    </row>
    <row r="294" spans="1:9" s="79" customFormat="1" x14ac:dyDescent="0.2">
      <c r="A294" s="75" t="s">
        <v>322</v>
      </c>
      <c r="B294" s="77" t="s">
        <v>43</v>
      </c>
      <c r="C294" s="77">
        <v>1</v>
      </c>
      <c r="D294" s="77" t="s">
        <v>463</v>
      </c>
      <c r="E294" s="77" t="s">
        <v>553</v>
      </c>
      <c r="F294" s="77"/>
      <c r="G294" s="78">
        <f>G296+G298+G297+G295</f>
        <v>1147.8</v>
      </c>
      <c r="H294" s="78">
        <f t="shared" ref="H294:I294" si="27">H296+H298+H297+H295</f>
        <v>0</v>
      </c>
      <c r="I294" s="78">
        <f t="shared" si="27"/>
        <v>0</v>
      </c>
    </row>
    <row r="295" spans="1:9" s="79" customFormat="1" ht="51" x14ac:dyDescent="0.2">
      <c r="A295" s="30" t="s">
        <v>66</v>
      </c>
      <c r="B295" s="24" t="s">
        <v>43</v>
      </c>
      <c r="C295" s="24">
        <v>1</v>
      </c>
      <c r="D295" s="24" t="s">
        <v>463</v>
      </c>
      <c r="E295" s="24" t="s">
        <v>553</v>
      </c>
      <c r="F295" s="77" t="s">
        <v>67</v>
      </c>
      <c r="G295" s="78">
        <f>'изменения июль вед стр-ра'!G126</f>
        <v>60</v>
      </c>
      <c r="H295" s="78">
        <f>'изменения июль вед стр-ра'!H126</f>
        <v>0</v>
      </c>
      <c r="I295" s="78">
        <f>'изменения июль вед стр-ра'!I126</f>
        <v>0</v>
      </c>
    </row>
    <row r="296" spans="1:9" x14ac:dyDescent="0.2">
      <c r="A296" s="28" t="s">
        <v>69</v>
      </c>
      <c r="B296" s="24" t="s">
        <v>43</v>
      </c>
      <c r="C296" s="24">
        <v>1</v>
      </c>
      <c r="D296" s="24" t="s">
        <v>463</v>
      </c>
      <c r="E296" s="24" t="s">
        <v>553</v>
      </c>
      <c r="F296" s="24" t="s">
        <v>70</v>
      </c>
      <c r="G296" s="25">
        <f>'изменения июль вед стр-ра'!G617</f>
        <v>847.8</v>
      </c>
      <c r="H296" s="25">
        <f>'изменения июль вед стр-ра'!H617</f>
        <v>0</v>
      </c>
      <c r="I296" s="25">
        <f>'изменения июль вед стр-ра'!I617</f>
        <v>0</v>
      </c>
    </row>
    <row r="297" spans="1:9" s="237" customFormat="1" ht="25.5" x14ac:dyDescent="0.2">
      <c r="A297" s="28" t="s">
        <v>141</v>
      </c>
      <c r="B297" s="24" t="s">
        <v>43</v>
      </c>
      <c r="C297" s="24">
        <v>1</v>
      </c>
      <c r="D297" s="24" t="s">
        <v>463</v>
      </c>
      <c r="E297" s="24" t="s">
        <v>553</v>
      </c>
      <c r="F297" s="24" t="s">
        <v>65</v>
      </c>
      <c r="G297" s="25">
        <f>'изменения июль вед стр-ра'!G366+'изменения июль вед стр-ра'!G127</f>
        <v>120</v>
      </c>
      <c r="H297" s="25">
        <f>'изменения июль вед стр-ра'!H366+'изменения июль вед стр-ра'!H127</f>
        <v>0</v>
      </c>
      <c r="I297" s="25">
        <f>'изменения июль вед стр-ра'!I366+'изменения июль вед стр-ра'!I127</f>
        <v>0</v>
      </c>
    </row>
    <row r="298" spans="1:9" s="79" customFormat="1" x14ac:dyDescent="0.2">
      <c r="A298" s="28" t="s">
        <v>72</v>
      </c>
      <c r="B298" s="82" t="s">
        <v>43</v>
      </c>
      <c r="C298" s="82">
        <v>1</v>
      </c>
      <c r="D298" s="82" t="s">
        <v>463</v>
      </c>
      <c r="E298" s="82" t="s">
        <v>553</v>
      </c>
      <c r="F298" s="82" t="s">
        <v>73</v>
      </c>
      <c r="G298" s="62">
        <f>'изменения июль вед стр-ра'!G524</f>
        <v>120</v>
      </c>
      <c r="H298" s="62">
        <f>'изменения июль вед стр-ра'!H524</f>
        <v>0</v>
      </c>
      <c r="I298" s="62">
        <f>'изменения июль вед стр-ра'!I524</f>
        <v>0</v>
      </c>
    </row>
    <row r="299" spans="1:9" ht="25.5" x14ac:dyDescent="0.2">
      <c r="A299" s="18" t="s">
        <v>325</v>
      </c>
      <c r="B299" s="19" t="s">
        <v>43</v>
      </c>
      <c r="C299" s="19">
        <v>1</v>
      </c>
      <c r="D299" s="19" t="s">
        <v>463</v>
      </c>
      <c r="E299" s="19" t="s">
        <v>552</v>
      </c>
      <c r="F299" s="19"/>
      <c r="G299" s="20">
        <f>G300</f>
        <v>1553.1</v>
      </c>
      <c r="H299" s="20">
        <f>H300</f>
        <v>0</v>
      </c>
      <c r="I299" s="20">
        <f>I300</f>
        <v>0</v>
      </c>
    </row>
    <row r="300" spans="1:9" x14ac:dyDescent="0.2">
      <c r="A300" s="28" t="s">
        <v>69</v>
      </c>
      <c r="B300" s="24" t="s">
        <v>43</v>
      </c>
      <c r="C300" s="24">
        <v>1</v>
      </c>
      <c r="D300" s="24" t="s">
        <v>463</v>
      </c>
      <c r="E300" s="24" t="s">
        <v>552</v>
      </c>
      <c r="F300" s="24" t="s">
        <v>70</v>
      </c>
      <c r="G300" s="25">
        <f>'изменения июль вед стр-ра'!G619</f>
        <v>1553.1</v>
      </c>
      <c r="H300" s="25">
        <f>'изменения июль вед стр-ра'!H619</f>
        <v>0</v>
      </c>
      <c r="I300" s="25">
        <f>'изменения июль вед стр-ра'!I619</f>
        <v>0</v>
      </c>
    </row>
    <row r="301" spans="1:9" ht="63.75" x14ac:dyDescent="0.2">
      <c r="A301" s="61" t="s">
        <v>327</v>
      </c>
      <c r="B301" s="19" t="s">
        <v>43</v>
      </c>
      <c r="C301" s="19">
        <v>1</v>
      </c>
      <c r="D301" s="19" t="s">
        <v>463</v>
      </c>
      <c r="E301" s="19" t="s">
        <v>551</v>
      </c>
      <c r="F301" s="19"/>
      <c r="G301" s="20">
        <f>G302</f>
        <v>50</v>
      </c>
      <c r="H301" s="20">
        <f>H302</f>
        <v>0</v>
      </c>
      <c r="I301" s="20">
        <f>I302</f>
        <v>0</v>
      </c>
    </row>
    <row r="302" spans="1:9" x14ac:dyDescent="0.2">
      <c r="A302" s="28" t="s">
        <v>69</v>
      </c>
      <c r="B302" s="24" t="s">
        <v>43</v>
      </c>
      <c r="C302" s="24">
        <v>1</v>
      </c>
      <c r="D302" s="24" t="s">
        <v>463</v>
      </c>
      <c r="E302" s="24" t="s">
        <v>551</v>
      </c>
      <c r="F302" s="24" t="s">
        <v>70</v>
      </c>
      <c r="G302" s="25">
        <f>'изменения июль вед стр-ра'!G621</f>
        <v>50</v>
      </c>
      <c r="H302" s="25">
        <f>'изменения июль вед стр-ра'!H621</f>
        <v>0</v>
      </c>
      <c r="I302" s="25">
        <f>'изменения июль вед стр-ра'!I621</f>
        <v>0</v>
      </c>
    </row>
    <row r="303" spans="1:9" ht="25.5" x14ac:dyDescent="0.2">
      <c r="A303" s="75" t="s">
        <v>417</v>
      </c>
      <c r="B303" s="19" t="s">
        <v>43</v>
      </c>
      <c r="C303" s="19">
        <v>1</v>
      </c>
      <c r="D303" s="19" t="s">
        <v>463</v>
      </c>
      <c r="E303" s="19" t="s">
        <v>550</v>
      </c>
      <c r="F303" s="19"/>
      <c r="G303" s="20">
        <f>G304</f>
        <v>17.8</v>
      </c>
      <c r="H303" s="20">
        <f>H304</f>
        <v>0</v>
      </c>
      <c r="I303" s="20">
        <f>I304</f>
        <v>0</v>
      </c>
    </row>
    <row r="304" spans="1:9" ht="25.5" x14ac:dyDescent="0.2">
      <c r="A304" s="30" t="s">
        <v>466</v>
      </c>
      <c r="B304" s="24" t="s">
        <v>43</v>
      </c>
      <c r="C304" s="24">
        <v>1</v>
      </c>
      <c r="D304" s="24" t="s">
        <v>463</v>
      </c>
      <c r="E304" s="24" t="s">
        <v>550</v>
      </c>
      <c r="F304" s="24" t="s">
        <v>68</v>
      </c>
      <c r="G304" s="25">
        <f>'изменения июль вед стр-ра'!G526</f>
        <v>17.8</v>
      </c>
      <c r="H304" s="25">
        <f>'изменения июль вед стр-ра'!H526</f>
        <v>0</v>
      </c>
      <c r="I304" s="25">
        <f>'изменения июль вед стр-ра'!I526</f>
        <v>0</v>
      </c>
    </row>
    <row r="305" spans="1:9" s="79" customFormat="1" ht="51" x14ac:dyDescent="0.2">
      <c r="A305" s="154" t="s">
        <v>549</v>
      </c>
      <c r="B305" s="153" t="s">
        <v>43</v>
      </c>
      <c r="C305" s="152" t="s">
        <v>502</v>
      </c>
      <c r="D305" s="152"/>
      <c r="E305" s="152"/>
      <c r="F305" s="152"/>
      <c r="G305" s="151">
        <f>G306</f>
        <v>7375.7</v>
      </c>
      <c r="H305" s="151">
        <f>H306</f>
        <v>7375.7</v>
      </c>
      <c r="I305" s="151">
        <f>I306</f>
        <v>7375.7</v>
      </c>
    </row>
    <row r="306" spans="1:9" s="79" customFormat="1" ht="76.5" x14ac:dyDescent="0.2">
      <c r="A306" s="75" t="s">
        <v>263</v>
      </c>
      <c r="B306" s="77" t="s">
        <v>43</v>
      </c>
      <c r="C306" s="77">
        <v>2</v>
      </c>
      <c r="D306" s="77" t="s">
        <v>463</v>
      </c>
      <c r="E306" s="77" t="s">
        <v>548</v>
      </c>
      <c r="F306" s="77"/>
      <c r="G306" s="78">
        <f>G308+G307</f>
        <v>7375.7</v>
      </c>
      <c r="H306" s="78">
        <f>H308+H307</f>
        <v>7375.7</v>
      </c>
      <c r="I306" s="78">
        <f>I308+I307</f>
        <v>7375.7</v>
      </c>
    </row>
    <row r="307" spans="1:9" s="79" customFormat="1" ht="25.5" x14ac:dyDescent="0.2">
      <c r="A307" s="80" t="s">
        <v>466</v>
      </c>
      <c r="B307" s="82" t="s">
        <v>43</v>
      </c>
      <c r="C307" s="82">
        <v>2</v>
      </c>
      <c r="D307" s="82" t="s">
        <v>463</v>
      </c>
      <c r="E307" s="82" t="s">
        <v>548</v>
      </c>
      <c r="F307" s="83" t="s">
        <v>68</v>
      </c>
      <c r="G307" s="62">
        <f>'изменения июль вед стр-ра'!G425</f>
        <v>36.700000000000003</v>
      </c>
      <c r="H307" s="62">
        <f>'изменения июль вед стр-ра'!H425</f>
        <v>36.700000000000003</v>
      </c>
      <c r="I307" s="62">
        <f>'изменения июль вед стр-ра'!I425</f>
        <v>36.700000000000003</v>
      </c>
    </row>
    <row r="308" spans="1:9" s="79" customFormat="1" x14ac:dyDescent="0.2">
      <c r="A308" s="87" t="s">
        <v>69</v>
      </c>
      <c r="B308" s="82" t="s">
        <v>43</v>
      </c>
      <c r="C308" s="82">
        <v>2</v>
      </c>
      <c r="D308" s="82" t="s">
        <v>463</v>
      </c>
      <c r="E308" s="82" t="s">
        <v>548</v>
      </c>
      <c r="F308" s="82" t="s">
        <v>70</v>
      </c>
      <c r="G308" s="62">
        <f>'изменения июль вед стр-ра'!G426</f>
        <v>7339</v>
      </c>
      <c r="H308" s="62">
        <f>'изменения июль вед стр-ра'!H426</f>
        <v>7339</v>
      </c>
      <c r="I308" s="62">
        <f>'изменения июль вед стр-ра'!I426</f>
        <v>7339</v>
      </c>
    </row>
    <row r="309" spans="1:9" s="79" customFormat="1" ht="38.25" x14ac:dyDescent="0.2">
      <c r="A309" s="154" t="s">
        <v>547</v>
      </c>
      <c r="B309" s="153" t="s">
        <v>43</v>
      </c>
      <c r="C309" s="152" t="s">
        <v>495</v>
      </c>
      <c r="D309" s="152"/>
      <c r="E309" s="152"/>
      <c r="F309" s="152"/>
      <c r="G309" s="151">
        <f>G310</f>
        <v>27193.799999999996</v>
      </c>
      <c r="H309" s="151">
        <f>H310</f>
        <v>27010.199999999997</v>
      </c>
      <c r="I309" s="151">
        <f>I310</f>
        <v>27010.199999999997</v>
      </c>
    </row>
    <row r="310" spans="1:9" ht="25.5" x14ac:dyDescent="0.2">
      <c r="A310" s="18" t="s">
        <v>284</v>
      </c>
      <c r="B310" s="19" t="s">
        <v>43</v>
      </c>
      <c r="C310" s="19">
        <v>4</v>
      </c>
      <c r="D310" s="19" t="s">
        <v>463</v>
      </c>
      <c r="E310" s="19">
        <v>70280</v>
      </c>
      <c r="F310" s="19"/>
      <c r="G310" s="20">
        <f>G311+G312+G313</f>
        <v>27193.799999999996</v>
      </c>
      <c r="H310" s="20">
        <f>H311+H312+H313</f>
        <v>27010.199999999997</v>
      </c>
      <c r="I310" s="20">
        <f>I311+I312+I313</f>
        <v>27010.199999999997</v>
      </c>
    </row>
    <row r="311" spans="1:9" ht="51" x14ac:dyDescent="0.2">
      <c r="A311" s="30" t="s">
        <v>66</v>
      </c>
      <c r="B311" s="24" t="s">
        <v>43</v>
      </c>
      <c r="C311" s="24">
        <v>4</v>
      </c>
      <c r="D311" s="24" t="s">
        <v>463</v>
      </c>
      <c r="E311" s="24">
        <v>70280</v>
      </c>
      <c r="F311" s="27" t="s">
        <v>67</v>
      </c>
      <c r="G311" s="25">
        <f>'изменения июль вед стр-ра'!G528</f>
        <v>25952.199999999997</v>
      </c>
      <c r="H311" s="25">
        <f>'изменения июль вед стр-ра'!H528</f>
        <v>25914.199999999997</v>
      </c>
      <c r="I311" s="25">
        <f>'изменения июль вед стр-ра'!I528</f>
        <v>25914.199999999997</v>
      </c>
    </row>
    <row r="312" spans="1:9" ht="25.5" x14ac:dyDescent="0.2">
      <c r="A312" s="30" t="s">
        <v>466</v>
      </c>
      <c r="B312" s="24" t="s">
        <v>43</v>
      </c>
      <c r="C312" s="24">
        <v>4</v>
      </c>
      <c r="D312" s="24" t="s">
        <v>463</v>
      </c>
      <c r="E312" s="24">
        <v>70280</v>
      </c>
      <c r="F312" s="27" t="s">
        <v>68</v>
      </c>
      <c r="G312" s="25">
        <f>'изменения июль вед стр-ра'!G529</f>
        <v>1234</v>
      </c>
      <c r="H312" s="25">
        <f>'изменения июль вед стр-ра'!H529</f>
        <v>1088.4000000000001</v>
      </c>
      <c r="I312" s="25">
        <f>'изменения июль вед стр-ра'!I529</f>
        <v>1088.4000000000001</v>
      </c>
    </row>
    <row r="313" spans="1:9" s="79" customFormat="1" x14ac:dyDescent="0.2">
      <c r="A313" s="87" t="s">
        <v>72</v>
      </c>
      <c r="B313" s="82" t="s">
        <v>43</v>
      </c>
      <c r="C313" s="82">
        <v>4</v>
      </c>
      <c r="D313" s="82" t="s">
        <v>463</v>
      </c>
      <c r="E313" s="82">
        <v>70280</v>
      </c>
      <c r="F313" s="82" t="s">
        <v>73</v>
      </c>
      <c r="G313" s="25">
        <f>'изменения июль вед стр-ра'!G530</f>
        <v>7.6</v>
      </c>
      <c r="H313" s="25">
        <f>'изменения июль вед стр-ра'!H530</f>
        <v>7.6</v>
      </c>
      <c r="I313" s="25">
        <f>'изменения июль вед стр-ра'!I530</f>
        <v>7.6</v>
      </c>
    </row>
    <row r="314" spans="1:9" s="79" customFormat="1" ht="25.5" x14ac:dyDescent="0.2">
      <c r="A314" s="154" t="s">
        <v>546</v>
      </c>
      <c r="B314" s="153" t="s">
        <v>43</v>
      </c>
      <c r="C314" s="152" t="s">
        <v>492</v>
      </c>
      <c r="D314" s="152"/>
      <c r="E314" s="152"/>
      <c r="F314" s="152"/>
      <c r="G314" s="151">
        <f>SUM(G318,G320)+G315+G324</f>
        <v>180109.89999999997</v>
      </c>
      <c r="H314" s="151">
        <f t="shared" ref="H314:I314" si="28">SUM(H318,H320)+H315+H324</f>
        <v>170156.5</v>
      </c>
      <c r="I314" s="151">
        <f t="shared" si="28"/>
        <v>170156.5</v>
      </c>
    </row>
    <row r="315" spans="1:9" s="237" customFormat="1" x14ac:dyDescent="0.2">
      <c r="A315" s="18" t="s">
        <v>677</v>
      </c>
      <c r="B315" s="19" t="s">
        <v>43</v>
      </c>
      <c r="C315" s="19" t="s">
        <v>492</v>
      </c>
      <c r="D315" s="19" t="s">
        <v>680</v>
      </c>
      <c r="E315" s="19"/>
      <c r="F315" s="8"/>
      <c r="G315" s="20">
        <f>G316</f>
        <v>7725.3</v>
      </c>
      <c r="H315" s="20">
        <f t="shared" ref="H315:I315" si="29">H316</f>
        <v>0</v>
      </c>
      <c r="I315" s="20">
        <f t="shared" si="29"/>
        <v>0</v>
      </c>
    </row>
    <row r="316" spans="1:9" s="237" customFormat="1" ht="25.5" x14ac:dyDescent="0.2">
      <c r="A316" s="18" t="s">
        <v>678</v>
      </c>
      <c r="B316" s="19" t="s">
        <v>43</v>
      </c>
      <c r="C316" s="19" t="s">
        <v>492</v>
      </c>
      <c r="D316" s="19" t="s">
        <v>680</v>
      </c>
      <c r="E316" s="19" t="s">
        <v>681</v>
      </c>
      <c r="F316" s="19"/>
      <c r="G316" s="20">
        <f>G317</f>
        <v>7725.3</v>
      </c>
      <c r="H316" s="20">
        <f t="shared" ref="H316:I316" si="30">H317</f>
        <v>0</v>
      </c>
      <c r="I316" s="20">
        <f t="shared" si="30"/>
        <v>0</v>
      </c>
    </row>
    <row r="317" spans="1:9" s="237" customFormat="1" ht="25.5" x14ac:dyDescent="0.2">
      <c r="A317" s="28" t="s">
        <v>141</v>
      </c>
      <c r="B317" s="19" t="s">
        <v>43</v>
      </c>
      <c r="C317" s="19" t="s">
        <v>492</v>
      </c>
      <c r="D317" s="19" t="s">
        <v>680</v>
      </c>
      <c r="E317" s="19" t="s">
        <v>681</v>
      </c>
      <c r="F317" s="19" t="s">
        <v>65</v>
      </c>
      <c r="G317" s="20">
        <f>'изменения июль вед стр-ра'!G532</f>
        <v>7725.3</v>
      </c>
      <c r="H317" s="20">
        <f>'изменения июль вед стр-ра'!H532</f>
        <v>0</v>
      </c>
      <c r="I317" s="20">
        <f>'изменения июль вед стр-ра'!I532</f>
        <v>0</v>
      </c>
    </row>
    <row r="318" spans="1:9" s="79" customFormat="1" ht="51" x14ac:dyDescent="0.2">
      <c r="A318" s="75" t="s">
        <v>265</v>
      </c>
      <c r="B318" s="77" t="s">
        <v>43</v>
      </c>
      <c r="C318" s="77">
        <v>5</v>
      </c>
      <c r="D318" s="77" t="s">
        <v>463</v>
      </c>
      <c r="E318" s="77">
        <v>70160</v>
      </c>
      <c r="F318" s="77"/>
      <c r="G318" s="78">
        <f>G319</f>
        <v>121813.3</v>
      </c>
      <c r="H318" s="78">
        <f>H319</f>
        <v>121742.5</v>
      </c>
      <c r="I318" s="78">
        <f>I319</f>
        <v>121742.5</v>
      </c>
    </row>
    <row r="319" spans="1:9" s="79" customFormat="1" ht="25.5" x14ac:dyDescent="0.2">
      <c r="A319" s="87" t="s">
        <v>141</v>
      </c>
      <c r="B319" s="82" t="s">
        <v>43</v>
      </c>
      <c r="C319" s="82">
        <v>5</v>
      </c>
      <c r="D319" s="82" t="s">
        <v>463</v>
      </c>
      <c r="E319" s="82">
        <v>70160</v>
      </c>
      <c r="F319" s="82" t="s">
        <v>65</v>
      </c>
      <c r="G319" s="62">
        <f>'изменения июль вед стр-ра'!G429</f>
        <v>121813.3</v>
      </c>
      <c r="H319" s="62">
        <f>'изменения июль вед стр-ра'!H429</f>
        <v>121742.5</v>
      </c>
      <c r="I319" s="62">
        <f>'изменения июль вед стр-ра'!I429</f>
        <v>121742.5</v>
      </c>
    </row>
    <row r="320" spans="1:9" s="79" customFormat="1" ht="63.75" x14ac:dyDescent="0.2">
      <c r="A320" s="75" t="s">
        <v>266</v>
      </c>
      <c r="B320" s="77" t="s">
        <v>43</v>
      </c>
      <c r="C320" s="77">
        <v>5</v>
      </c>
      <c r="D320" s="77" t="s">
        <v>463</v>
      </c>
      <c r="E320" s="77">
        <v>70170</v>
      </c>
      <c r="F320" s="77"/>
      <c r="G320" s="78">
        <f>G321+G323+G322</f>
        <v>50550</v>
      </c>
      <c r="H320" s="78">
        <f>H321+H323+H322</f>
        <v>48414</v>
      </c>
      <c r="I320" s="78">
        <f>I321+I323+I322</f>
        <v>48414</v>
      </c>
    </row>
    <row r="321" spans="1:9" s="79" customFormat="1" ht="51" x14ac:dyDescent="0.2">
      <c r="A321" s="80" t="s">
        <v>66</v>
      </c>
      <c r="B321" s="82" t="s">
        <v>43</v>
      </c>
      <c r="C321" s="82">
        <v>5</v>
      </c>
      <c r="D321" s="82" t="s">
        <v>463</v>
      </c>
      <c r="E321" s="82">
        <v>70170</v>
      </c>
      <c r="F321" s="83" t="s">
        <v>67</v>
      </c>
      <c r="G321" s="62">
        <f>'изменения июль вед стр-ра'!G431</f>
        <v>42333.894260000001</v>
      </c>
      <c r="H321" s="62">
        <f>'изменения июль вед стр-ра'!H431</f>
        <v>42333.5</v>
      </c>
      <c r="I321" s="62">
        <f>'изменения июль вед стр-ра'!I431</f>
        <v>42333.5</v>
      </c>
    </row>
    <row r="322" spans="1:9" s="79" customFormat="1" ht="25.5" x14ac:dyDescent="0.2">
      <c r="A322" s="80" t="s">
        <v>466</v>
      </c>
      <c r="B322" s="82" t="s">
        <v>43</v>
      </c>
      <c r="C322" s="82">
        <v>5</v>
      </c>
      <c r="D322" s="82" t="s">
        <v>463</v>
      </c>
      <c r="E322" s="82">
        <v>70170</v>
      </c>
      <c r="F322" s="83" t="s">
        <v>68</v>
      </c>
      <c r="G322" s="62">
        <f>'изменения июль вед стр-ра'!G432</f>
        <v>7921.10574</v>
      </c>
      <c r="H322" s="62">
        <f>'изменения июль вед стр-ра'!H432</f>
        <v>5785.5</v>
      </c>
      <c r="I322" s="62">
        <f>'изменения июль вед стр-ра'!I432</f>
        <v>5785.5</v>
      </c>
    </row>
    <row r="323" spans="1:9" s="79" customFormat="1" x14ac:dyDescent="0.2">
      <c r="A323" s="87" t="s">
        <v>72</v>
      </c>
      <c r="B323" s="82" t="s">
        <v>43</v>
      </c>
      <c r="C323" s="82">
        <v>5</v>
      </c>
      <c r="D323" s="82" t="s">
        <v>463</v>
      </c>
      <c r="E323" s="82">
        <v>70170</v>
      </c>
      <c r="F323" s="82" t="s">
        <v>73</v>
      </c>
      <c r="G323" s="62">
        <f>'изменения июль вед стр-ра'!G433</f>
        <v>295</v>
      </c>
      <c r="H323" s="62">
        <f>'изменения июль вед стр-ра'!H433</f>
        <v>295</v>
      </c>
      <c r="I323" s="62">
        <f>'изменения июль вед стр-ра'!I433</f>
        <v>295</v>
      </c>
    </row>
    <row r="324" spans="1:9" s="79" customFormat="1" ht="25.5" x14ac:dyDescent="0.2">
      <c r="A324" s="87" t="s">
        <v>267</v>
      </c>
      <c r="B324" s="77" t="s">
        <v>43</v>
      </c>
      <c r="C324" s="77">
        <v>5</v>
      </c>
      <c r="D324" s="77" t="s">
        <v>463</v>
      </c>
      <c r="E324" s="77" t="s">
        <v>713</v>
      </c>
      <c r="F324" s="82"/>
      <c r="G324" s="62">
        <f>G325</f>
        <v>21.3</v>
      </c>
      <c r="H324" s="62">
        <f t="shared" ref="H324:I324" si="31">H325</f>
        <v>0</v>
      </c>
      <c r="I324" s="62">
        <f t="shared" si="31"/>
        <v>0</v>
      </c>
    </row>
    <row r="325" spans="1:9" s="79" customFormat="1" ht="25.5" x14ac:dyDescent="0.2">
      <c r="A325" s="80" t="s">
        <v>466</v>
      </c>
      <c r="B325" s="77" t="s">
        <v>43</v>
      </c>
      <c r="C325" s="77">
        <v>5</v>
      </c>
      <c r="D325" s="77" t="s">
        <v>463</v>
      </c>
      <c r="E325" s="77" t="s">
        <v>713</v>
      </c>
      <c r="F325" s="82" t="s">
        <v>68</v>
      </c>
      <c r="G325" s="62">
        <f>'изменения июль вед стр-ра'!G435</f>
        <v>21.3</v>
      </c>
      <c r="H325" s="62">
        <f>'изменения июль вед стр-ра'!H435</f>
        <v>0</v>
      </c>
      <c r="I325" s="62">
        <f>'изменения июль вед стр-ра'!I435</f>
        <v>0</v>
      </c>
    </row>
    <row r="326" spans="1:9" s="79" customFormat="1" ht="25.5" x14ac:dyDescent="0.2">
      <c r="A326" s="154" t="s">
        <v>545</v>
      </c>
      <c r="B326" s="153" t="s">
        <v>43</v>
      </c>
      <c r="C326" s="152" t="s">
        <v>488</v>
      </c>
      <c r="D326" s="152"/>
      <c r="E326" s="152"/>
      <c r="F326" s="152"/>
      <c r="G326" s="151">
        <f>SUM(G340,G343,G346,G349,G351,G354,G357,G360,G366,G369,G372,G375,G378,G380,G382,G385,G388,G391,G394,G397,G400)+G363+G404+G327</f>
        <v>490957.53927000001</v>
      </c>
      <c r="H326" s="151">
        <f>SUM(H340,H343,H346,H349,H351,H354,H357,H360,H366,H369,H372,H375,H378,H380,H382,H385,H388,H391,H394,H397,H400)+H363+H404+H327</f>
        <v>476282.5</v>
      </c>
      <c r="I326" s="151">
        <f>SUM(I340,I343,I346,I349,I351,I354,I357,I360,I366,I369,I372,I375,I378,I380,I382,I385,I388,I391,I394,I397,I400)+I363+I404+I327</f>
        <v>480524.30000000005</v>
      </c>
    </row>
    <row r="327" spans="1:9" s="79" customFormat="1" ht="25.5" x14ac:dyDescent="0.2">
      <c r="A327" s="75" t="s">
        <v>682</v>
      </c>
      <c r="B327" s="77" t="s">
        <v>43</v>
      </c>
      <c r="C327" s="77" t="s">
        <v>488</v>
      </c>
      <c r="D327" s="77" t="s">
        <v>542</v>
      </c>
      <c r="E327" s="77"/>
      <c r="F327" s="77"/>
      <c r="G327" s="78">
        <f>SUM(G328,G331)+G333+G337</f>
        <v>90236</v>
      </c>
      <c r="H327" s="78">
        <f>SUM(H328,H331)+H333+H337</f>
        <v>70666</v>
      </c>
      <c r="I327" s="78">
        <f>SUM(I328,I331)+I333+I337</f>
        <v>72259</v>
      </c>
    </row>
    <row r="328" spans="1:9" s="79" customFormat="1" ht="25.5" x14ac:dyDescent="0.2">
      <c r="A328" s="75" t="s">
        <v>437</v>
      </c>
      <c r="B328" s="77" t="s">
        <v>43</v>
      </c>
      <c r="C328" s="77">
        <v>6</v>
      </c>
      <c r="D328" s="77" t="s">
        <v>542</v>
      </c>
      <c r="E328" s="77" t="s">
        <v>544</v>
      </c>
      <c r="F328" s="77"/>
      <c r="G328" s="78">
        <f>G330+G329</f>
        <v>19745</v>
      </c>
      <c r="H328" s="78">
        <f>H330+H329</f>
        <v>33866</v>
      </c>
      <c r="I328" s="78">
        <f>I330+I329</f>
        <v>35170</v>
      </c>
    </row>
    <row r="329" spans="1:9" s="79" customFormat="1" ht="25.5" x14ac:dyDescent="0.2">
      <c r="A329" s="87" t="s">
        <v>466</v>
      </c>
      <c r="B329" s="82" t="s">
        <v>43</v>
      </c>
      <c r="C329" s="82">
        <v>6</v>
      </c>
      <c r="D329" s="82" t="s">
        <v>542</v>
      </c>
      <c r="E329" s="82" t="s">
        <v>544</v>
      </c>
      <c r="F329" s="82" t="s">
        <v>68</v>
      </c>
      <c r="G329" s="62">
        <f>'изменения июль вед стр-ра'!G501</f>
        <v>0</v>
      </c>
      <c r="H329" s="62">
        <f>'изменения июль вед стр-ра'!H501</f>
        <v>169.3</v>
      </c>
      <c r="I329" s="62">
        <f>'изменения июль вед стр-ра'!I501</f>
        <v>175.9</v>
      </c>
    </row>
    <row r="330" spans="1:9" s="79" customFormat="1" x14ac:dyDescent="0.2">
      <c r="A330" s="87" t="s">
        <v>69</v>
      </c>
      <c r="B330" s="82" t="s">
        <v>43</v>
      </c>
      <c r="C330" s="82">
        <v>6</v>
      </c>
      <c r="D330" s="82" t="s">
        <v>542</v>
      </c>
      <c r="E330" s="82" t="s">
        <v>544</v>
      </c>
      <c r="F330" s="82" t="s">
        <v>70</v>
      </c>
      <c r="G330" s="62">
        <f>'изменения июль вед стр-ра'!G502</f>
        <v>19745</v>
      </c>
      <c r="H330" s="62">
        <f>'изменения июль вед стр-ра'!H502</f>
        <v>33696.699999999997</v>
      </c>
      <c r="I330" s="62">
        <f>'изменения июль вед стр-ра'!I502</f>
        <v>34994.1</v>
      </c>
    </row>
    <row r="331" spans="1:9" ht="38.25" x14ac:dyDescent="0.2">
      <c r="A331" s="54" t="s">
        <v>434</v>
      </c>
      <c r="B331" s="19" t="s">
        <v>43</v>
      </c>
      <c r="C331" s="19">
        <v>6</v>
      </c>
      <c r="D331" s="19" t="s">
        <v>542</v>
      </c>
      <c r="E331" s="19" t="s">
        <v>543</v>
      </c>
      <c r="F331" s="19"/>
      <c r="G331" s="20">
        <f>G332</f>
        <v>40930</v>
      </c>
      <c r="H331" s="20">
        <f>H332</f>
        <v>7239</v>
      </c>
      <c r="I331" s="20">
        <f>I332</f>
        <v>7528</v>
      </c>
    </row>
    <row r="332" spans="1:9" x14ac:dyDescent="0.2">
      <c r="A332" s="28" t="s">
        <v>69</v>
      </c>
      <c r="B332" s="24" t="s">
        <v>43</v>
      </c>
      <c r="C332" s="24">
        <v>6</v>
      </c>
      <c r="D332" s="24" t="s">
        <v>542</v>
      </c>
      <c r="E332" s="24" t="s">
        <v>543</v>
      </c>
      <c r="F332" s="24" t="s">
        <v>70</v>
      </c>
      <c r="G332" s="25">
        <f>'изменения июль вед стр-ра'!G504</f>
        <v>40930</v>
      </c>
      <c r="H332" s="25">
        <f>'изменения июль вед стр-ра'!H504</f>
        <v>7239</v>
      </c>
      <c r="I332" s="25">
        <f>'изменения июль вед стр-ра'!I504</f>
        <v>7528</v>
      </c>
    </row>
    <row r="333" spans="1:9" ht="51" x14ac:dyDescent="0.2">
      <c r="A333" s="18" t="s">
        <v>252</v>
      </c>
      <c r="B333" s="19" t="s">
        <v>43</v>
      </c>
      <c r="C333" s="19">
        <v>6</v>
      </c>
      <c r="D333" s="19" t="s">
        <v>542</v>
      </c>
      <c r="E333" s="19">
        <v>70050</v>
      </c>
      <c r="F333" s="19"/>
      <c r="G333" s="20">
        <f>G335+G336+G334</f>
        <v>20432</v>
      </c>
      <c r="H333" s="20">
        <f>H335+H336+H334</f>
        <v>20432</v>
      </c>
      <c r="I333" s="20">
        <f>I335+I336+I334</f>
        <v>20432</v>
      </c>
    </row>
    <row r="334" spans="1:9" ht="25.5" x14ac:dyDescent="0.2">
      <c r="A334" s="30" t="s">
        <v>466</v>
      </c>
      <c r="B334" s="24" t="s">
        <v>43</v>
      </c>
      <c r="C334" s="24">
        <v>6</v>
      </c>
      <c r="D334" s="24" t="s">
        <v>542</v>
      </c>
      <c r="E334" s="24">
        <v>70050</v>
      </c>
      <c r="F334" s="27" t="s">
        <v>68</v>
      </c>
      <c r="G334" s="25">
        <f>'изменения июль вед стр-ра'!G440</f>
        <v>63.9</v>
      </c>
      <c r="H334" s="25">
        <f>'изменения июль вед стр-ра'!H440</f>
        <v>63.9</v>
      </c>
      <c r="I334" s="25">
        <f>'изменения июль вед стр-ра'!I440</f>
        <v>63.9</v>
      </c>
    </row>
    <row r="335" spans="1:9" x14ac:dyDescent="0.2">
      <c r="A335" s="28" t="s">
        <v>69</v>
      </c>
      <c r="B335" s="24" t="s">
        <v>43</v>
      </c>
      <c r="C335" s="24">
        <v>6</v>
      </c>
      <c r="D335" s="24" t="s">
        <v>542</v>
      </c>
      <c r="E335" s="24">
        <v>70050</v>
      </c>
      <c r="F335" s="24" t="s">
        <v>70</v>
      </c>
      <c r="G335" s="25">
        <f>'изменения июль вед стр-ра'!G441</f>
        <v>12703.3</v>
      </c>
      <c r="H335" s="25">
        <f>'изменения июль вед стр-ра'!H441</f>
        <v>12703.3</v>
      </c>
      <c r="I335" s="25">
        <f>'изменения июль вед стр-ра'!I441</f>
        <v>12703.3</v>
      </c>
    </row>
    <row r="336" spans="1:9" ht="25.5" x14ac:dyDescent="0.2">
      <c r="A336" s="28" t="s">
        <v>141</v>
      </c>
      <c r="B336" s="24" t="s">
        <v>43</v>
      </c>
      <c r="C336" s="24">
        <v>6</v>
      </c>
      <c r="D336" s="24" t="s">
        <v>542</v>
      </c>
      <c r="E336" s="24">
        <v>70050</v>
      </c>
      <c r="F336" s="24" t="s">
        <v>65</v>
      </c>
      <c r="G336" s="25">
        <f>'изменения июль вед стр-ра'!G345</f>
        <v>7664.8</v>
      </c>
      <c r="H336" s="25">
        <f>'изменения июль вед стр-ра'!H345</f>
        <v>7664.8</v>
      </c>
      <c r="I336" s="25">
        <f>'изменения июль вед стр-ра'!I345</f>
        <v>7664.8</v>
      </c>
    </row>
    <row r="337" spans="1:9" s="79" customFormat="1" ht="51" x14ac:dyDescent="0.2">
      <c r="A337" s="75" t="s">
        <v>274</v>
      </c>
      <c r="B337" s="77" t="s">
        <v>43</v>
      </c>
      <c r="C337" s="77">
        <v>6</v>
      </c>
      <c r="D337" s="77" t="s">
        <v>542</v>
      </c>
      <c r="E337" s="77">
        <v>80010</v>
      </c>
      <c r="F337" s="77"/>
      <c r="G337" s="78">
        <f>G339+G338</f>
        <v>9129</v>
      </c>
      <c r="H337" s="78">
        <f>H339+H338</f>
        <v>9129</v>
      </c>
      <c r="I337" s="78">
        <f>I339+I338</f>
        <v>9129</v>
      </c>
    </row>
    <row r="338" spans="1:9" s="79" customFormat="1" ht="25.5" x14ac:dyDescent="0.2">
      <c r="A338" s="80" t="s">
        <v>466</v>
      </c>
      <c r="B338" s="82" t="s">
        <v>43</v>
      </c>
      <c r="C338" s="82">
        <v>6</v>
      </c>
      <c r="D338" s="82" t="s">
        <v>542</v>
      </c>
      <c r="E338" s="82">
        <v>80010</v>
      </c>
      <c r="F338" s="83" t="s">
        <v>68</v>
      </c>
      <c r="G338" s="62">
        <f>'изменения июль вед стр-ра'!G443</f>
        <v>3.3</v>
      </c>
      <c r="H338" s="62">
        <f>'изменения июль вед стр-ра'!H443</f>
        <v>3.3</v>
      </c>
      <c r="I338" s="62">
        <f>'изменения июль вед стр-ра'!I443</f>
        <v>3.3</v>
      </c>
    </row>
    <row r="339" spans="1:9" s="79" customFormat="1" x14ac:dyDescent="0.2">
      <c r="A339" s="87" t="s">
        <v>69</v>
      </c>
      <c r="B339" s="82" t="s">
        <v>43</v>
      </c>
      <c r="C339" s="82">
        <v>6</v>
      </c>
      <c r="D339" s="82" t="s">
        <v>542</v>
      </c>
      <c r="E339" s="82">
        <v>80010</v>
      </c>
      <c r="F339" s="82" t="s">
        <v>70</v>
      </c>
      <c r="G339" s="62">
        <f>'изменения июль вед стр-ра'!G444</f>
        <v>9125.7000000000007</v>
      </c>
      <c r="H339" s="62">
        <f>'изменения июль вед стр-ра'!H444</f>
        <v>9125.7000000000007</v>
      </c>
      <c r="I339" s="62">
        <f>'изменения июль вед стр-ра'!I444</f>
        <v>9125.7000000000007</v>
      </c>
    </row>
    <row r="340" spans="1:9" ht="38.25" x14ac:dyDescent="0.2">
      <c r="A340" s="18" t="s">
        <v>268</v>
      </c>
      <c r="B340" s="19" t="s">
        <v>43</v>
      </c>
      <c r="C340" s="19">
        <v>6</v>
      </c>
      <c r="D340" s="19" t="s">
        <v>463</v>
      </c>
      <c r="E340" s="19">
        <v>51370</v>
      </c>
      <c r="F340" s="19"/>
      <c r="G340" s="20">
        <f>G342+G341</f>
        <v>469.7</v>
      </c>
      <c r="H340" s="20">
        <f>H342+H341</f>
        <v>548.90000000000009</v>
      </c>
      <c r="I340" s="20">
        <f>I342+I341</f>
        <v>582.69999999999993</v>
      </c>
    </row>
    <row r="341" spans="1:9" ht="25.5" x14ac:dyDescent="0.2">
      <c r="A341" s="30" t="s">
        <v>466</v>
      </c>
      <c r="B341" s="24" t="s">
        <v>43</v>
      </c>
      <c r="C341" s="24">
        <v>6</v>
      </c>
      <c r="D341" s="24" t="s">
        <v>463</v>
      </c>
      <c r="E341" s="24">
        <v>51370</v>
      </c>
      <c r="F341" s="27" t="s">
        <v>68</v>
      </c>
      <c r="G341" s="25">
        <f>'изменения июль вед стр-ра'!G446</f>
        <v>2.5</v>
      </c>
      <c r="H341" s="25">
        <f>'изменения июль вед стр-ра'!H446</f>
        <v>2.7</v>
      </c>
      <c r="I341" s="25">
        <f>'изменения июль вед стр-ра'!I446</f>
        <v>2.9</v>
      </c>
    </row>
    <row r="342" spans="1:9" s="79" customFormat="1" x14ac:dyDescent="0.2">
      <c r="A342" s="87" t="s">
        <v>69</v>
      </c>
      <c r="B342" s="82" t="s">
        <v>43</v>
      </c>
      <c r="C342" s="82">
        <v>6</v>
      </c>
      <c r="D342" s="82" t="s">
        <v>463</v>
      </c>
      <c r="E342" s="82">
        <v>51370</v>
      </c>
      <c r="F342" s="82" t="s">
        <v>70</v>
      </c>
      <c r="G342" s="25">
        <f>'изменения июль вед стр-ра'!G447</f>
        <v>467.2</v>
      </c>
      <c r="H342" s="25">
        <f>'изменения июль вед стр-ра'!H447</f>
        <v>546.20000000000005</v>
      </c>
      <c r="I342" s="25">
        <f>'изменения июль вед стр-ра'!I447</f>
        <v>579.79999999999995</v>
      </c>
    </row>
    <row r="343" spans="1:9" s="79" customFormat="1" ht="38.25" x14ac:dyDescent="0.2">
      <c r="A343" s="75" t="s">
        <v>269</v>
      </c>
      <c r="B343" s="77" t="s">
        <v>43</v>
      </c>
      <c r="C343" s="77">
        <v>6</v>
      </c>
      <c r="D343" s="77" t="s">
        <v>463</v>
      </c>
      <c r="E343" s="77">
        <v>52200</v>
      </c>
      <c r="F343" s="77"/>
      <c r="G343" s="78">
        <f>G345+G344</f>
        <v>9410.2392699999982</v>
      </c>
      <c r="H343" s="78">
        <f>H345+H344</f>
        <v>9084</v>
      </c>
      <c r="I343" s="78">
        <f>I345+I344</f>
        <v>9447</v>
      </c>
    </row>
    <row r="344" spans="1:9" s="79" customFormat="1" ht="25.5" x14ac:dyDescent="0.2">
      <c r="A344" s="80" t="s">
        <v>466</v>
      </c>
      <c r="B344" s="82" t="s">
        <v>43</v>
      </c>
      <c r="C344" s="82">
        <v>6</v>
      </c>
      <c r="D344" s="82" t="s">
        <v>463</v>
      </c>
      <c r="E344" s="82">
        <v>52200</v>
      </c>
      <c r="F344" s="83" t="s">
        <v>68</v>
      </c>
      <c r="G344" s="62">
        <f>'изменения июль вед стр-ра'!G449</f>
        <v>46.183709999999998</v>
      </c>
      <c r="H344" s="62">
        <f>'изменения июль вед стр-ра'!H449</f>
        <v>45.4</v>
      </c>
      <c r="I344" s="62">
        <f>'изменения июль вед стр-ра'!I449</f>
        <v>47.2</v>
      </c>
    </row>
    <row r="345" spans="1:9" s="79" customFormat="1" x14ac:dyDescent="0.2">
      <c r="A345" s="87" t="s">
        <v>69</v>
      </c>
      <c r="B345" s="82" t="s">
        <v>43</v>
      </c>
      <c r="C345" s="82">
        <v>6</v>
      </c>
      <c r="D345" s="82" t="s">
        <v>463</v>
      </c>
      <c r="E345" s="82">
        <v>52200</v>
      </c>
      <c r="F345" s="82" t="s">
        <v>70</v>
      </c>
      <c r="G345" s="62">
        <f>'изменения июль вед стр-ра'!G450</f>
        <v>9364.0555599999989</v>
      </c>
      <c r="H345" s="62">
        <f>'изменения июль вед стр-ра'!H450</f>
        <v>9038.6</v>
      </c>
      <c r="I345" s="62">
        <f>'изменения июль вед стр-ра'!I450</f>
        <v>9399.7999999999993</v>
      </c>
    </row>
    <row r="346" spans="1:9" ht="25.5" x14ac:dyDescent="0.2">
      <c r="A346" s="18" t="s">
        <v>270</v>
      </c>
      <c r="B346" s="19" t="s">
        <v>43</v>
      </c>
      <c r="C346" s="19">
        <v>6</v>
      </c>
      <c r="D346" s="19" t="s">
        <v>463</v>
      </c>
      <c r="E346" s="19">
        <v>52500</v>
      </c>
      <c r="F346" s="19"/>
      <c r="G346" s="20">
        <f>G348+G347</f>
        <v>53744</v>
      </c>
      <c r="H346" s="20">
        <f>H348+H347</f>
        <v>53744</v>
      </c>
      <c r="I346" s="20">
        <f>I348+I347</f>
        <v>53744</v>
      </c>
    </row>
    <row r="347" spans="1:9" ht="25.5" x14ac:dyDescent="0.2">
      <c r="A347" s="30" t="s">
        <v>466</v>
      </c>
      <c r="B347" s="24" t="s">
        <v>43</v>
      </c>
      <c r="C347" s="24">
        <v>6</v>
      </c>
      <c r="D347" s="24" t="s">
        <v>463</v>
      </c>
      <c r="E347" s="24">
        <v>52500</v>
      </c>
      <c r="F347" s="27" t="s">
        <v>68</v>
      </c>
      <c r="G347" s="25">
        <f>'изменения июль вед стр-ра'!G452</f>
        <v>711</v>
      </c>
      <c r="H347" s="25">
        <f>'изменения июль вед стр-ра'!H452</f>
        <v>711</v>
      </c>
      <c r="I347" s="25">
        <f>'изменения июль вед стр-ра'!I452</f>
        <v>711</v>
      </c>
    </row>
    <row r="348" spans="1:9" x14ac:dyDescent="0.2">
      <c r="A348" s="28" t="s">
        <v>69</v>
      </c>
      <c r="B348" s="24" t="s">
        <v>43</v>
      </c>
      <c r="C348" s="24">
        <v>6</v>
      </c>
      <c r="D348" s="24" t="s">
        <v>463</v>
      </c>
      <c r="E348" s="24">
        <v>52500</v>
      </c>
      <c r="F348" s="24" t="s">
        <v>70</v>
      </c>
      <c r="G348" s="25">
        <f>'изменения июль вед стр-ра'!G453</f>
        <v>53033</v>
      </c>
      <c r="H348" s="25">
        <f>'изменения июль вед стр-ра'!H453</f>
        <v>53033</v>
      </c>
      <c r="I348" s="25">
        <f>'изменения июль вед стр-ра'!I453</f>
        <v>53033</v>
      </c>
    </row>
    <row r="349" spans="1:9" ht="76.5" x14ac:dyDescent="0.2">
      <c r="A349" s="18" t="s">
        <v>278</v>
      </c>
      <c r="B349" s="19" t="s">
        <v>43</v>
      </c>
      <c r="C349" s="19">
        <v>6</v>
      </c>
      <c r="D349" s="19" t="s">
        <v>463</v>
      </c>
      <c r="E349" s="19">
        <v>52700</v>
      </c>
      <c r="F349" s="19"/>
      <c r="G349" s="20">
        <f>G350</f>
        <v>749</v>
      </c>
      <c r="H349" s="20">
        <f>H350</f>
        <v>309</v>
      </c>
      <c r="I349" s="20">
        <f>I350</f>
        <v>321</v>
      </c>
    </row>
    <row r="350" spans="1:9" s="79" customFormat="1" x14ac:dyDescent="0.2">
      <c r="A350" s="87" t="s">
        <v>69</v>
      </c>
      <c r="B350" s="82" t="s">
        <v>43</v>
      </c>
      <c r="C350" s="82">
        <v>6</v>
      </c>
      <c r="D350" s="82" t="s">
        <v>463</v>
      </c>
      <c r="E350" s="82">
        <v>52700</v>
      </c>
      <c r="F350" s="82" t="s">
        <v>70</v>
      </c>
      <c r="G350" s="62">
        <f>'изменения июль вед стр-ра'!G506</f>
        <v>749</v>
      </c>
      <c r="H350" s="62">
        <f>'изменения июль вед стр-ра'!H506</f>
        <v>309</v>
      </c>
      <c r="I350" s="62">
        <f>'изменения июль вед стр-ра'!I506</f>
        <v>321</v>
      </c>
    </row>
    <row r="351" spans="1:9" ht="76.5" x14ac:dyDescent="0.2">
      <c r="A351" s="18" t="s">
        <v>271</v>
      </c>
      <c r="B351" s="19" t="s">
        <v>43</v>
      </c>
      <c r="C351" s="19">
        <v>6</v>
      </c>
      <c r="D351" s="19" t="s">
        <v>463</v>
      </c>
      <c r="E351" s="19">
        <v>52800</v>
      </c>
      <c r="F351" s="19"/>
      <c r="G351" s="20">
        <f>G352+G353</f>
        <v>1.0000000000000004</v>
      </c>
      <c r="H351" s="20">
        <f>H352+H353</f>
        <v>6</v>
      </c>
      <c r="I351" s="20">
        <f>I352+I353</f>
        <v>6</v>
      </c>
    </row>
    <row r="352" spans="1:9" s="79" customFormat="1" ht="25.5" x14ac:dyDescent="0.2">
      <c r="A352" s="80" t="s">
        <v>466</v>
      </c>
      <c r="B352" s="82" t="s">
        <v>43</v>
      </c>
      <c r="C352" s="82">
        <v>6</v>
      </c>
      <c r="D352" s="82" t="s">
        <v>463</v>
      </c>
      <c r="E352" s="82">
        <v>52800</v>
      </c>
      <c r="F352" s="83" t="s">
        <v>68</v>
      </c>
      <c r="G352" s="62">
        <f>'изменения июль вед стр-ра'!G455</f>
        <v>0.1</v>
      </c>
      <c r="H352" s="62">
        <f>'изменения июль вед стр-ра'!H455</f>
        <v>0.1</v>
      </c>
      <c r="I352" s="62">
        <f>'изменения июль вед стр-ра'!I455</f>
        <v>0.1</v>
      </c>
    </row>
    <row r="353" spans="1:9" s="79" customFormat="1" x14ac:dyDescent="0.2">
      <c r="A353" s="87" t="s">
        <v>69</v>
      </c>
      <c r="B353" s="82" t="s">
        <v>43</v>
      </c>
      <c r="C353" s="82">
        <v>6</v>
      </c>
      <c r="D353" s="82" t="s">
        <v>463</v>
      </c>
      <c r="E353" s="82">
        <v>52800</v>
      </c>
      <c r="F353" s="82" t="s">
        <v>70</v>
      </c>
      <c r="G353" s="62">
        <f>'изменения июль вед стр-ра'!G456</f>
        <v>0.90000000000000036</v>
      </c>
      <c r="H353" s="62">
        <f>'изменения июль вед стр-ра'!H456</f>
        <v>5.9</v>
      </c>
      <c r="I353" s="62">
        <f>'изменения июль вед стр-ра'!I456</f>
        <v>5.9</v>
      </c>
    </row>
    <row r="354" spans="1:9" ht="89.25" x14ac:dyDescent="0.2">
      <c r="A354" s="18" t="s">
        <v>279</v>
      </c>
      <c r="B354" s="19" t="s">
        <v>43</v>
      </c>
      <c r="C354" s="19">
        <v>6</v>
      </c>
      <c r="D354" s="19" t="s">
        <v>463</v>
      </c>
      <c r="E354" s="19">
        <v>53800</v>
      </c>
      <c r="F354" s="19"/>
      <c r="G354" s="20">
        <f>G356+G355</f>
        <v>52961</v>
      </c>
      <c r="H354" s="20">
        <f>H356+H355</f>
        <v>58103</v>
      </c>
      <c r="I354" s="20">
        <f>I356+I355</f>
        <v>60334</v>
      </c>
    </row>
    <row r="355" spans="1:9" ht="25.5" x14ac:dyDescent="0.2">
      <c r="A355" s="30" t="s">
        <v>466</v>
      </c>
      <c r="B355" s="19" t="s">
        <v>43</v>
      </c>
      <c r="C355" s="19">
        <v>6</v>
      </c>
      <c r="D355" s="19" t="s">
        <v>463</v>
      </c>
      <c r="E355" s="19">
        <v>53800</v>
      </c>
      <c r="F355" s="27" t="s">
        <v>68</v>
      </c>
      <c r="G355" s="25">
        <f>'изменения июль вед стр-ра'!G508</f>
        <v>1</v>
      </c>
      <c r="H355" s="25">
        <f>'изменения июль вед стр-ра'!H508</f>
        <v>1</v>
      </c>
      <c r="I355" s="25">
        <f>'изменения июль вед стр-ра'!I508</f>
        <v>1</v>
      </c>
    </row>
    <row r="356" spans="1:9" s="79" customFormat="1" x14ac:dyDescent="0.2">
      <c r="A356" s="87" t="s">
        <v>69</v>
      </c>
      <c r="B356" s="77" t="s">
        <v>43</v>
      </c>
      <c r="C356" s="77">
        <v>6</v>
      </c>
      <c r="D356" s="77" t="s">
        <v>463</v>
      </c>
      <c r="E356" s="77">
        <v>53800</v>
      </c>
      <c r="F356" s="82" t="s">
        <v>70</v>
      </c>
      <c r="G356" s="25">
        <f>'изменения июль вед стр-ра'!G509</f>
        <v>52960</v>
      </c>
      <c r="H356" s="25">
        <f>'изменения июль вед стр-ра'!H509</f>
        <v>58102</v>
      </c>
      <c r="I356" s="25">
        <f>'изменения июль вед стр-ра'!I509</f>
        <v>60333</v>
      </c>
    </row>
    <row r="357" spans="1:9" ht="63.75" x14ac:dyDescent="0.2">
      <c r="A357" s="18" t="s">
        <v>180</v>
      </c>
      <c r="B357" s="19" t="s">
        <v>43</v>
      </c>
      <c r="C357" s="19">
        <v>6</v>
      </c>
      <c r="D357" s="19" t="s">
        <v>463</v>
      </c>
      <c r="E357" s="19">
        <v>70010</v>
      </c>
      <c r="F357" s="19"/>
      <c r="G357" s="20">
        <f>G359+G358</f>
        <v>26410</v>
      </c>
      <c r="H357" s="20">
        <f>H359+H358</f>
        <v>26410</v>
      </c>
      <c r="I357" s="20">
        <f>I359+I358</f>
        <v>26410</v>
      </c>
    </row>
    <row r="358" spans="1:9" s="9" customFormat="1" ht="25.5" x14ac:dyDescent="0.2">
      <c r="A358" s="30" t="s">
        <v>466</v>
      </c>
      <c r="B358" s="24" t="s">
        <v>43</v>
      </c>
      <c r="C358" s="24">
        <v>6</v>
      </c>
      <c r="D358" s="24" t="s">
        <v>463</v>
      </c>
      <c r="E358" s="24">
        <v>70010</v>
      </c>
      <c r="F358" s="27" t="s">
        <v>68</v>
      </c>
      <c r="G358" s="25">
        <f>'изменения июль вед стр-ра'!G458</f>
        <v>260.3</v>
      </c>
      <c r="H358" s="25">
        <f>'изменения июль вед стр-ра'!H458</f>
        <v>260.3</v>
      </c>
      <c r="I358" s="25">
        <f>'изменения июль вед стр-ра'!I458</f>
        <v>260.3</v>
      </c>
    </row>
    <row r="359" spans="1:9" x14ac:dyDescent="0.2">
      <c r="A359" s="28" t="s">
        <v>69</v>
      </c>
      <c r="B359" s="24" t="s">
        <v>43</v>
      </c>
      <c r="C359" s="24">
        <v>6</v>
      </c>
      <c r="D359" s="24" t="s">
        <v>463</v>
      </c>
      <c r="E359" s="24">
        <v>70010</v>
      </c>
      <c r="F359" s="24" t="s">
        <v>70</v>
      </c>
      <c r="G359" s="25">
        <f>'изменения июль вед стр-ра'!G459</f>
        <v>26149.7</v>
      </c>
      <c r="H359" s="25">
        <f>'изменения июль вед стр-ра'!H459</f>
        <v>26149.7</v>
      </c>
      <c r="I359" s="25">
        <f>'изменения июль вед стр-ра'!I459</f>
        <v>26149.7</v>
      </c>
    </row>
    <row r="360" spans="1:9" ht="127.5" x14ac:dyDescent="0.2">
      <c r="A360" s="18" t="s">
        <v>332</v>
      </c>
      <c r="B360" s="19" t="s">
        <v>43</v>
      </c>
      <c r="C360" s="19">
        <v>6</v>
      </c>
      <c r="D360" s="19" t="s">
        <v>463</v>
      </c>
      <c r="E360" s="19">
        <v>70020</v>
      </c>
      <c r="F360" s="19"/>
      <c r="G360" s="20">
        <f>G362+G361</f>
        <v>1523</v>
      </c>
      <c r="H360" s="20">
        <f>H362+H361</f>
        <v>1523</v>
      </c>
      <c r="I360" s="20">
        <f>I362+I361</f>
        <v>1523</v>
      </c>
    </row>
    <row r="361" spans="1:9" ht="25.5" x14ac:dyDescent="0.2">
      <c r="A361" s="30" t="s">
        <v>466</v>
      </c>
      <c r="B361" s="24" t="s">
        <v>43</v>
      </c>
      <c r="C361" s="24">
        <v>6</v>
      </c>
      <c r="D361" s="24" t="s">
        <v>463</v>
      </c>
      <c r="E361" s="24">
        <v>70020</v>
      </c>
      <c r="F361" s="27" t="s">
        <v>68</v>
      </c>
      <c r="G361" s="25">
        <f>'изменения июль вед стр-ра'!G461</f>
        <v>29.6</v>
      </c>
      <c r="H361" s="25">
        <f>'изменения июль вед стр-ра'!H461</f>
        <v>29.6</v>
      </c>
      <c r="I361" s="25">
        <f>'изменения июль вед стр-ра'!I461</f>
        <v>29.6</v>
      </c>
    </row>
    <row r="362" spans="1:9" s="79" customFormat="1" x14ac:dyDescent="0.2">
      <c r="A362" s="87" t="s">
        <v>69</v>
      </c>
      <c r="B362" s="82" t="s">
        <v>43</v>
      </c>
      <c r="C362" s="82">
        <v>6</v>
      </c>
      <c r="D362" s="82" t="s">
        <v>463</v>
      </c>
      <c r="E362" s="82">
        <v>70020</v>
      </c>
      <c r="F362" s="82" t="s">
        <v>70</v>
      </c>
      <c r="G362" s="25">
        <f>'изменения июль вед стр-ра'!G462</f>
        <v>1493.4</v>
      </c>
      <c r="H362" s="25">
        <f>'изменения июль вед стр-ра'!H462</f>
        <v>1493.4</v>
      </c>
      <c r="I362" s="25">
        <f>'изменения июль вед стр-ра'!I462</f>
        <v>1493.4</v>
      </c>
    </row>
    <row r="363" spans="1:9" ht="63" customHeight="1" x14ac:dyDescent="0.2">
      <c r="A363" s="18" t="s">
        <v>456</v>
      </c>
      <c r="B363" s="19" t="s">
        <v>43</v>
      </c>
      <c r="C363" s="19">
        <v>6</v>
      </c>
      <c r="D363" s="19" t="s">
        <v>463</v>
      </c>
      <c r="E363" s="19">
        <v>70030</v>
      </c>
      <c r="F363" s="19"/>
      <c r="G363" s="62">
        <f>G364+G365</f>
        <v>8604</v>
      </c>
      <c r="H363" s="62">
        <f>H364+H365</f>
        <v>8604</v>
      </c>
      <c r="I363" s="62">
        <f>I364+I365</f>
        <v>8604</v>
      </c>
    </row>
    <row r="364" spans="1:9" ht="25.5" x14ac:dyDescent="0.2">
      <c r="A364" s="30" t="s">
        <v>466</v>
      </c>
      <c r="B364" s="24" t="s">
        <v>43</v>
      </c>
      <c r="C364" s="24">
        <v>6</v>
      </c>
      <c r="D364" s="24" t="s">
        <v>463</v>
      </c>
      <c r="E364" s="24">
        <v>70030</v>
      </c>
      <c r="F364" s="27" t="s">
        <v>68</v>
      </c>
      <c r="G364" s="25">
        <f>'изменения июль вед стр-ра'!G464</f>
        <v>107.3</v>
      </c>
      <c r="H364" s="25">
        <f>'изменения июль вед стр-ра'!H464</f>
        <v>107.3</v>
      </c>
      <c r="I364" s="25">
        <f>'изменения июль вед стр-ра'!I464</f>
        <v>107.3</v>
      </c>
    </row>
    <row r="365" spans="1:9" s="79" customFormat="1" x14ac:dyDescent="0.2">
      <c r="A365" s="87" t="s">
        <v>69</v>
      </c>
      <c r="B365" s="82" t="s">
        <v>43</v>
      </c>
      <c r="C365" s="82">
        <v>6</v>
      </c>
      <c r="D365" s="82" t="s">
        <v>463</v>
      </c>
      <c r="E365" s="82">
        <v>70030</v>
      </c>
      <c r="F365" s="82" t="s">
        <v>70</v>
      </c>
      <c r="G365" s="25">
        <f>'изменения июль вед стр-ра'!G465</f>
        <v>8496.7000000000007</v>
      </c>
      <c r="H365" s="25">
        <f>'изменения июль вед стр-ра'!H465</f>
        <v>8496.7000000000007</v>
      </c>
      <c r="I365" s="25">
        <f>'изменения июль вед стр-ра'!I465</f>
        <v>8496.7000000000007</v>
      </c>
    </row>
    <row r="366" spans="1:9" ht="51" x14ac:dyDescent="0.2">
      <c r="A366" s="18" t="s">
        <v>182</v>
      </c>
      <c r="B366" s="19" t="s">
        <v>43</v>
      </c>
      <c r="C366" s="19">
        <v>6</v>
      </c>
      <c r="D366" s="19" t="s">
        <v>463</v>
      </c>
      <c r="E366" s="19">
        <v>70060</v>
      </c>
      <c r="F366" s="19"/>
      <c r="G366" s="20">
        <f>G368+G367</f>
        <v>527.6</v>
      </c>
      <c r="H366" s="20">
        <f>H368+H367</f>
        <v>502.59999999999997</v>
      </c>
      <c r="I366" s="20">
        <f>I368+I367</f>
        <v>502.59999999999997</v>
      </c>
    </row>
    <row r="367" spans="1:9" ht="25.5" x14ac:dyDescent="0.2">
      <c r="A367" s="30" t="s">
        <v>466</v>
      </c>
      <c r="B367" s="24" t="s">
        <v>43</v>
      </c>
      <c r="C367" s="24">
        <v>6</v>
      </c>
      <c r="D367" s="24" t="s">
        <v>463</v>
      </c>
      <c r="E367" s="24">
        <v>70060</v>
      </c>
      <c r="F367" s="27" t="s">
        <v>68</v>
      </c>
      <c r="G367" s="25">
        <f>'изменения июль вед стр-ра'!G467</f>
        <v>5.4</v>
      </c>
      <c r="H367" s="25">
        <f>'изменения июль вед стр-ра'!H467</f>
        <v>4.9000000000000004</v>
      </c>
      <c r="I367" s="25">
        <f>'изменения июль вед стр-ра'!I467</f>
        <v>4.9000000000000004</v>
      </c>
    </row>
    <row r="368" spans="1:9" x14ac:dyDescent="0.2">
      <c r="A368" s="28" t="s">
        <v>69</v>
      </c>
      <c r="B368" s="24" t="s">
        <v>43</v>
      </c>
      <c r="C368" s="24">
        <v>6</v>
      </c>
      <c r="D368" s="24" t="s">
        <v>463</v>
      </c>
      <c r="E368" s="24">
        <v>70060</v>
      </c>
      <c r="F368" s="24" t="s">
        <v>70</v>
      </c>
      <c r="G368" s="25">
        <f>'изменения июль вед стр-ра'!G468</f>
        <v>522.20000000000005</v>
      </c>
      <c r="H368" s="25">
        <f>'изменения июль вед стр-ра'!H468</f>
        <v>497.7</v>
      </c>
      <c r="I368" s="25">
        <f>'изменения июль вед стр-ра'!I468</f>
        <v>497.7</v>
      </c>
    </row>
    <row r="369" spans="1:9" ht="51" x14ac:dyDescent="0.2">
      <c r="A369" s="18" t="s">
        <v>333</v>
      </c>
      <c r="B369" s="19" t="s">
        <v>43</v>
      </c>
      <c r="C369" s="19">
        <v>6</v>
      </c>
      <c r="D369" s="19" t="s">
        <v>463</v>
      </c>
      <c r="E369" s="19">
        <v>70070</v>
      </c>
      <c r="F369" s="19"/>
      <c r="G369" s="20">
        <f>G371+G370</f>
        <v>9.9</v>
      </c>
      <c r="H369" s="20">
        <f>H371+H370</f>
        <v>9.9</v>
      </c>
      <c r="I369" s="20">
        <f>I371+I370</f>
        <v>9.9</v>
      </c>
    </row>
    <row r="370" spans="1:9" ht="25.5" x14ac:dyDescent="0.2">
      <c r="A370" s="30" t="s">
        <v>466</v>
      </c>
      <c r="B370" s="24" t="s">
        <v>43</v>
      </c>
      <c r="C370" s="24">
        <v>6</v>
      </c>
      <c r="D370" s="24" t="s">
        <v>463</v>
      </c>
      <c r="E370" s="24">
        <v>70070</v>
      </c>
      <c r="F370" s="27" t="s">
        <v>68</v>
      </c>
      <c r="G370" s="25">
        <f>'изменения июль вед стр-ра'!G470</f>
        <v>0.1</v>
      </c>
      <c r="H370" s="25">
        <f>'изменения июль вед стр-ра'!H470</f>
        <v>0.1</v>
      </c>
      <c r="I370" s="25">
        <f>'изменения июль вед стр-ра'!I470</f>
        <v>0.1</v>
      </c>
    </row>
    <row r="371" spans="1:9" x14ac:dyDescent="0.2">
      <c r="A371" s="28" t="s">
        <v>69</v>
      </c>
      <c r="B371" s="24" t="s">
        <v>43</v>
      </c>
      <c r="C371" s="24">
        <v>6</v>
      </c>
      <c r="D371" s="24" t="s">
        <v>463</v>
      </c>
      <c r="E371" s="24">
        <v>70070</v>
      </c>
      <c r="F371" s="24" t="s">
        <v>70</v>
      </c>
      <c r="G371" s="25">
        <f>'изменения июль вед стр-ра'!G471</f>
        <v>9.8000000000000007</v>
      </c>
      <c r="H371" s="25">
        <f>'изменения июль вед стр-ра'!H471</f>
        <v>9.8000000000000007</v>
      </c>
      <c r="I371" s="25">
        <f>'изменения июль вед стр-ра'!I471</f>
        <v>9.8000000000000007</v>
      </c>
    </row>
    <row r="372" spans="1:9" ht="51" x14ac:dyDescent="0.2">
      <c r="A372" s="18" t="s">
        <v>183</v>
      </c>
      <c r="B372" s="19" t="s">
        <v>43</v>
      </c>
      <c r="C372" s="19">
        <v>6</v>
      </c>
      <c r="D372" s="19" t="s">
        <v>463</v>
      </c>
      <c r="E372" s="19">
        <v>70080</v>
      </c>
      <c r="F372" s="19"/>
      <c r="G372" s="20">
        <f>G374+G373</f>
        <v>409.9</v>
      </c>
      <c r="H372" s="20">
        <f>H374+H373</f>
        <v>409.9</v>
      </c>
      <c r="I372" s="20">
        <f>I374+I373</f>
        <v>409.9</v>
      </c>
    </row>
    <row r="373" spans="1:9" ht="25.5" x14ac:dyDescent="0.2">
      <c r="A373" s="30" t="s">
        <v>466</v>
      </c>
      <c r="B373" s="24" t="s">
        <v>43</v>
      </c>
      <c r="C373" s="24">
        <v>6</v>
      </c>
      <c r="D373" s="24" t="s">
        <v>463</v>
      </c>
      <c r="E373" s="24">
        <v>70080</v>
      </c>
      <c r="F373" s="27" t="s">
        <v>68</v>
      </c>
      <c r="G373" s="25">
        <f>'изменения июль вед стр-ра'!G473</f>
        <v>5.5</v>
      </c>
      <c r="H373" s="25">
        <f>'изменения июль вед стр-ра'!H473</f>
        <v>5.5</v>
      </c>
      <c r="I373" s="25">
        <f>'изменения июль вед стр-ра'!I473</f>
        <v>5.5</v>
      </c>
    </row>
    <row r="374" spans="1:9" s="79" customFormat="1" x14ac:dyDescent="0.2">
      <c r="A374" s="87" t="s">
        <v>69</v>
      </c>
      <c r="B374" s="82" t="s">
        <v>43</v>
      </c>
      <c r="C374" s="82">
        <v>6</v>
      </c>
      <c r="D374" s="82" t="s">
        <v>463</v>
      </c>
      <c r="E374" s="82">
        <v>70080</v>
      </c>
      <c r="F374" s="82" t="s">
        <v>70</v>
      </c>
      <c r="G374" s="25">
        <f>'изменения июль вед стр-ра'!G474</f>
        <v>404.4</v>
      </c>
      <c r="H374" s="25">
        <f>'изменения июль вед стр-ра'!H474</f>
        <v>404.4</v>
      </c>
      <c r="I374" s="25">
        <f>'изменения июль вед стр-ра'!I474</f>
        <v>404.4</v>
      </c>
    </row>
    <row r="375" spans="1:9" ht="25.5" x14ac:dyDescent="0.2">
      <c r="A375" s="18" t="s">
        <v>272</v>
      </c>
      <c r="B375" s="19" t="s">
        <v>43</v>
      </c>
      <c r="C375" s="19">
        <v>6</v>
      </c>
      <c r="D375" s="19" t="s">
        <v>463</v>
      </c>
      <c r="E375" s="19">
        <v>70090</v>
      </c>
      <c r="F375" s="19"/>
      <c r="G375" s="20">
        <f>G377+G376</f>
        <v>94204</v>
      </c>
      <c r="H375" s="20">
        <f>H377+H376</f>
        <v>94204</v>
      </c>
      <c r="I375" s="20">
        <f>I377+I376</f>
        <v>94204</v>
      </c>
    </row>
    <row r="376" spans="1:9" ht="25.5" x14ac:dyDescent="0.2">
      <c r="A376" s="30" t="s">
        <v>466</v>
      </c>
      <c r="B376" s="24" t="s">
        <v>43</v>
      </c>
      <c r="C376" s="24">
        <v>6</v>
      </c>
      <c r="D376" s="24" t="s">
        <v>463</v>
      </c>
      <c r="E376" s="24">
        <v>70090</v>
      </c>
      <c r="F376" s="27" t="s">
        <v>68</v>
      </c>
      <c r="G376" s="25">
        <f>'изменения июль вед стр-ра'!G476</f>
        <v>545</v>
      </c>
      <c r="H376" s="25">
        <f>'изменения июль вед стр-ра'!H476</f>
        <v>545</v>
      </c>
      <c r="I376" s="25">
        <f>'изменения июль вед стр-ра'!I476</f>
        <v>545</v>
      </c>
    </row>
    <row r="377" spans="1:9" s="79" customFormat="1" x14ac:dyDescent="0.2">
      <c r="A377" s="87" t="s">
        <v>69</v>
      </c>
      <c r="B377" s="82" t="s">
        <v>43</v>
      </c>
      <c r="C377" s="82">
        <v>6</v>
      </c>
      <c r="D377" s="82" t="s">
        <v>463</v>
      </c>
      <c r="E377" s="82">
        <v>70090</v>
      </c>
      <c r="F377" s="82" t="s">
        <v>70</v>
      </c>
      <c r="G377" s="25">
        <f>'изменения июль вед стр-ра'!G477</f>
        <v>93659</v>
      </c>
      <c r="H377" s="25">
        <f>'изменения июль вед стр-ра'!H477</f>
        <v>93659</v>
      </c>
      <c r="I377" s="25">
        <f>'изменения июль вед стр-ра'!I477</f>
        <v>93659</v>
      </c>
    </row>
    <row r="378" spans="1:9" ht="114.75" x14ac:dyDescent="0.2">
      <c r="A378" s="18" t="s">
        <v>334</v>
      </c>
      <c r="B378" s="19" t="s">
        <v>43</v>
      </c>
      <c r="C378" s="19">
        <v>6</v>
      </c>
      <c r="D378" s="19" t="s">
        <v>463</v>
      </c>
      <c r="E378" s="19">
        <v>70100</v>
      </c>
      <c r="F378" s="19"/>
      <c r="G378" s="20">
        <f>G379</f>
        <v>1.2</v>
      </c>
      <c r="H378" s="20">
        <f>H379</f>
        <v>1.2</v>
      </c>
      <c r="I378" s="20">
        <f>I379</f>
        <v>1.2</v>
      </c>
    </row>
    <row r="379" spans="1:9" x14ac:dyDescent="0.2">
      <c r="A379" s="28" t="s">
        <v>69</v>
      </c>
      <c r="B379" s="24" t="s">
        <v>43</v>
      </c>
      <c r="C379" s="24">
        <v>6</v>
      </c>
      <c r="D379" s="24" t="s">
        <v>463</v>
      </c>
      <c r="E379" s="24">
        <v>70100</v>
      </c>
      <c r="F379" s="24" t="s">
        <v>70</v>
      </c>
      <c r="G379" s="25">
        <f>'изменения июль вед стр-ра'!G479</f>
        <v>1.2</v>
      </c>
      <c r="H379" s="25">
        <f>'изменения июль вед стр-ра'!H479</f>
        <v>1.2</v>
      </c>
      <c r="I379" s="25">
        <f>'изменения июль вед стр-ра'!I479</f>
        <v>1.2</v>
      </c>
    </row>
    <row r="380" spans="1:9" ht="63" customHeight="1" x14ac:dyDescent="0.2">
      <c r="A380" s="18" t="s">
        <v>273</v>
      </c>
      <c r="B380" s="19" t="s">
        <v>43</v>
      </c>
      <c r="C380" s="19">
        <v>6</v>
      </c>
      <c r="D380" s="19" t="s">
        <v>463</v>
      </c>
      <c r="E380" s="19">
        <v>70190</v>
      </c>
      <c r="F380" s="19"/>
      <c r="G380" s="20">
        <f>G381</f>
        <v>32</v>
      </c>
      <c r="H380" s="20">
        <f>H381</f>
        <v>32</v>
      </c>
      <c r="I380" s="20">
        <f>I381</f>
        <v>32</v>
      </c>
    </row>
    <row r="381" spans="1:9" s="79" customFormat="1" ht="51" x14ac:dyDescent="0.2">
      <c r="A381" s="80" t="s">
        <v>66</v>
      </c>
      <c r="B381" s="82" t="s">
        <v>43</v>
      </c>
      <c r="C381" s="82">
        <v>6</v>
      </c>
      <c r="D381" s="82" t="s">
        <v>463</v>
      </c>
      <c r="E381" s="82">
        <v>70190</v>
      </c>
      <c r="F381" s="82" t="s">
        <v>67</v>
      </c>
      <c r="G381" s="62">
        <f>'изменения июль вед стр-ра'!G437</f>
        <v>32</v>
      </c>
      <c r="H381" s="62">
        <f>'изменения июль вед стр-ра'!H437</f>
        <v>32</v>
      </c>
      <c r="I381" s="62">
        <f>'изменения июль вед стр-ра'!I437</f>
        <v>32</v>
      </c>
    </row>
    <row r="382" spans="1:9" s="79" customFormat="1" ht="38.25" x14ac:dyDescent="0.2">
      <c r="A382" s="75" t="s">
        <v>335</v>
      </c>
      <c r="B382" s="77" t="s">
        <v>43</v>
      </c>
      <c r="C382" s="77">
        <v>6</v>
      </c>
      <c r="D382" s="77" t="s">
        <v>463</v>
      </c>
      <c r="E382" s="77">
        <v>80040</v>
      </c>
      <c r="F382" s="77"/>
      <c r="G382" s="78">
        <f>G384+G383</f>
        <v>19480</v>
      </c>
      <c r="H382" s="78">
        <f>H384+H383</f>
        <v>19730</v>
      </c>
      <c r="I382" s="78">
        <f>I384+I383</f>
        <v>19730</v>
      </c>
    </row>
    <row r="383" spans="1:9" ht="25.5" x14ac:dyDescent="0.2">
      <c r="A383" s="30" t="s">
        <v>466</v>
      </c>
      <c r="B383" s="24" t="s">
        <v>43</v>
      </c>
      <c r="C383" s="24">
        <v>6</v>
      </c>
      <c r="D383" s="24" t="s">
        <v>463</v>
      </c>
      <c r="E383" s="24">
        <v>80040</v>
      </c>
      <c r="F383" s="27" t="s">
        <v>68</v>
      </c>
      <c r="G383" s="25">
        <f>'изменения июль вед стр-ра'!G481</f>
        <v>287</v>
      </c>
      <c r="H383" s="25">
        <f>'изменения июль вед стр-ра'!H481</f>
        <v>287</v>
      </c>
      <c r="I383" s="25">
        <f>'изменения июль вед стр-ра'!I481</f>
        <v>287</v>
      </c>
    </row>
    <row r="384" spans="1:9" s="79" customFormat="1" x14ac:dyDescent="0.2">
      <c r="A384" s="87" t="s">
        <v>69</v>
      </c>
      <c r="B384" s="82" t="s">
        <v>43</v>
      </c>
      <c r="C384" s="82">
        <v>6</v>
      </c>
      <c r="D384" s="82" t="s">
        <v>463</v>
      </c>
      <c r="E384" s="82">
        <v>80040</v>
      </c>
      <c r="F384" s="82" t="s">
        <v>70</v>
      </c>
      <c r="G384" s="25">
        <f>'изменения июль вед стр-ра'!G482</f>
        <v>19193</v>
      </c>
      <c r="H384" s="25">
        <f>'изменения июль вед стр-ра'!H482</f>
        <v>19443</v>
      </c>
      <c r="I384" s="25">
        <f>'изменения июль вед стр-ра'!I482</f>
        <v>19443</v>
      </c>
    </row>
    <row r="385" spans="1:9" ht="38.25" x14ac:dyDescent="0.2">
      <c r="A385" s="18" t="s">
        <v>336</v>
      </c>
      <c r="B385" s="19" t="s">
        <v>43</v>
      </c>
      <c r="C385" s="19">
        <v>6</v>
      </c>
      <c r="D385" s="19" t="s">
        <v>463</v>
      </c>
      <c r="E385" s="19">
        <v>80050</v>
      </c>
      <c r="F385" s="19"/>
      <c r="G385" s="20">
        <f>G387+G386</f>
        <v>29684</v>
      </c>
      <c r="H385" s="20">
        <f>H387+H386</f>
        <v>29684</v>
      </c>
      <c r="I385" s="20">
        <f>I387+I386</f>
        <v>29684</v>
      </c>
    </row>
    <row r="386" spans="1:9" ht="25.5" x14ac:dyDescent="0.2">
      <c r="A386" s="30" t="s">
        <v>466</v>
      </c>
      <c r="B386" s="24" t="s">
        <v>43</v>
      </c>
      <c r="C386" s="24">
        <v>6</v>
      </c>
      <c r="D386" s="24" t="s">
        <v>463</v>
      </c>
      <c r="E386" s="24">
        <v>80050</v>
      </c>
      <c r="F386" s="27" t="s">
        <v>68</v>
      </c>
      <c r="G386" s="25">
        <f>'изменения июль вед стр-ра'!G513</f>
        <v>1</v>
      </c>
      <c r="H386" s="25">
        <f>'изменения июль вед стр-ра'!H513</f>
        <v>1</v>
      </c>
      <c r="I386" s="25">
        <f>'изменения июль вед стр-ра'!I513</f>
        <v>1</v>
      </c>
    </row>
    <row r="387" spans="1:9" x14ac:dyDescent="0.2">
      <c r="A387" s="28" t="s">
        <v>69</v>
      </c>
      <c r="B387" s="24" t="s">
        <v>43</v>
      </c>
      <c r="C387" s="24">
        <v>6</v>
      </c>
      <c r="D387" s="24" t="s">
        <v>463</v>
      </c>
      <c r="E387" s="24">
        <v>80050</v>
      </c>
      <c r="F387" s="24" t="s">
        <v>70</v>
      </c>
      <c r="G387" s="25">
        <f>'изменения июль вед стр-ра'!G514</f>
        <v>29683</v>
      </c>
      <c r="H387" s="25">
        <f>'изменения июль вед стр-ра'!H514</f>
        <v>29683</v>
      </c>
      <c r="I387" s="25">
        <f>'изменения июль вед стр-ра'!I514</f>
        <v>29683</v>
      </c>
    </row>
    <row r="388" spans="1:9" s="9" customFormat="1" ht="51" x14ac:dyDescent="0.2">
      <c r="A388" s="18" t="s">
        <v>275</v>
      </c>
      <c r="B388" s="19" t="s">
        <v>43</v>
      </c>
      <c r="C388" s="19">
        <v>6</v>
      </c>
      <c r="D388" s="19" t="s">
        <v>463</v>
      </c>
      <c r="E388" s="19">
        <v>80070</v>
      </c>
      <c r="F388" s="19"/>
      <c r="G388" s="20">
        <f>G390+G389</f>
        <v>86</v>
      </c>
      <c r="H388" s="20">
        <f>H390+H389</f>
        <v>86</v>
      </c>
      <c r="I388" s="20">
        <f>I390+I389</f>
        <v>86</v>
      </c>
    </row>
    <row r="389" spans="1:9" ht="25.5" x14ac:dyDescent="0.2">
      <c r="A389" s="30" t="s">
        <v>466</v>
      </c>
      <c r="B389" s="24" t="s">
        <v>43</v>
      </c>
      <c r="C389" s="24">
        <v>6</v>
      </c>
      <c r="D389" s="24" t="s">
        <v>463</v>
      </c>
      <c r="E389" s="24">
        <v>80070</v>
      </c>
      <c r="F389" s="27" t="s">
        <v>68</v>
      </c>
      <c r="G389" s="25">
        <f>'изменения июль вед стр-ра'!G484</f>
        <v>1.3</v>
      </c>
      <c r="H389" s="25">
        <f>'изменения июль вед стр-ра'!H484</f>
        <v>1.3</v>
      </c>
      <c r="I389" s="25">
        <f>'изменения июль вед стр-ра'!I484</f>
        <v>1.3</v>
      </c>
    </row>
    <row r="390" spans="1:9" x14ac:dyDescent="0.2">
      <c r="A390" s="28" t="s">
        <v>69</v>
      </c>
      <c r="B390" s="24" t="s">
        <v>43</v>
      </c>
      <c r="C390" s="24">
        <v>6</v>
      </c>
      <c r="D390" s="24" t="s">
        <v>463</v>
      </c>
      <c r="E390" s="24">
        <v>80070</v>
      </c>
      <c r="F390" s="24" t="s">
        <v>70</v>
      </c>
      <c r="G390" s="25">
        <f>'изменения июль вед стр-ра'!G485</f>
        <v>84.7</v>
      </c>
      <c r="H390" s="25">
        <f>'изменения июль вед стр-ра'!H485</f>
        <v>84.7</v>
      </c>
      <c r="I390" s="25">
        <f>'изменения июль вед стр-ра'!I485</f>
        <v>84.7</v>
      </c>
    </row>
    <row r="391" spans="1:9" ht="63.75" x14ac:dyDescent="0.2">
      <c r="A391" s="18" t="s">
        <v>342</v>
      </c>
      <c r="B391" s="19" t="s">
        <v>43</v>
      </c>
      <c r="C391" s="19">
        <v>6</v>
      </c>
      <c r="D391" s="19" t="s">
        <v>463</v>
      </c>
      <c r="E391" s="19">
        <v>80080</v>
      </c>
      <c r="F391" s="19"/>
      <c r="G391" s="20">
        <f>G393+G392</f>
        <v>1133</v>
      </c>
      <c r="H391" s="20">
        <f>H393+H392</f>
        <v>1153</v>
      </c>
      <c r="I391" s="20">
        <f>I393+I392</f>
        <v>1153</v>
      </c>
    </row>
    <row r="392" spans="1:9" ht="25.5" x14ac:dyDescent="0.2">
      <c r="A392" s="30" t="s">
        <v>466</v>
      </c>
      <c r="B392" s="24" t="s">
        <v>43</v>
      </c>
      <c r="C392" s="24">
        <v>6</v>
      </c>
      <c r="D392" s="24" t="s">
        <v>463</v>
      </c>
      <c r="E392" s="24">
        <v>80080</v>
      </c>
      <c r="F392" s="27" t="s">
        <v>68</v>
      </c>
      <c r="G392" s="25">
        <f>'изменения июль вед стр-ра'!G487</f>
        <v>6.5</v>
      </c>
      <c r="H392" s="25">
        <f>'изменения июль вед стр-ра'!H487</f>
        <v>6.5</v>
      </c>
      <c r="I392" s="25">
        <f>'изменения июль вед стр-ра'!I487</f>
        <v>6.5</v>
      </c>
    </row>
    <row r="393" spans="1:9" x14ac:dyDescent="0.2">
      <c r="A393" s="28" t="s">
        <v>69</v>
      </c>
      <c r="B393" s="24" t="s">
        <v>43</v>
      </c>
      <c r="C393" s="24">
        <v>6</v>
      </c>
      <c r="D393" s="24" t="s">
        <v>463</v>
      </c>
      <c r="E393" s="24">
        <v>80080</v>
      </c>
      <c r="F393" s="24" t="s">
        <v>70</v>
      </c>
      <c r="G393" s="25">
        <f>'изменения июль вед стр-ра'!G488</f>
        <v>1126.5</v>
      </c>
      <c r="H393" s="25">
        <f>'изменения июль вед стр-ра'!H488</f>
        <v>1146.5</v>
      </c>
      <c r="I393" s="25">
        <f>'изменения июль вед стр-ра'!I488</f>
        <v>1146.5</v>
      </c>
    </row>
    <row r="394" spans="1:9" s="79" customFormat="1" ht="38.25" x14ac:dyDescent="0.2">
      <c r="A394" s="75" t="s">
        <v>276</v>
      </c>
      <c r="B394" s="77" t="s">
        <v>43</v>
      </c>
      <c r="C394" s="77">
        <v>6</v>
      </c>
      <c r="D394" s="77" t="s">
        <v>463</v>
      </c>
      <c r="E394" s="77">
        <v>80090</v>
      </c>
      <c r="F394" s="77"/>
      <c r="G394" s="78">
        <f>G396+G395</f>
        <v>411.00000000000006</v>
      </c>
      <c r="H394" s="78">
        <f>H396+H395</f>
        <v>392</v>
      </c>
      <c r="I394" s="78">
        <f>I396+I395</f>
        <v>392</v>
      </c>
    </row>
    <row r="395" spans="1:9" s="79" customFormat="1" ht="25.5" x14ac:dyDescent="0.2">
      <c r="A395" s="80" t="s">
        <v>466</v>
      </c>
      <c r="B395" s="82" t="s">
        <v>43</v>
      </c>
      <c r="C395" s="82">
        <v>6</v>
      </c>
      <c r="D395" s="82" t="s">
        <v>463</v>
      </c>
      <c r="E395" s="82">
        <v>80090</v>
      </c>
      <c r="F395" s="83" t="s">
        <v>68</v>
      </c>
      <c r="G395" s="62">
        <f>'изменения июль вед стр-ра'!G490</f>
        <v>7.8000000000000007</v>
      </c>
      <c r="H395" s="62">
        <f>'изменения июль вед стр-ра'!H490</f>
        <v>7.4</v>
      </c>
      <c r="I395" s="62">
        <f>'изменения июль вед стр-ра'!I490</f>
        <v>7.4</v>
      </c>
    </row>
    <row r="396" spans="1:9" s="79" customFormat="1" x14ac:dyDescent="0.2">
      <c r="A396" s="87" t="s">
        <v>69</v>
      </c>
      <c r="B396" s="82" t="s">
        <v>43</v>
      </c>
      <c r="C396" s="82">
        <v>6</v>
      </c>
      <c r="D396" s="82" t="s">
        <v>463</v>
      </c>
      <c r="E396" s="82">
        <v>80090</v>
      </c>
      <c r="F396" s="82" t="s">
        <v>70</v>
      </c>
      <c r="G396" s="62">
        <f>'изменения июль вед стр-ра'!G491</f>
        <v>403.20000000000005</v>
      </c>
      <c r="H396" s="62">
        <f>'изменения июль вед стр-ра'!H491</f>
        <v>384.6</v>
      </c>
      <c r="I396" s="62">
        <f>'изменения июль вед стр-ра'!I491</f>
        <v>384.6</v>
      </c>
    </row>
    <row r="397" spans="1:9" ht="89.25" x14ac:dyDescent="0.2">
      <c r="A397" s="18" t="s">
        <v>457</v>
      </c>
      <c r="B397" s="19" t="s">
        <v>43</v>
      </c>
      <c r="C397" s="19">
        <v>6</v>
      </c>
      <c r="D397" s="19" t="s">
        <v>463</v>
      </c>
      <c r="E397" s="19">
        <v>80100</v>
      </c>
      <c r="F397" s="19"/>
      <c r="G397" s="20">
        <f>G399+G398</f>
        <v>99211</v>
      </c>
      <c r="H397" s="20">
        <f>H399+H398</f>
        <v>99211</v>
      </c>
      <c r="I397" s="20">
        <f>I399+I398</f>
        <v>99211</v>
      </c>
    </row>
    <row r="398" spans="1:9" ht="25.5" x14ac:dyDescent="0.2">
      <c r="A398" s="30" t="s">
        <v>466</v>
      </c>
      <c r="B398" s="24" t="s">
        <v>43</v>
      </c>
      <c r="C398" s="24">
        <v>6</v>
      </c>
      <c r="D398" s="24" t="s">
        <v>463</v>
      </c>
      <c r="E398" s="24">
        <v>80100</v>
      </c>
      <c r="F398" s="27" t="s">
        <v>68</v>
      </c>
      <c r="G398" s="25">
        <f>'изменения июль вед стр-ра'!G493</f>
        <v>931</v>
      </c>
      <c r="H398" s="25">
        <f>'изменения июль вед стр-ра'!H493</f>
        <v>931</v>
      </c>
      <c r="I398" s="25">
        <f>'изменения июль вед стр-ра'!I493</f>
        <v>931</v>
      </c>
    </row>
    <row r="399" spans="1:9" s="79" customFormat="1" x14ac:dyDescent="0.2">
      <c r="A399" s="87" t="s">
        <v>69</v>
      </c>
      <c r="B399" s="82" t="s">
        <v>43</v>
      </c>
      <c r="C399" s="82">
        <v>6</v>
      </c>
      <c r="D399" s="82" t="s">
        <v>463</v>
      </c>
      <c r="E399" s="82">
        <v>80100</v>
      </c>
      <c r="F399" s="82" t="s">
        <v>70</v>
      </c>
      <c r="G399" s="25">
        <f>'изменения июль вед стр-ра'!G494</f>
        <v>98280</v>
      </c>
      <c r="H399" s="25">
        <f>'изменения июль вед стр-ра'!H494</f>
        <v>98280</v>
      </c>
      <c r="I399" s="25">
        <f>'изменения июль вед стр-ра'!I494</f>
        <v>98280</v>
      </c>
    </row>
    <row r="400" spans="1:9" s="79" customFormat="1" ht="63.75" x14ac:dyDescent="0.2">
      <c r="A400" s="75" t="s">
        <v>452</v>
      </c>
      <c r="B400" s="77" t="s">
        <v>43</v>
      </c>
      <c r="C400" s="77">
        <v>6</v>
      </c>
      <c r="D400" s="77" t="s">
        <v>463</v>
      </c>
      <c r="E400" s="77">
        <v>80110</v>
      </c>
      <c r="F400" s="77"/>
      <c r="G400" s="78">
        <f>G401+G403+G402</f>
        <v>1455</v>
      </c>
      <c r="H400" s="78">
        <f>H401+H403+H402</f>
        <v>1656</v>
      </c>
      <c r="I400" s="78">
        <f>I401+I403+I402</f>
        <v>1656</v>
      </c>
    </row>
    <row r="401" spans="1:9" s="79" customFormat="1" ht="25.5" x14ac:dyDescent="0.2">
      <c r="A401" s="80" t="s">
        <v>466</v>
      </c>
      <c r="B401" s="82" t="s">
        <v>43</v>
      </c>
      <c r="C401" s="82">
        <v>6</v>
      </c>
      <c r="D401" s="82" t="s">
        <v>463</v>
      </c>
      <c r="E401" s="82">
        <v>80110</v>
      </c>
      <c r="F401" s="83" t="s">
        <v>68</v>
      </c>
      <c r="G401" s="62">
        <f>'изменения июль вед стр-ра'!G496</f>
        <v>25</v>
      </c>
      <c r="H401" s="62">
        <f>'изменения июль вед стр-ра'!H496</f>
        <v>25</v>
      </c>
      <c r="I401" s="62">
        <f>'изменения июль вед стр-ра'!I496</f>
        <v>25</v>
      </c>
    </row>
    <row r="402" spans="1:9" s="79" customFormat="1" x14ac:dyDescent="0.2">
      <c r="A402" s="87" t="s">
        <v>69</v>
      </c>
      <c r="B402" s="82" t="s">
        <v>43</v>
      </c>
      <c r="C402" s="82">
        <v>6</v>
      </c>
      <c r="D402" s="82" t="s">
        <v>463</v>
      </c>
      <c r="E402" s="82">
        <v>80110</v>
      </c>
      <c r="F402" s="82" t="s">
        <v>70</v>
      </c>
      <c r="G402" s="62">
        <f>'изменения июль вед стр-ра'!G497</f>
        <v>1163.4000000000001</v>
      </c>
      <c r="H402" s="62">
        <f>'изменения июль вед стр-ра'!H497</f>
        <v>1364.4</v>
      </c>
      <c r="I402" s="62">
        <f>'изменения июль вед стр-ра'!I497</f>
        <v>1364.4</v>
      </c>
    </row>
    <row r="403" spans="1:9" s="79" customFormat="1" x14ac:dyDescent="0.2">
      <c r="A403" s="87" t="s">
        <v>72</v>
      </c>
      <c r="B403" s="82" t="s">
        <v>43</v>
      </c>
      <c r="C403" s="82">
        <v>6</v>
      </c>
      <c r="D403" s="82" t="s">
        <v>463</v>
      </c>
      <c r="E403" s="82">
        <v>80110</v>
      </c>
      <c r="F403" s="82" t="s">
        <v>73</v>
      </c>
      <c r="G403" s="62">
        <f>'изменения июль вед стр-ра'!G498</f>
        <v>266.60000000000002</v>
      </c>
      <c r="H403" s="62">
        <f>'изменения июль вед стр-ра'!H498</f>
        <v>266.60000000000002</v>
      </c>
      <c r="I403" s="62">
        <f>'изменения июль вед стр-ра'!I498</f>
        <v>266.60000000000002</v>
      </c>
    </row>
    <row r="404" spans="1:9" ht="38.25" x14ac:dyDescent="0.2">
      <c r="A404" s="54" t="s">
        <v>338</v>
      </c>
      <c r="B404" s="19" t="s">
        <v>43</v>
      </c>
      <c r="C404" s="19">
        <v>6</v>
      </c>
      <c r="D404" s="19" t="s">
        <v>463</v>
      </c>
      <c r="E404" s="19" t="s">
        <v>541</v>
      </c>
      <c r="F404" s="19"/>
      <c r="G404" s="20">
        <f>G405</f>
        <v>205</v>
      </c>
      <c r="H404" s="20">
        <f>H405</f>
        <v>213</v>
      </c>
      <c r="I404" s="20">
        <f>I405</f>
        <v>222</v>
      </c>
    </row>
    <row r="405" spans="1:9" ht="25.5" x14ac:dyDescent="0.2">
      <c r="A405" s="30" t="s">
        <v>466</v>
      </c>
      <c r="B405" s="24" t="s">
        <v>43</v>
      </c>
      <c r="C405" s="24">
        <v>6</v>
      </c>
      <c r="D405" s="24" t="s">
        <v>463</v>
      </c>
      <c r="E405" s="24" t="s">
        <v>541</v>
      </c>
      <c r="F405" s="27" t="s">
        <v>68</v>
      </c>
      <c r="G405" s="25">
        <f>'изменения июль вед стр-ра'!G511</f>
        <v>205</v>
      </c>
      <c r="H405" s="25">
        <f>'изменения июль вед стр-ра'!H511</f>
        <v>213</v>
      </c>
      <c r="I405" s="25">
        <f>'изменения июль вед стр-ра'!I511</f>
        <v>222</v>
      </c>
    </row>
    <row r="406" spans="1:9" s="79" customFormat="1" x14ac:dyDescent="0.2">
      <c r="A406" s="154" t="s">
        <v>540</v>
      </c>
      <c r="B406" s="153" t="s">
        <v>43</v>
      </c>
      <c r="C406" s="152" t="s">
        <v>538</v>
      </c>
      <c r="D406" s="152"/>
      <c r="E406" s="152"/>
      <c r="F406" s="152"/>
      <c r="G406" s="151">
        <f>SUM(G407)+G410</f>
        <v>480</v>
      </c>
      <c r="H406" s="151">
        <f>SUM(H407)+H410</f>
        <v>0</v>
      </c>
      <c r="I406" s="151">
        <f>SUM(I407)+I410</f>
        <v>0</v>
      </c>
    </row>
    <row r="407" spans="1:9" x14ac:dyDescent="0.2">
      <c r="A407" s="18" t="s">
        <v>177</v>
      </c>
      <c r="B407" s="19" t="s">
        <v>43</v>
      </c>
      <c r="C407" s="19" t="s">
        <v>538</v>
      </c>
      <c r="D407" s="19" t="s">
        <v>463</v>
      </c>
      <c r="E407" s="19" t="s">
        <v>539</v>
      </c>
      <c r="F407" s="19"/>
      <c r="G407" s="20">
        <f>G408+G409</f>
        <v>450</v>
      </c>
      <c r="H407" s="20">
        <f>H408+H409</f>
        <v>0</v>
      </c>
      <c r="I407" s="20">
        <f>I408+I409</f>
        <v>0</v>
      </c>
    </row>
    <row r="408" spans="1:9" ht="25.5" x14ac:dyDescent="0.2">
      <c r="A408" s="30" t="s">
        <v>466</v>
      </c>
      <c r="B408" s="24" t="s">
        <v>43</v>
      </c>
      <c r="C408" s="24" t="s">
        <v>538</v>
      </c>
      <c r="D408" s="24" t="s">
        <v>463</v>
      </c>
      <c r="E408" s="24" t="s">
        <v>539</v>
      </c>
      <c r="F408" s="27" t="s">
        <v>68</v>
      </c>
      <c r="G408" s="20">
        <f>'изменения июль вед стр-ра'!G534</f>
        <v>60</v>
      </c>
      <c r="H408" s="20">
        <f>'изменения июль вед стр-ра'!H534</f>
        <v>0</v>
      </c>
      <c r="I408" s="20">
        <f>'изменения июль вед стр-ра'!I534</f>
        <v>0</v>
      </c>
    </row>
    <row r="409" spans="1:9" s="79" customFormat="1" x14ac:dyDescent="0.2">
      <c r="A409" s="87" t="s">
        <v>69</v>
      </c>
      <c r="B409" s="82" t="s">
        <v>43</v>
      </c>
      <c r="C409" s="82" t="s">
        <v>538</v>
      </c>
      <c r="D409" s="82" t="s">
        <v>463</v>
      </c>
      <c r="E409" s="82" t="s">
        <v>539</v>
      </c>
      <c r="F409" s="83" t="s">
        <v>70</v>
      </c>
      <c r="G409" s="20">
        <f>'изменения июль вед стр-ра'!G535</f>
        <v>390</v>
      </c>
      <c r="H409" s="20">
        <f>'изменения июль вед стр-ра'!H535</f>
        <v>0</v>
      </c>
      <c r="I409" s="20">
        <f>'изменения июль вед стр-ра'!I535</f>
        <v>0</v>
      </c>
    </row>
    <row r="410" spans="1:9" x14ac:dyDescent="0.2">
      <c r="A410" s="75" t="s">
        <v>429</v>
      </c>
      <c r="B410" s="19" t="s">
        <v>43</v>
      </c>
      <c r="C410" s="19" t="s">
        <v>538</v>
      </c>
      <c r="D410" s="19" t="s">
        <v>463</v>
      </c>
      <c r="E410" s="19" t="s">
        <v>537</v>
      </c>
      <c r="F410" s="19"/>
      <c r="G410" s="20">
        <f>G411</f>
        <v>30</v>
      </c>
      <c r="H410" s="20">
        <f>H411</f>
        <v>0</v>
      </c>
      <c r="I410" s="20">
        <f>I411</f>
        <v>0</v>
      </c>
    </row>
    <row r="411" spans="1:9" ht="25.5" x14ac:dyDescent="0.2">
      <c r="A411" s="30" t="s">
        <v>466</v>
      </c>
      <c r="B411" s="24" t="s">
        <v>43</v>
      </c>
      <c r="C411" s="24" t="s">
        <v>538</v>
      </c>
      <c r="D411" s="24" t="s">
        <v>463</v>
      </c>
      <c r="E411" s="24" t="s">
        <v>537</v>
      </c>
      <c r="F411" s="27" t="s">
        <v>68</v>
      </c>
      <c r="G411" s="20">
        <f>'изменения июль вед стр-ра'!G537</f>
        <v>30</v>
      </c>
      <c r="H411" s="20">
        <f>'изменения июль вед стр-ра'!H537</f>
        <v>0</v>
      </c>
      <c r="I411" s="20">
        <f>'изменения июль вед стр-ра'!I537</f>
        <v>0</v>
      </c>
    </row>
    <row r="412" spans="1:9" ht="38.25" x14ac:dyDescent="0.2">
      <c r="A412" s="40" t="s">
        <v>536</v>
      </c>
      <c r="B412" s="41" t="s">
        <v>26</v>
      </c>
      <c r="C412" s="41"/>
      <c r="D412" s="41"/>
      <c r="E412" s="41"/>
      <c r="F412" s="41"/>
      <c r="G412" s="39">
        <f>SUM(G416,G418,G423,G428)+G426+G421+G413+G432+G430</f>
        <v>73466.999999999985</v>
      </c>
      <c r="H412" s="39">
        <f t="shared" ref="H412:I412" si="32">SUM(H416,H418,H423,H428)+H426+H421+H413+H432+H430</f>
        <v>63001</v>
      </c>
      <c r="I412" s="39">
        <f t="shared" si="32"/>
        <v>62189</v>
      </c>
    </row>
    <row r="413" spans="1:9" x14ac:dyDescent="0.2">
      <c r="A413" s="28" t="s">
        <v>683</v>
      </c>
      <c r="B413" s="19" t="s">
        <v>26</v>
      </c>
      <c r="C413" s="19" t="s">
        <v>464</v>
      </c>
      <c r="D413" s="19" t="s">
        <v>535</v>
      </c>
      <c r="E413" s="8"/>
      <c r="F413" s="8"/>
      <c r="G413" s="4">
        <f t="shared" ref="G413:I414" si="33">G414</f>
        <v>2800</v>
      </c>
      <c r="H413" s="4">
        <f t="shared" si="33"/>
        <v>0</v>
      </c>
      <c r="I413" s="4">
        <f t="shared" si="33"/>
        <v>0</v>
      </c>
    </row>
    <row r="414" spans="1:9" ht="38.25" x14ac:dyDescent="0.2">
      <c r="A414" s="18" t="s">
        <v>444</v>
      </c>
      <c r="B414" s="19" t="s">
        <v>26</v>
      </c>
      <c r="C414" s="19">
        <v>0</v>
      </c>
      <c r="D414" s="19" t="s">
        <v>535</v>
      </c>
      <c r="E414" s="19" t="s">
        <v>534</v>
      </c>
      <c r="F414" s="19"/>
      <c r="G414" s="20">
        <f t="shared" si="33"/>
        <v>2800</v>
      </c>
      <c r="H414" s="20">
        <f t="shared" si="33"/>
        <v>0</v>
      </c>
      <c r="I414" s="20">
        <f t="shared" si="33"/>
        <v>0</v>
      </c>
    </row>
    <row r="415" spans="1:9" ht="25.5" x14ac:dyDescent="0.2">
      <c r="A415" s="28" t="s">
        <v>141</v>
      </c>
      <c r="B415" s="24" t="s">
        <v>26</v>
      </c>
      <c r="C415" s="24">
        <v>0</v>
      </c>
      <c r="D415" s="19" t="s">
        <v>535</v>
      </c>
      <c r="E415" s="24" t="s">
        <v>534</v>
      </c>
      <c r="F415" s="24" t="s">
        <v>65</v>
      </c>
      <c r="G415" s="25">
        <f>'изменения июль вед стр-ра'!G140</f>
        <v>2800</v>
      </c>
      <c r="H415" s="25">
        <f>'изменения июль вед стр-ра'!H140</f>
        <v>0</v>
      </c>
      <c r="I415" s="25">
        <f>'изменения июль вед стр-ра'!I140</f>
        <v>0</v>
      </c>
    </row>
    <row r="416" spans="1:9" s="79" customFormat="1" ht="25.5" x14ac:dyDescent="0.2">
      <c r="A416" s="75" t="s">
        <v>191</v>
      </c>
      <c r="B416" s="77" t="s">
        <v>26</v>
      </c>
      <c r="C416" s="77">
        <v>0</v>
      </c>
      <c r="D416" s="77" t="s">
        <v>463</v>
      </c>
      <c r="E416" s="77" t="s">
        <v>533</v>
      </c>
      <c r="F416" s="77"/>
      <c r="G416" s="78">
        <f>G417</f>
        <v>15395.400000000001</v>
      </c>
      <c r="H416" s="78">
        <f>H417</f>
        <v>13695</v>
      </c>
      <c r="I416" s="78">
        <f>I417</f>
        <v>13302.199999999999</v>
      </c>
    </row>
    <row r="417" spans="1:9" s="79" customFormat="1" ht="25.5" x14ac:dyDescent="0.2">
      <c r="A417" s="87" t="s">
        <v>141</v>
      </c>
      <c r="B417" s="82" t="s">
        <v>26</v>
      </c>
      <c r="C417" s="82">
        <v>0</v>
      </c>
      <c r="D417" s="82" t="s">
        <v>463</v>
      </c>
      <c r="E417" s="82" t="s">
        <v>533</v>
      </c>
      <c r="F417" s="82" t="s">
        <v>65</v>
      </c>
      <c r="G417" s="62">
        <f>'изменения июль вед стр-ра'!G146</f>
        <v>15395.400000000001</v>
      </c>
      <c r="H417" s="62">
        <f>'изменения июль вед стр-ра'!H146</f>
        <v>13695</v>
      </c>
      <c r="I417" s="62">
        <f>'изменения июль вед стр-ра'!I146</f>
        <v>13302.199999999999</v>
      </c>
    </row>
    <row r="418" spans="1:9" s="9" customFormat="1" ht="25.5" x14ac:dyDescent="0.2">
      <c r="A418" s="18" t="s">
        <v>191</v>
      </c>
      <c r="B418" s="19" t="s">
        <v>26</v>
      </c>
      <c r="C418" s="19">
        <v>0</v>
      </c>
      <c r="D418" s="19" t="s">
        <v>463</v>
      </c>
      <c r="E418" s="19" t="s">
        <v>532</v>
      </c>
      <c r="F418" s="19"/>
      <c r="G418" s="20">
        <f>G419+G420</f>
        <v>1346.8</v>
      </c>
      <c r="H418" s="20">
        <f>H419+H420</f>
        <v>1021.5</v>
      </c>
      <c r="I418" s="20">
        <f>I419+I420</f>
        <v>1021.5</v>
      </c>
    </row>
    <row r="419" spans="1:9" ht="51" x14ac:dyDescent="0.2">
      <c r="A419" s="30" t="s">
        <v>66</v>
      </c>
      <c r="B419" s="24" t="s">
        <v>26</v>
      </c>
      <c r="C419" s="24">
        <v>0</v>
      </c>
      <c r="D419" s="24" t="s">
        <v>463</v>
      </c>
      <c r="E419" s="24" t="s">
        <v>532</v>
      </c>
      <c r="F419" s="27" t="s">
        <v>67</v>
      </c>
      <c r="G419" s="25">
        <f>'изменения июль вед стр-ра'!G161</f>
        <v>1304.8</v>
      </c>
      <c r="H419" s="25">
        <f>'изменения июль вед стр-ра'!H161</f>
        <v>969.5</v>
      </c>
      <c r="I419" s="25">
        <f>'изменения июль вед стр-ра'!I161</f>
        <v>969.5</v>
      </c>
    </row>
    <row r="420" spans="1:9" ht="25.5" x14ac:dyDescent="0.2">
      <c r="A420" s="30" t="s">
        <v>466</v>
      </c>
      <c r="B420" s="24" t="s">
        <v>26</v>
      </c>
      <c r="C420" s="24">
        <v>0</v>
      </c>
      <c r="D420" s="24" t="s">
        <v>463</v>
      </c>
      <c r="E420" s="24" t="s">
        <v>532</v>
      </c>
      <c r="F420" s="27" t="s">
        <v>68</v>
      </c>
      <c r="G420" s="25">
        <f>'изменения июль вед стр-ра'!G162</f>
        <v>42</v>
      </c>
      <c r="H420" s="25">
        <f>'изменения июль вед стр-ра'!H162</f>
        <v>52</v>
      </c>
      <c r="I420" s="25">
        <f>'изменения июль вед стр-ра'!I162</f>
        <v>52</v>
      </c>
    </row>
    <row r="421" spans="1:9" s="9" customFormat="1" ht="25.5" x14ac:dyDescent="0.2">
      <c r="A421" s="18" t="s">
        <v>191</v>
      </c>
      <c r="B421" s="19" t="s">
        <v>26</v>
      </c>
      <c r="C421" s="19">
        <v>0</v>
      </c>
      <c r="D421" s="19" t="s">
        <v>463</v>
      </c>
      <c r="E421" s="19" t="s">
        <v>531</v>
      </c>
      <c r="F421" s="19"/>
      <c r="G421" s="20">
        <f>G422</f>
        <v>3824.9</v>
      </c>
      <c r="H421" s="20">
        <f>H422</f>
        <v>3229</v>
      </c>
      <c r="I421" s="20">
        <f>I422</f>
        <v>3229</v>
      </c>
    </row>
    <row r="422" spans="1:9" ht="25.5" x14ac:dyDescent="0.2">
      <c r="A422" s="87" t="s">
        <v>141</v>
      </c>
      <c r="B422" s="24" t="s">
        <v>26</v>
      </c>
      <c r="C422" s="24">
        <v>0</v>
      </c>
      <c r="D422" s="24" t="s">
        <v>463</v>
      </c>
      <c r="E422" s="24" t="s">
        <v>531</v>
      </c>
      <c r="F422" s="27" t="s">
        <v>65</v>
      </c>
      <c r="G422" s="25">
        <f>'изменения июль вед стр-ра'!G164</f>
        <v>3824.9</v>
      </c>
      <c r="H422" s="25">
        <f>'изменения июль вед стр-ра'!H164</f>
        <v>3229</v>
      </c>
      <c r="I422" s="25">
        <f>'изменения июль вед стр-ра'!I164</f>
        <v>3229</v>
      </c>
    </row>
    <row r="423" spans="1:9" ht="25.5" x14ac:dyDescent="0.2">
      <c r="A423" s="18" t="s">
        <v>195</v>
      </c>
      <c r="B423" s="19" t="s">
        <v>26</v>
      </c>
      <c r="C423" s="19">
        <v>0</v>
      </c>
      <c r="D423" s="19" t="s">
        <v>463</v>
      </c>
      <c r="E423" s="19" t="s">
        <v>530</v>
      </c>
      <c r="F423" s="19"/>
      <c r="G423" s="20">
        <f>'изменения июль вед стр-ра'!G156</f>
        <v>370</v>
      </c>
      <c r="H423" s="20">
        <f>'изменения июль вед стр-ра'!H156</f>
        <v>370</v>
      </c>
      <c r="I423" s="20">
        <f>'изменения июль вед стр-ра'!I156</f>
        <v>370</v>
      </c>
    </row>
    <row r="424" spans="1:9" ht="51" x14ac:dyDescent="0.2">
      <c r="A424" s="30" t="s">
        <v>66</v>
      </c>
      <c r="B424" s="24" t="s">
        <v>26</v>
      </c>
      <c r="C424" s="24">
        <v>0</v>
      </c>
      <c r="D424" s="24" t="s">
        <v>463</v>
      </c>
      <c r="E424" s="24" t="s">
        <v>530</v>
      </c>
      <c r="F424" s="27" t="s">
        <v>67</v>
      </c>
      <c r="G424" s="20">
        <f>'изменения июль вед стр-ра'!G157</f>
        <v>42</v>
      </c>
      <c r="H424" s="20">
        <f>'изменения июль вед стр-ра'!H157</f>
        <v>0</v>
      </c>
      <c r="I424" s="20">
        <f>'изменения июль вед стр-ра'!I157</f>
        <v>0</v>
      </c>
    </row>
    <row r="425" spans="1:9" s="9" customFormat="1" ht="25.5" x14ac:dyDescent="0.2">
      <c r="A425" s="30" t="s">
        <v>466</v>
      </c>
      <c r="B425" s="24" t="s">
        <v>26</v>
      </c>
      <c r="C425" s="24">
        <v>0</v>
      </c>
      <c r="D425" s="24" t="s">
        <v>463</v>
      </c>
      <c r="E425" s="24" t="s">
        <v>530</v>
      </c>
      <c r="F425" s="27" t="s">
        <v>68</v>
      </c>
      <c r="G425" s="25">
        <f>'изменения июль вед стр-ра'!G158</f>
        <v>328</v>
      </c>
      <c r="H425" s="25">
        <f>'изменения июль вед стр-ра'!H158</f>
        <v>370</v>
      </c>
      <c r="I425" s="25">
        <f>'изменения июль вед стр-ра'!I158</f>
        <v>370</v>
      </c>
    </row>
    <row r="426" spans="1:9" ht="38.25" x14ac:dyDescent="0.2">
      <c r="A426" s="18" t="s">
        <v>193</v>
      </c>
      <c r="B426" s="19" t="s">
        <v>26</v>
      </c>
      <c r="C426" s="19">
        <v>0</v>
      </c>
      <c r="D426" s="19" t="s">
        <v>463</v>
      </c>
      <c r="E426" s="19" t="s">
        <v>529</v>
      </c>
      <c r="F426" s="19"/>
      <c r="G426" s="20">
        <f>G427</f>
        <v>200</v>
      </c>
      <c r="H426" s="20">
        <f>H427</f>
        <v>200</v>
      </c>
      <c r="I426" s="20">
        <f>I427</f>
        <v>200</v>
      </c>
    </row>
    <row r="427" spans="1:9" ht="25.5" x14ac:dyDescent="0.2">
      <c r="A427" s="30" t="s">
        <v>466</v>
      </c>
      <c r="B427" s="24" t="s">
        <v>26</v>
      </c>
      <c r="C427" s="24">
        <v>0</v>
      </c>
      <c r="D427" s="24" t="s">
        <v>463</v>
      </c>
      <c r="E427" s="24" t="s">
        <v>529</v>
      </c>
      <c r="F427" s="27" t="s">
        <v>68</v>
      </c>
      <c r="G427" s="25">
        <f>'изменения июль вед стр-ра'!G148</f>
        <v>200</v>
      </c>
      <c r="H427" s="25">
        <f>'изменения июль вед стр-ра'!H148</f>
        <v>200</v>
      </c>
      <c r="I427" s="25">
        <f>'изменения июль вед стр-ра'!I148</f>
        <v>200</v>
      </c>
    </row>
    <row r="428" spans="1:9" ht="25.5" x14ac:dyDescent="0.2">
      <c r="A428" s="18" t="s">
        <v>357</v>
      </c>
      <c r="B428" s="19" t="s">
        <v>26</v>
      </c>
      <c r="C428" s="19">
        <v>0</v>
      </c>
      <c r="D428" s="19" t="s">
        <v>463</v>
      </c>
      <c r="E428" s="19" t="s">
        <v>528</v>
      </c>
      <c r="F428" s="19"/>
      <c r="G428" s="20">
        <f>G429</f>
        <v>48737.899999999994</v>
      </c>
      <c r="H428" s="20">
        <f>H429</f>
        <v>44485.5</v>
      </c>
      <c r="I428" s="20">
        <f>I429</f>
        <v>44066.3</v>
      </c>
    </row>
    <row r="429" spans="1:9" s="79" customFormat="1" ht="25.5" x14ac:dyDescent="0.2">
      <c r="A429" s="87" t="s">
        <v>141</v>
      </c>
      <c r="B429" s="82" t="s">
        <v>26</v>
      </c>
      <c r="C429" s="82">
        <v>0</v>
      </c>
      <c r="D429" s="82" t="s">
        <v>463</v>
      </c>
      <c r="E429" s="82" t="s">
        <v>528</v>
      </c>
      <c r="F429" s="83" t="s">
        <v>65</v>
      </c>
      <c r="G429" s="62">
        <f>'изменения июль вед стр-ра'!G150</f>
        <v>48737.899999999994</v>
      </c>
      <c r="H429" s="62">
        <f>'изменения июль вед стр-ра'!H150</f>
        <v>44485.5</v>
      </c>
      <c r="I429" s="62">
        <f>'изменения июль вед стр-ра'!I150</f>
        <v>44066.3</v>
      </c>
    </row>
    <row r="430" spans="1:9" s="79" customFormat="1" x14ac:dyDescent="0.2">
      <c r="A430" s="18" t="s">
        <v>714</v>
      </c>
      <c r="B430" s="19" t="s">
        <v>26</v>
      </c>
      <c r="C430" s="19">
        <v>0</v>
      </c>
      <c r="D430" s="19" t="s">
        <v>463</v>
      </c>
      <c r="E430" s="82" t="s">
        <v>729</v>
      </c>
      <c r="F430" s="82"/>
      <c r="G430" s="62">
        <f>G431</f>
        <v>720</v>
      </c>
      <c r="H430" s="62">
        <f t="shared" ref="H430:I430" si="34">H431</f>
        <v>0</v>
      </c>
      <c r="I430" s="62">
        <f t="shared" si="34"/>
        <v>0</v>
      </c>
    </row>
    <row r="431" spans="1:9" s="79" customFormat="1" ht="25.5" x14ac:dyDescent="0.2">
      <c r="A431" s="28" t="s">
        <v>141</v>
      </c>
      <c r="B431" s="82" t="s">
        <v>26</v>
      </c>
      <c r="C431" s="82">
        <v>0</v>
      </c>
      <c r="D431" s="82" t="s">
        <v>463</v>
      </c>
      <c r="E431" s="82" t="s">
        <v>729</v>
      </c>
      <c r="F431" s="82" t="s">
        <v>65</v>
      </c>
      <c r="G431" s="62">
        <f>'изменения июль вед стр-ра'!G152</f>
        <v>720</v>
      </c>
      <c r="H431" s="62">
        <f>'изменения июль вед стр-ра'!H152</f>
        <v>0</v>
      </c>
      <c r="I431" s="62">
        <f>'изменения июль вед стр-ра'!I152</f>
        <v>0</v>
      </c>
    </row>
    <row r="432" spans="1:9" s="79" customFormat="1" x14ac:dyDescent="0.2">
      <c r="A432" s="18" t="s">
        <v>714</v>
      </c>
      <c r="B432" s="19" t="s">
        <v>26</v>
      </c>
      <c r="C432" s="19">
        <v>0</v>
      </c>
      <c r="D432" s="19" t="s">
        <v>463</v>
      </c>
      <c r="E432" s="82" t="s">
        <v>715</v>
      </c>
      <c r="F432" s="82"/>
      <c r="G432" s="62">
        <f>G433</f>
        <v>72</v>
      </c>
      <c r="H432" s="62">
        <f t="shared" ref="H432:I432" si="35">H433</f>
        <v>0</v>
      </c>
      <c r="I432" s="62">
        <f t="shared" si="35"/>
        <v>0</v>
      </c>
    </row>
    <row r="433" spans="1:12" s="79" customFormat="1" ht="25.5" x14ac:dyDescent="0.2">
      <c r="A433" s="28" t="s">
        <v>141</v>
      </c>
      <c r="B433" s="82" t="s">
        <v>26</v>
      </c>
      <c r="C433" s="82">
        <v>0</v>
      </c>
      <c r="D433" s="82" t="s">
        <v>463</v>
      </c>
      <c r="E433" s="82" t="s">
        <v>715</v>
      </c>
      <c r="F433" s="82" t="s">
        <v>65</v>
      </c>
      <c r="G433" s="62">
        <f>'изменения июль вед стр-ра'!G154</f>
        <v>72</v>
      </c>
      <c r="H433" s="62">
        <f>'изменения июль вед стр-ра'!H154</f>
        <v>0</v>
      </c>
      <c r="I433" s="62">
        <f>'изменения июль вед стр-ра'!I154</f>
        <v>0</v>
      </c>
    </row>
    <row r="434" spans="1:12" ht="51" x14ac:dyDescent="0.2">
      <c r="A434" s="156" t="s">
        <v>527</v>
      </c>
      <c r="B434" s="41" t="s">
        <v>51</v>
      </c>
      <c r="C434" s="41"/>
      <c r="D434" s="41"/>
      <c r="E434" s="41"/>
      <c r="F434" s="160"/>
      <c r="G434" s="39">
        <f>SUM(G435,G446,G449,G458)+G462</f>
        <v>150759.80000000002</v>
      </c>
      <c r="H434" s="39">
        <f>SUM(H435,H446,H449,H458)+H462</f>
        <v>10613</v>
      </c>
      <c r="I434" s="39">
        <f>SUM(I435,I446,I449,I458)+I462</f>
        <v>7769</v>
      </c>
    </row>
    <row r="435" spans="1:12" s="79" customFormat="1" ht="25.5" x14ac:dyDescent="0.2">
      <c r="A435" s="159" t="s">
        <v>526</v>
      </c>
      <c r="B435" s="152" t="s">
        <v>51</v>
      </c>
      <c r="C435" s="152" t="s">
        <v>507</v>
      </c>
      <c r="D435" s="152"/>
      <c r="E435" s="152"/>
      <c r="F435" s="158"/>
      <c r="G435" s="151">
        <f>SUM(G442)+G444+G436+G440+G438</f>
        <v>12148.3</v>
      </c>
      <c r="H435" s="151">
        <f t="shared" ref="H435:I435" si="36">SUM(H442)+H444+H436+H440+H438</f>
        <v>5844</v>
      </c>
      <c r="I435" s="151">
        <f t="shared" si="36"/>
        <v>3000</v>
      </c>
    </row>
    <row r="436" spans="1:12" s="237" customFormat="1" ht="25.5" x14ac:dyDescent="0.2">
      <c r="A436" s="18" t="s">
        <v>391</v>
      </c>
      <c r="B436" s="19" t="s">
        <v>51</v>
      </c>
      <c r="C436" s="19" t="s">
        <v>507</v>
      </c>
      <c r="D436" s="19" t="s">
        <v>463</v>
      </c>
      <c r="E436" s="19" t="s">
        <v>668</v>
      </c>
      <c r="F436" s="242"/>
      <c r="G436" s="20">
        <f>SUM(G437)</f>
        <v>6975</v>
      </c>
      <c r="H436" s="20">
        <f t="shared" ref="H436:I436" si="37">SUM(H437)</f>
        <v>0</v>
      </c>
      <c r="I436" s="20">
        <f t="shared" si="37"/>
        <v>0</v>
      </c>
    </row>
    <row r="437" spans="1:12" s="26" customFormat="1" ht="25.5" x14ac:dyDescent="0.2">
      <c r="A437" s="28" t="s">
        <v>76</v>
      </c>
      <c r="B437" s="24" t="s">
        <v>51</v>
      </c>
      <c r="C437" s="24" t="s">
        <v>507</v>
      </c>
      <c r="D437" s="24" t="s">
        <v>463</v>
      </c>
      <c r="E437" s="24" t="s">
        <v>668</v>
      </c>
      <c r="F437" s="27" t="s">
        <v>68</v>
      </c>
      <c r="G437" s="25">
        <f>'изменения июль вед стр-ра'!G572</f>
        <v>6975</v>
      </c>
      <c r="H437" s="25">
        <f>'изменения июль вед стр-ра'!H572</f>
        <v>0</v>
      </c>
      <c r="I437" s="25">
        <f>'изменения июль вед стр-ра'!I572</f>
        <v>0</v>
      </c>
    </row>
    <row r="438" spans="1:12" s="26" customFormat="1" ht="25.5" x14ac:dyDescent="0.2">
      <c r="A438" s="18" t="s">
        <v>391</v>
      </c>
      <c r="B438" s="19" t="s">
        <v>51</v>
      </c>
      <c r="C438" s="19" t="s">
        <v>507</v>
      </c>
      <c r="D438" s="19" t="s">
        <v>463</v>
      </c>
      <c r="E438" s="19" t="s">
        <v>704</v>
      </c>
      <c r="F438" s="242"/>
      <c r="G438" s="25">
        <f>G439</f>
        <v>775</v>
      </c>
      <c r="H438" s="25">
        <f t="shared" ref="H438:I438" si="38">H439</f>
        <v>0</v>
      </c>
      <c r="I438" s="25">
        <f t="shared" si="38"/>
        <v>0</v>
      </c>
    </row>
    <row r="439" spans="1:12" s="26" customFormat="1" ht="25.5" x14ac:dyDescent="0.2">
      <c r="A439" s="28" t="s">
        <v>76</v>
      </c>
      <c r="B439" s="24" t="s">
        <v>51</v>
      </c>
      <c r="C439" s="24" t="s">
        <v>507</v>
      </c>
      <c r="D439" s="24" t="s">
        <v>463</v>
      </c>
      <c r="E439" s="19" t="s">
        <v>704</v>
      </c>
      <c r="F439" s="27" t="s">
        <v>68</v>
      </c>
      <c r="G439" s="25">
        <f>'изменения июль вед стр-ра'!G574</f>
        <v>775</v>
      </c>
      <c r="H439" s="25">
        <f>'изменения июль вед стр-ра'!H574</f>
        <v>0</v>
      </c>
      <c r="I439" s="25">
        <f>'изменения июль вед стр-ра'!I574</f>
        <v>0</v>
      </c>
    </row>
    <row r="440" spans="1:12" s="237" customFormat="1" ht="25.5" x14ac:dyDescent="0.2">
      <c r="A440" s="18" t="s">
        <v>689</v>
      </c>
      <c r="B440" s="19" t="s">
        <v>51</v>
      </c>
      <c r="C440" s="19" t="s">
        <v>507</v>
      </c>
      <c r="D440" s="19" t="s">
        <v>463</v>
      </c>
      <c r="E440" s="19" t="s">
        <v>690</v>
      </c>
      <c r="F440" s="242"/>
      <c r="G440" s="20">
        <f>SUM(G441)</f>
        <v>375</v>
      </c>
      <c r="H440" s="20">
        <f t="shared" ref="H440:I440" si="39">SUM(H441)</f>
        <v>0</v>
      </c>
      <c r="I440" s="20">
        <f t="shared" si="39"/>
        <v>0</v>
      </c>
    </row>
    <row r="441" spans="1:12" s="26" customFormat="1" ht="25.5" x14ac:dyDescent="0.2">
      <c r="A441" s="28" t="s">
        <v>76</v>
      </c>
      <c r="B441" s="24" t="s">
        <v>51</v>
      </c>
      <c r="C441" s="24" t="s">
        <v>507</v>
      </c>
      <c r="D441" s="24" t="s">
        <v>463</v>
      </c>
      <c r="E441" s="24" t="s">
        <v>690</v>
      </c>
      <c r="F441" s="27" t="s">
        <v>68</v>
      </c>
      <c r="G441" s="25">
        <f>'изменения июль вед стр-ра'!G576</f>
        <v>375</v>
      </c>
      <c r="H441" s="25">
        <f>'изменения июль вед стр-ра'!H576</f>
        <v>0</v>
      </c>
      <c r="I441" s="25">
        <f>'изменения июль вед стр-ра'!I576</f>
        <v>0</v>
      </c>
    </row>
    <row r="442" spans="1:12" s="74" customFormat="1" ht="25.5" x14ac:dyDescent="0.2">
      <c r="A442" s="75" t="s">
        <v>297</v>
      </c>
      <c r="B442" s="77">
        <v>10</v>
      </c>
      <c r="C442" s="77">
        <v>1</v>
      </c>
      <c r="D442" s="77" t="s">
        <v>463</v>
      </c>
      <c r="E442" s="77" t="s">
        <v>525</v>
      </c>
      <c r="F442" s="77"/>
      <c r="G442" s="78">
        <f>G443</f>
        <v>2536</v>
      </c>
      <c r="H442" s="78">
        <f>H443</f>
        <v>5844</v>
      </c>
      <c r="I442" s="78">
        <f>I443</f>
        <v>3000</v>
      </c>
    </row>
    <row r="443" spans="1:12" s="12" customFormat="1" ht="25.5" x14ac:dyDescent="0.2">
      <c r="A443" s="30" t="s">
        <v>466</v>
      </c>
      <c r="B443" s="24">
        <v>10</v>
      </c>
      <c r="C443" s="24">
        <v>1</v>
      </c>
      <c r="D443" s="24" t="s">
        <v>463</v>
      </c>
      <c r="E443" s="24" t="s">
        <v>525</v>
      </c>
      <c r="F443" s="24" t="s">
        <v>68</v>
      </c>
      <c r="G443" s="25">
        <f>'изменения июль вед стр-ра'!G578</f>
        <v>2536</v>
      </c>
      <c r="H443" s="25">
        <f>'изменения июль вед стр-ра'!H578</f>
        <v>5844</v>
      </c>
      <c r="I443" s="25">
        <f>'изменения июль вед стр-ра'!I578</f>
        <v>3000</v>
      </c>
    </row>
    <row r="444" spans="1:12" s="79" customFormat="1" x14ac:dyDescent="0.2">
      <c r="A444" s="89" t="s">
        <v>356</v>
      </c>
      <c r="B444" s="77">
        <v>10</v>
      </c>
      <c r="C444" s="77">
        <v>1</v>
      </c>
      <c r="D444" s="77" t="s">
        <v>463</v>
      </c>
      <c r="E444" s="77" t="s">
        <v>524</v>
      </c>
      <c r="F444" s="77"/>
      <c r="G444" s="78">
        <f>G445</f>
        <v>1487.2999999999997</v>
      </c>
      <c r="H444" s="78">
        <f>H445</f>
        <v>0</v>
      </c>
      <c r="I444" s="78">
        <f>I445</f>
        <v>0</v>
      </c>
    </row>
    <row r="445" spans="1:12" s="79" customFormat="1" ht="25.5" x14ac:dyDescent="0.2">
      <c r="A445" s="80" t="s">
        <v>466</v>
      </c>
      <c r="B445" s="82">
        <v>10</v>
      </c>
      <c r="C445" s="82">
        <v>1</v>
      </c>
      <c r="D445" s="82" t="s">
        <v>463</v>
      </c>
      <c r="E445" s="82" t="s">
        <v>524</v>
      </c>
      <c r="F445" s="82" t="s">
        <v>68</v>
      </c>
      <c r="G445" s="62">
        <f>'изменения июль вед стр-ра'!G580</f>
        <v>1487.2999999999997</v>
      </c>
      <c r="H445" s="62">
        <f>'изменения июль вед стр-ра'!H580</f>
        <v>0</v>
      </c>
      <c r="I445" s="62">
        <f>'изменения июль вед стр-ра'!I580</f>
        <v>0</v>
      </c>
    </row>
    <row r="446" spans="1:12" s="26" customFormat="1" ht="51" x14ac:dyDescent="0.2">
      <c r="A446" s="150" t="s">
        <v>523</v>
      </c>
      <c r="B446" s="149" t="s">
        <v>51</v>
      </c>
      <c r="C446" s="149" t="s">
        <v>502</v>
      </c>
      <c r="D446" s="149"/>
      <c r="E446" s="149"/>
      <c r="F446" s="149"/>
      <c r="G446" s="148">
        <f t="shared" ref="G446:I447" si="40">G447</f>
        <v>5099.4000000000005</v>
      </c>
      <c r="H446" s="148">
        <f t="shared" si="40"/>
        <v>0</v>
      </c>
      <c r="I446" s="148">
        <f t="shared" si="40"/>
        <v>0</v>
      </c>
      <c r="J446" s="21"/>
      <c r="K446" s="21"/>
      <c r="L446" s="21"/>
    </row>
    <row r="447" spans="1:12" ht="38.25" x14ac:dyDescent="0.2">
      <c r="A447" s="18" t="s">
        <v>317</v>
      </c>
      <c r="B447" s="19">
        <v>10</v>
      </c>
      <c r="C447" s="19">
        <v>2</v>
      </c>
      <c r="D447" s="19" t="s">
        <v>463</v>
      </c>
      <c r="E447" s="19" t="s">
        <v>522</v>
      </c>
      <c r="F447" s="19"/>
      <c r="G447" s="20">
        <f t="shared" si="40"/>
        <v>5099.4000000000005</v>
      </c>
      <c r="H447" s="20">
        <f t="shared" si="40"/>
        <v>0</v>
      </c>
      <c r="I447" s="20">
        <f t="shared" si="40"/>
        <v>0</v>
      </c>
    </row>
    <row r="448" spans="1:12" s="26" customFormat="1" ht="25.5" x14ac:dyDescent="0.2">
      <c r="A448" s="28" t="s">
        <v>141</v>
      </c>
      <c r="B448" s="24">
        <v>10</v>
      </c>
      <c r="C448" s="24">
        <v>2</v>
      </c>
      <c r="D448" s="24" t="s">
        <v>463</v>
      </c>
      <c r="E448" s="24" t="s">
        <v>522</v>
      </c>
      <c r="F448" s="24" t="s">
        <v>65</v>
      </c>
      <c r="G448" s="25">
        <f>'изменения июль вед стр-ра'!G608</f>
        <v>5099.4000000000005</v>
      </c>
      <c r="H448" s="25">
        <f>'изменения июль вед стр-ра'!H608</f>
        <v>0</v>
      </c>
      <c r="I448" s="25">
        <f>'изменения июль вед стр-ра'!I608</f>
        <v>0</v>
      </c>
    </row>
    <row r="449" spans="1:9" s="157" customFormat="1" ht="39" x14ac:dyDescent="0.25">
      <c r="A449" s="150" t="s">
        <v>521</v>
      </c>
      <c r="B449" s="149" t="s">
        <v>51</v>
      </c>
      <c r="C449" s="149" t="s">
        <v>498</v>
      </c>
      <c r="D449" s="149"/>
      <c r="E449" s="149"/>
      <c r="F449" s="149"/>
      <c r="G449" s="148">
        <f>SUM(G450,G452,G454,G456)</f>
        <v>127058.6</v>
      </c>
      <c r="H449" s="148">
        <f>SUM(H450,H452,H454,H456)</f>
        <v>0</v>
      </c>
      <c r="I449" s="148">
        <f>SUM(I450,I452,I454,I456)</f>
        <v>0</v>
      </c>
    </row>
    <row r="450" spans="1:9" ht="52.5" customHeight="1" x14ac:dyDescent="0.2">
      <c r="A450" s="18" t="s">
        <v>520</v>
      </c>
      <c r="B450" s="19">
        <v>10</v>
      </c>
      <c r="C450" s="19">
        <v>3</v>
      </c>
      <c r="D450" s="19" t="s">
        <v>463</v>
      </c>
      <c r="E450" s="19" t="s">
        <v>519</v>
      </c>
      <c r="F450" s="19"/>
      <c r="G450" s="20">
        <f>G451</f>
        <v>74230.400000000009</v>
      </c>
      <c r="H450" s="20">
        <f>H451</f>
        <v>0</v>
      </c>
      <c r="I450" s="20">
        <f>I451</f>
        <v>0</v>
      </c>
    </row>
    <row r="451" spans="1:9" s="79" customFormat="1" x14ac:dyDescent="0.2">
      <c r="A451" s="87" t="s">
        <v>72</v>
      </c>
      <c r="B451" s="82">
        <v>10</v>
      </c>
      <c r="C451" s="82">
        <v>3</v>
      </c>
      <c r="D451" s="82" t="s">
        <v>463</v>
      </c>
      <c r="E451" s="82" t="s">
        <v>519</v>
      </c>
      <c r="F451" s="82" t="s">
        <v>73</v>
      </c>
      <c r="G451" s="62">
        <f>'изменения июль вед стр-ра'!G582</f>
        <v>74230.400000000009</v>
      </c>
      <c r="H451" s="62">
        <f>'изменения июль вед стр-ра'!H582</f>
        <v>0</v>
      </c>
      <c r="I451" s="62">
        <f>'изменения июль вед стр-ра'!I582</f>
        <v>0</v>
      </c>
    </row>
    <row r="452" spans="1:9" ht="63.75" x14ac:dyDescent="0.2">
      <c r="A452" s="18" t="s">
        <v>518</v>
      </c>
      <c r="B452" s="19">
        <v>10</v>
      </c>
      <c r="C452" s="19">
        <v>3</v>
      </c>
      <c r="D452" s="19" t="s">
        <v>463</v>
      </c>
      <c r="E452" s="19" t="s">
        <v>517</v>
      </c>
      <c r="F452" s="19"/>
      <c r="G452" s="20">
        <f>G453</f>
        <v>14244.7</v>
      </c>
      <c r="H452" s="20">
        <f>H453</f>
        <v>0</v>
      </c>
      <c r="I452" s="20">
        <f>I453</f>
        <v>0</v>
      </c>
    </row>
    <row r="453" spans="1:9" x14ac:dyDescent="0.2">
      <c r="A453" s="28" t="s">
        <v>72</v>
      </c>
      <c r="B453" s="24">
        <v>10</v>
      </c>
      <c r="C453" s="24">
        <v>3</v>
      </c>
      <c r="D453" s="24" t="s">
        <v>463</v>
      </c>
      <c r="E453" s="24" t="s">
        <v>517</v>
      </c>
      <c r="F453" s="24" t="s">
        <v>73</v>
      </c>
      <c r="G453" s="25">
        <f>'изменения июль вед стр-ра'!G584</f>
        <v>14244.7</v>
      </c>
      <c r="H453" s="25">
        <f>'изменения июль вед стр-ра'!H584</f>
        <v>0</v>
      </c>
      <c r="I453" s="25">
        <f>'изменения июль вед стр-ра'!I584</f>
        <v>0</v>
      </c>
    </row>
    <row r="454" spans="1:9" ht="38.25" x14ac:dyDescent="0.2">
      <c r="A454" s="18" t="s">
        <v>307</v>
      </c>
      <c r="B454" s="19">
        <v>10</v>
      </c>
      <c r="C454" s="19">
        <v>3</v>
      </c>
      <c r="D454" s="19" t="s">
        <v>463</v>
      </c>
      <c r="E454" s="19" t="s">
        <v>516</v>
      </c>
      <c r="F454" s="19"/>
      <c r="G454" s="20">
        <f>G455</f>
        <v>2657.7</v>
      </c>
      <c r="H454" s="20">
        <f>H455</f>
        <v>0</v>
      </c>
      <c r="I454" s="20">
        <f>I455</f>
        <v>0</v>
      </c>
    </row>
    <row r="455" spans="1:9" x14ac:dyDescent="0.2">
      <c r="A455" s="28" t="s">
        <v>72</v>
      </c>
      <c r="B455" s="24">
        <v>10</v>
      </c>
      <c r="C455" s="24">
        <v>3</v>
      </c>
      <c r="D455" s="24" t="s">
        <v>463</v>
      </c>
      <c r="E455" s="24" t="s">
        <v>516</v>
      </c>
      <c r="F455" s="24" t="s">
        <v>73</v>
      </c>
      <c r="G455" s="25">
        <f>'изменения июль вед стр-ра'!G586</f>
        <v>2657.7</v>
      </c>
      <c r="H455" s="25">
        <f>'изменения июль вед стр-ра'!H586</f>
        <v>0</v>
      </c>
      <c r="I455" s="25">
        <f>'изменения июль вед стр-ра'!I586</f>
        <v>0</v>
      </c>
    </row>
    <row r="456" spans="1:9" ht="40.5" customHeight="1" x14ac:dyDescent="0.2">
      <c r="A456" s="18" t="s">
        <v>427</v>
      </c>
      <c r="B456" s="19">
        <v>10</v>
      </c>
      <c r="C456" s="19">
        <v>3</v>
      </c>
      <c r="D456" s="19" t="s">
        <v>463</v>
      </c>
      <c r="E456" s="19" t="s">
        <v>515</v>
      </c>
      <c r="F456" s="19"/>
      <c r="G456" s="20">
        <f>G457</f>
        <v>35925.800000000003</v>
      </c>
      <c r="H456" s="20">
        <f>H457</f>
        <v>0</v>
      </c>
      <c r="I456" s="20">
        <f>I457</f>
        <v>0</v>
      </c>
    </row>
    <row r="457" spans="1:9" s="79" customFormat="1" x14ac:dyDescent="0.2">
      <c r="A457" s="87" t="s">
        <v>72</v>
      </c>
      <c r="B457" s="82">
        <v>10</v>
      </c>
      <c r="C457" s="82">
        <v>3</v>
      </c>
      <c r="D457" s="82" t="s">
        <v>463</v>
      </c>
      <c r="E457" s="82" t="s">
        <v>515</v>
      </c>
      <c r="F457" s="82" t="s">
        <v>73</v>
      </c>
      <c r="G457" s="62">
        <f>'изменения июль вед стр-ра'!G550</f>
        <v>35925.800000000003</v>
      </c>
      <c r="H457" s="62">
        <f>'изменения июль вед стр-ра'!H550</f>
        <v>0</v>
      </c>
      <c r="I457" s="62">
        <f>'изменения июль вед стр-ра'!I550</f>
        <v>0</v>
      </c>
    </row>
    <row r="458" spans="1:9" s="79" customFormat="1" ht="25.5" x14ac:dyDescent="0.2">
      <c r="A458" s="154" t="s">
        <v>514</v>
      </c>
      <c r="B458" s="152" t="s">
        <v>51</v>
      </c>
      <c r="C458" s="152" t="s">
        <v>495</v>
      </c>
      <c r="D458" s="152"/>
      <c r="E458" s="152"/>
      <c r="F458" s="152"/>
      <c r="G458" s="151">
        <f>SUM(G459)</f>
        <v>6303.5</v>
      </c>
      <c r="H458" s="151">
        <f>SUM(H459)</f>
        <v>4769</v>
      </c>
      <c r="I458" s="151">
        <f>SUM(I459)</f>
        <v>4769</v>
      </c>
    </row>
    <row r="459" spans="1:9" ht="25.5" x14ac:dyDescent="0.2">
      <c r="A459" s="18" t="s">
        <v>319</v>
      </c>
      <c r="B459" s="19">
        <v>10</v>
      </c>
      <c r="C459" s="19">
        <v>4</v>
      </c>
      <c r="D459" s="19" t="s">
        <v>463</v>
      </c>
      <c r="E459" s="19" t="s">
        <v>513</v>
      </c>
      <c r="F459" s="19"/>
      <c r="G459" s="20">
        <f>G460+G461</f>
        <v>6303.5</v>
      </c>
      <c r="H459" s="20">
        <f>H460+H461</f>
        <v>4769</v>
      </c>
      <c r="I459" s="20">
        <f>I460+I461</f>
        <v>4769</v>
      </c>
    </row>
    <row r="460" spans="1:9" ht="51" x14ac:dyDescent="0.2">
      <c r="A460" s="30" t="s">
        <v>66</v>
      </c>
      <c r="B460" s="24">
        <v>10</v>
      </c>
      <c r="C460" s="24">
        <v>4</v>
      </c>
      <c r="D460" s="24" t="s">
        <v>463</v>
      </c>
      <c r="E460" s="24" t="s">
        <v>513</v>
      </c>
      <c r="F460" s="24" t="s">
        <v>67</v>
      </c>
      <c r="G460" s="25">
        <f>'изменения июль вед стр-ра'!G610</f>
        <v>5860.9</v>
      </c>
      <c r="H460" s="25">
        <f>'изменения июль вед стр-ра'!H610</f>
        <v>4351.3999999999996</v>
      </c>
      <c r="I460" s="25">
        <f>'изменения июль вед стр-ра'!I610</f>
        <v>4351.3999999999996</v>
      </c>
    </row>
    <row r="461" spans="1:9" ht="25.5" x14ac:dyDescent="0.2">
      <c r="A461" s="30" t="s">
        <v>466</v>
      </c>
      <c r="B461" s="24">
        <v>10</v>
      </c>
      <c r="C461" s="24">
        <v>4</v>
      </c>
      <c r="D461" s="24" t="s">
        <v>463</v>
      </c>
      <c r="E461" s="24" t="s">
        <v>513</v>
      </c>
      <c r="F461" s="24" t="s">
        <v>68</v>
      </c>
      <c r="G461" s="25">
        <f>'изменения июль вед стр-ра'!G611</f>
        <v>442.6</v>
      </c>
      <c r="H461" s="25">
        <f>'изменения июль вед стр-ра'!H611</f>
        <v>417.6</v>
      </c>
      <c r="I461" s="25">
        <f>'изменения июль вед стр-ра'!I611</f>
        <v>417.6</v>
      </c>
    </row>
    <row r="462" spans="1:9" ht="25.5" x14ac:dyDescent="0.2">
      <c r="A462" s="150" t="s">
        <v>512</v>
      </c>
      <c r="B462" s="149" t="s">
        <v>51</v>
      </c>
      <c r="C462" s="149" t="s">
        <v>492</v>
      </c>
      <c r="D462" s="149"/>
      <c r="E462" s="149"/>
      <c r="F462" s="149"/>
      <c r="G462" s="148">
        <f t="shared" ref="G462:I463" si="41">G463</f>
        <v>150</v>
      </c>
      <c r="H462" s="148">
        <f t="shared" si="41"/>
        <v>0</v>
      </c>
      <c r="I462" s="148">
        <f t="shared" si="41"/>
        <v>0</v>
      </c>
    </row>
    <row r="463" spans="1:9" ht="25.5" x14ac:dyDescent="0.2">
      <c r="A463" s="18" t="s">
        <v>511</v>
      </c>
      <c r="B463" s="19">
        <v>10</v>
      </c>
      <c r="C463" s="19" t="s">
        <v>492</v>
      </c>
      <c r="D463" s="19" t="s">
        <v>463</v>
      </c>
      <c r="E463" s="19" t="s">
        <v>510</v>
      </c>
      <c r="F463" s="19"/>
      <c r="G463" s="20">
        <f t="shared" si="41"/>
        <v>150</v>
      </c>
      <c r="H463" s="20">
        <f t="shared" si="41"/>
        <v>0</v>
      </c>
      <c r="I463" s="20">
        <f t="shared" si="41"/>
        <v>0</v>
      </c>
    </row>
    <row r="464" spans="1:9" ht="25.5" x14ac:dyDescent="0.2">
      <c r="A464" s="30" t="s">
        <v>466</v>
      </c>
      <c r="B464" s="24">
        <v>10</v>
      </c>
      <c r="C464" s="24" t="s">
        <v>492</v>
      </c>
      <c r="D464" s="24" t="s">
        <v>463</v>
      </c>
      <c r="E464" s="24" t="s">
        <v>510</v>
      </c>
      <c r="F464" s="24" t="s">
        <v>68</v>
      </c>
      <c r="G464" s="25">
        <f>'изменения июль вед стр-ра'!G592</f>
        <v>150</v>
      </c>
      <c r="H464" s="25">
        <f>'изменения июль вед стр-ра'!H592</f>
        <v>0</v>
      </c>
      <c r="I464" s="25">
        <f>'изменения июль вед стр-ра'!I592</f>
        <v>0</v>
      </c>
    </row>
    <row r="465" spans="1:9" ht="38.25" x14ac:dyDescent="0.2">
      <c r="A465" s="156" t="s">
        <v>509</v>
      </c>
      <c r="B465" s="41" t="s">
        <v>21</v>
      </c>
      <c r="C465" s="41"/>
      <c r="D465" s="41"/>
      <c r="E465" s="41"/>
      <c r="F465" s="41"/>
      <c r="G465" s="39">
        <f>SUM(G466,G473,G478,G481,G484,G488)+G491</f>
        <v>265752.13581999997</v>
      </c>
      <c r="H465" s="39">
        <f>SUM(H466,H473,H478,H481,H484,H488)+H491</f>
        <v>30955.8</v>
      </c>
      <c r="I465" s="39">
        <f>SUM(I466,I473,I478,I481,I484,I488)+I491</f>
        <v>33232.6</v>
      </c>
    </row>
    <row r="466" spans="1:9" ht="25.5" x14ac:dyDescent="0.2">
      <c r="A466" s="155" t="s">
        <v>508</v>
      </c>
      <c r="B466" s="149" t="s">
        <v>21</v>
      </c>
      <c r="C466" s="149" t="s">
        <v>507</v>
      </c>
      <c r="D466" s="149"/>
      <c r="E466" s="149"/>
      <c r="F466" s="149"/>
      <c r="G466" s="148">
        <f>G471+G469+G467</f>
        <v>217899.33581999998</v>
      </c>
      <c r="H466" s="148">
        <f>H471+H469+H467</f>
        <v>17273</v>
      </c>
      <c r="I466" s="148">
        <f>I471+I469+I467</f>
        <v>19729</v>
      </c>
    </row>
    <row r="467" spans="1:9" ht="63.75" x14ac:dyDescent="0.2">
      <c r="A467" s="18" t="s">
        <v>383</v>
      </c>
      <c r="B467" s="19">
        <v>11</v>
      </c>
      <c r="C467" s="19">
        <v>1</v>
      </c>
      <c r="D467" s="19" t="s">
        <v>463</v>
      </c>
      <c r="E467" s="19" t="s">
        <v>506</v>
      </c>
      <c r="F467" s="19"/>
      <c r="G467" s="20">
        <f>G468</f>
        <v>109287.13582</v>
      </c>
      <c r="H467" s="20">
        <f>H468</f>
        <v>0</v>
      </c>
      <c r="I467" s="20">
        <f>I468</f>
        <v>0</v>
      </c>
    </row>
    <row r="468" spans="1:9" ht="25.5" x14ac:dyDescent="0.2">
      <c r="A468" s="28" t="s">
        <v>141</v>
      </c>
      <c r="B468" s="24">
        <v>11</v>
      </c>
      <c r="C468" s="24">
        <v>1</v>
      </c>
      <c r="D468" s="24" t="s">
        <v>463</v>
      </c>
      <c r="E468" s="24" t="s">
        <v>506</v>
      </c>
      <c r="F468" s="24" t="s">
        <v>65</v>
      </c>
      <c r="G468" s="25">
        <f>'изменения июль вед стр-ра'!G553</f>
        <v>109287.13582</v>
      </c>
      <c r="H468" s="25">
        <f>'изменения июль вед стр-ра'!H553</f>
        <v>0</v>
      </c>
      <c r="I468" s="25">
        <f>'изменения июль вед стр-ра'!I553</f>
        <v>0</v>
      </c>
    </row>
    <row r="469" spans="1:9" ht="63.75" x14ac:dyDescent="0.2">
      <c r="A469" s="18" t="s">
        <v>383</v>
      </c>
      <c r="B469" s="19">
        <v>11</v>
      </c>
      <c r="C469" s="19">
        <v>1</v>
      </c>
      <c r="D469" s="19" t="s">
        <v>463</v>
      </c>
      <c r="E469" s="19" t="s">
        <v>505</v>
      </c>
      <c r="F469" s="19"/>
      <c r="G469" s="20">
        <f>G470</f>
        <v>8282.2000000000007</v>
      </c>
      <c r="H469" s="20">
        <f>H470</f>
        <v>0</v>
      </c>
      <c r="I469" s="20">
        <f>I470</f>
        <v>0</v>
      </c>
    </row>
    <row r="470" spans="1:9" ht="25.5" x14ac:dyDescent="0.2">
      <c r="A470" s="28" t="s">
        <v>141</v>
      </c>
      <c r="B470" s="24">
        <v>11</v>
      </c>
      <c r="C470" s="24">
        <v>1</v>
      </c>
      <c r="D470" s="24" t="s">
        <v>463</v>
      </c>
      <c r="E470" s="24" t="s">
        <v>505</v>
      </c>
      <c r="F470" s="24" t="s">
        <v>65</v>
      </c>
      <c r="G470" s="25">
        <f>'изменения июль вед стр-ра'!G555</f>
        <v>8282.2000000000007</v>
      </c>
      <c r="H470" s="25">
        <f>'изменения июль вед стр-ра'!H555</f>
        <v>0</v>
      </c>
      <c r="I470" s="25">
        <f>'изменения июль вед стр-ра'!I555</f>
        <v>0</v>
      </c>
    </row>
    <row r="471" spans="1:9" s="79" customFormat="1" ht="25.5" x14ac:dyDescent="0.2">
      <c r="A471" s="75" t="s">
        <v>291</v>
      </c>
      <c r="B471" s="77">
        <v>11</v>
      </c>
      <c r="C471" s="77">
        <v>1</v>
      </c>
      <c r="D471" s="77" t="s">
        <v>463</v>
      </c>
      <c r="E471" s="77" t="s">
        <v>504</v>
      </c>
      <c r="F471" s="77"/>
      <c r="G471" s="78">
        <f>G472</f>
        <v>100330</v>
      </c>
      <c r="H471" s="78">
        <f>H472</f>
        <v>17273</v>
      </c>
      <c r="I471" s="78">
        <f>I472</f>
        <v>19729</v>
      </c>
    </row>
    <row r="472" spans="1:9" s="79" customFormat="1" ht="25.5" x14ac:dyDescent="0.2">
      <c r="A472" s="87" t="s">
        <v>141</v>
      </c>
      <c r="B472" s="82">
        <v>11</v>
      </c>
      <c r="C472" s="82">
        <v>1</v>
      </c>
      <c r="D472" s="82" t="s">
        <v>463</v>
      </c>
      <c r="E472" s="82" t="s">
        <v>504</v>
      </c>
      <c r="F472" s="82" t="s">
        <v>65</v>
      </c>
      <c r="G472" s="62">
        <f>'изменения июль вед стр-ра'!G557</f>
        <v>100330</v>
      </c>
      <c r="H472" s="62">
        <f>'изменения июль вед стр-ра'!H557</f>
        <v>17273</v>
      </c>
      <c r="I472" s="62">
        <f>'изменения июль вед стр-ра'!I557</f>
        <v>19729</v>
      </c>
    </row>
    <row r="473" spans="1:9" s="79" customFormat="1" ht="25.5" x14ac:dyDescent="0.2">
      <c r="A473" s="154" t="s">
        <v>503</v>
      </c>
      <c r="B473" s="152" t="s">
        <v>21</v>
      </c>
      <c r="C473" s="152" t="s">
        <v>502</v>
      </c>
      <c r="D473" s="152"/>
      <c r="E473" s="152"/>
      <c r="F473" s="152"/>
      <c r="G473" s="151">
        <f>SUM(G474,G476)</f>
        <v>14937</v>
      </c>
      <c r="H473" s="151">
        <f>SUM(H474,H476)</f>
        <v>0</v>
      </c>
      <c r="I473" s="151">
        <f>SUM(I474,I476)</f>
        <v>0</v>
      </c>
    </row>
    <row r="474" spans="1:9" s="79" customFormat="1" ht="25.5" x14ac:dyDescent="0.2">
      <c r="A474" s="75" t="s">
        <v>293</v>
      </c>
      <c r="B474" s="77">
        <v>11</v>
      </c>
      <c r="C474" s="77">
        <v>2</v>
      </c>
      <c r="D474" s="77" t="s">
        <v>463</v>
      </c>
      <c r="E474" s="77" t="s">
        <v>501</v>
      </c>
      <c r="F474" s="77"/>
      <c r="G474" s="78">
        <f>G475</f>
        <v>14287</v>
      </c>
      <c r="H474" s="78">
        <f>H475</f>
        <v>0</v>
      </c>
      <c r="I474" s="78">
        <f>I475</f>
        <v>0</v>
      </c>
    </row>
    <row r="475" spans="1:9" s="79" customFormat="1" ht="25.5" x14ac:dyDescent="0.2">
      <c r="A475" s="87" t="s">
        <v>141</v>
      </c>
      <c r="B475" s="82">
        <v>11</v>
      </c>
      <c r="C475" s="82">
        <v>2</v>
      </c>
      <c r="D475" s="82" t="s">
        <v>463</v>
      </c>
      <c r="E475" s="82" t="s">
        <v>501</v>
      </c>
      <c r="F475" s="82" t="s">
        <v>65</v>
      </c>
      <c r="G475" s="62">
        <f>'изменения июль вед стр-ра'!G559</f>
        <v>14287</v>
      </c>
      <c r="H475" s="62">
        <f>'изменения июль вед стр-ра'!H559</f>
        <v>0</v>
      </c>
      <c r="I475" s="62">
        <f>'изменения июль вед стр-ра'!I559</f>
        <v>0</v>
      </c>
    </row>
    <row r="476" spans="1:9" s="79" customFormat="1" x14ac:dyDescent="0.2">
      <c r="A476" s="75" t="s">
        <v>309</v>
      </c>
      <c r="B476" s="77">
        <v>11</v>
      </c>
      <c r="C476" s="77">
        <v>2</v>
      </c>
      <c r="D476" s="77" t="s">
        <v>463</v>
      </c>
      <c r="E476" s="77" t="s">
        <v>500</v>
      </c>
      <c r="F476" s="77"/>
      <c r="G476" s="78">
        <f>G477</f>
        <v>650</v>
      </c>
      <c r="H476" s="78">
        <f>H477</f>
        <v>0</v>
      </c>
      <c r="I476" s="78">
        <f>I477</f>
        <v>0</v>
      </c>
    </row>
    <row r="477" spans="1:9" s="79" customFormat="1" ht="25.5" x14ac:dyDescent="0.2">
      <c r="A477" s="87" t="s">
        <v>141</v>
      </c>
      <c r="B477" s="82">
        <v>11</v>
      </c>
      <c r="C477" s="82">
        <v>2</v>
      </c>
      <c r="D477" s="82" t="s">
        <v>463</v>
      </c>
      <c r="E477" s="82" t="s">
        <v>500</v>
      </c>
      <c r="F477" s="82" t="s">
        <v>65</v>
      </c>
      <c r="G477" s="62">
        <f>'изменения июль вед стр-ра'!G596</f>
        <v>650</v>
      </c>
      <c r="H477" s="62">
        <f>'изменения июль вед стр-ра'!H596</f>
        <v>0</v>
      </c>
      <c r="I477" s="62">
        <f>'изменения июль вед стр-ра'!I596</f>
        <v>0</v>
      </c>
    </row>
    <row r="478" spans="1:9" ht="25.5" x14ac:dyDescent="0.2">
      <c r="A478" s="150" t="s">
        <v>499</v>
      </c>
      <c r="B478" s="149" t="s">
        <v>21</v>
      </c>
      <c r="C478" s="149" t="s">
        <v>498</v>
      </c>
      <c r="D478" s="149"/>
      <c r="E478" s="149"/>
      <c r="F478" s="149"/>
      <c r="G478" s="148">
        <f t="shared" ref="G478:I479" si="42">G479</f>
        <v>3500</v>
      </c>
      <c r="H478" s="148">
        <f t="shared" si="42"/>
        <v>0</v>
      </c>
      <c r="I478" s="148">
        <f t="shared" si="42"/>
        <v>0</v>
      </c>
    </row>
    <row r="479" spans="1:9" ht="25.5" x14ac:dyDescent="0.2">
      <c r="A479" s="18" t="s">
        <v>310</v>
      </c>
      <c r="B479" s="19">
        <v>11</v>
      </c>
      <c r="C479" s="19">
        <v>3</v>
      </c>
      <c r="D479" s="19" t="s">
        <v>463</v>
      </c>
      <c r="E479" s="19" t="s">
        <v>497</v>
      </c>
      <c r="F479" s="19"/>
      <c r="G479" s="20">
        <f t="shared" si="42"/>
        <v>3500</v>
      </c>
      <c r="H479" s="20">
        <f t="shared" si="42"/>
        <v>0</v>
      </c>
      <c r="I479" s="20">
        <f t="shared" si="42"/>
        <v>0</v>
      </c>
    </row>
    <row r="480" spans="1:9" ht="25.5" x14ac:dyDescent="0.2">
      <c r="A480" s="28" t="s">
        <v>141</v>
      </c>
      <c r="B480" s="24">
        <v>11</v>
      </c>
      <c r="C480" s="24">
        <v>3</v>
      </c>
      <c r="D480" s="24" t="s">
        <v>463</v>
      </c>
      <c r="E480" s="24" t="s">
        <v>497</v>
      </c>
      <c r="F480" s="24" t="s">
        <v>65</v>
      </c>
      <c r="G480" s="25">
        <f>'изменения июль вед стр-ра'!G598</f>
        <v>3500</v>
      </c>
      <c r="H480" s="25">
        <f>'изменения июль вед стр-ра'!H598</f>
        <v>0</v>
      </c>
      <c r="I480" s="25">
        <f>'изменения июль вед стр-ра'!I598</f>
        <v>0</v>
      </c>
    </row>
    <row r="481" spans="1:9" x14ac:dyDescent="0.2">
      <c r="A481" s="150" t="s">
        <v>496</v>
      </c>
      <c r="B481" s="149" t="s">
        <v>21</v>
      </c>
      <c r="C481" s="149" t="s">
        <v>495</v>
      </c>
      <c r="D481" s="149"/>
      <c r="E481" s="149"/>
      <c r="F481" s="149"/>
      <c r="G481" s="148">
        <f t="shared" ref="G481:I482" si="43">G482</f>
        <v>1000</v>
      </c>
      <c r="H481" s="148">
        <f t="shared" si="43"/>
        <v>0</v>
      </c>
      <c r="I481" s="148">
        <f t="shared" si="43"/>
        <v>0</v>
      </c>
    </row>
    <row r="482" spans="1:9" x14ac:dyDescent="0.2">
      <c r="A482" s="18" t="s">
        <v>313</v>
      </c>
      <c r="B482" s="19">
        <v>11</v>
      </c>
      <c r="C482" s="19">
        <v>4</v>
      </c>
      <c r="D482" s="19" t="s">
        <v>463</v>
      </c>
      <c r="E482" s="19" t="s">
        <v>494</v>
      </c>
      <c r="F482" s="24"/>
      <c r="G482" s="25">
        <f t="shared" si="43"/>
        <v>1000</v>
      </c>
      <c r="H482" s="25">
        <f t="shared" si="43"/>
        <v>0</v>
      </c>
      <c r="I482" s="25">
        <f t="shared" si="43"/>
        <v>0</v>
      </c>
    </row>
    <row r="483" spans="1:9" ht="25.5" x14ac:dyDescent="0.2">
      <c r="A483" s="28" t="s">
        <v>141</v>
      </c>
      <c r="B483" s="24">
        <v>11</v>
      </c>
      <c r="C483" s="24">
        <v>4</v>
      </c>
      <c r="D483" s="24" t="s">
        <v>463</v>
      </c>
      <c r="E483" s="24" t="s">
        <v>494</v>
      </c>
      <c r="F483" s="24" t="s">
        <v>65</v>
      </c>
      <c r="G483" s="25">
        <f>'изменения июль вед стр-ра'!G600</f>
        <v>1000</v>
      </c>
      <c r="H483" s="25">
        <f>'изменения июль вед стр-ра'!H600</f>
        <v>0</v>
      </c>
      <c r="I483" s="25">
        <f>'изменения июль вед стр-ра'!I600</f>
        <v>0</v>
      </c>
    </row>
    <row r="484" spans="1:9" ht="25.5" x14ac:dyDescent="0.2">
      <c r="A484" s="150" t="s">
        <v>493</v>
      </c>
      <c r="B484" s="149" t="s">
        <v>21</v>
      </c>
      <c r="C484" s="149" t="s">
        <v>492</v>
      </c>
      <c r="D484" s="149"/>
      <c r="E484" s="149"/>
      <c r="F484" s="149"/>
      <c r="G484" s="148">
        <f>G485</f>
        <v>8351.1999999999989</v>
      </c>
      <c r="H484" s="148">
        <f t="shared" ref="H484:I484" si="44">H485</f>
        <v>0</v>
      </c>
      <c r="I484" s="148">
        <f t="shared" si="44"/>
        <v>0</v>
      </c>
    </row>
    <row r="485" spans="1:9" s="79" customFormat="1" ht="25.5" x14ac:dyDescent="0.2">
      <c r="A485" s="75" t="s">
        <v>315</v>
      </c>
      <c r="B485" s="111">
        <v>11</v>
      </c>
      <c r="C485" s="111">
        <v>5</v>
      </c>
      <c r="D485" s="111" t="s">
        <v>463</v>
      </c>
      <c r="E485" s="111" t="s">
        <v>491</v>
      </c>
      <c r="F485" s="77"/>
      <c r="G485" s="78">
        <f>G487+G486</f>
        <v>8351.1999999999989</v>
      </c>
      <c r="H485" s="78">
        <f t="shared" ref="H485:I485" si="45">H487+H486</f>
        <v>0</v>
      </c>
      <c r="I485" s="78">
        <f t="shared" si="45"/>
        <v>0</v>
      </c>
    </row>
    <row r="486" spans="1:9" s="79" customFormat="1" ht="25.5" x14ac:dyDescent="0.2">
      <c r="A486" s="30" t="s">
        <v>466</v>
      </c>
      <c r="B486" s="16">
        <v>11</v>
      </c>
      <c r="C486" s="16">
        <v>5</v>
      </c>
      <c r="D486" s="16" t="s">
        <v>463</v>
      </c>
      <c r="E486" s="16" t="s">
        <v>491</v>
      </c>
      <c r="F486" s="77" t="s">
        <v>68</v>
      </c>
      <c r="G486" s="78">
        <f>'изменения июль вед стр-ра'!G602</f>
        <v>87.8</v>
      </c>
      <c r="H486" s="78">
        <f>'изменения июль вед стр-ра'!H602</f>
        <v>0</v>
      </c>
      <c r="I486" s="78">
        <f>'изменения июль вед стр-ра'!I602</f>
        <v>0</v>
      </c>
    </row>
    <row r="487" spans="1:9" ht="25.5" x14ac:dyDescent="0.2">
      <c r="A487" s="28" t="s">
        <v>141</v>
      </c>
      <c r="B487" s="16">
        <v>11</v>
      </c>
      <c r="C487" s="16">
        <v>5</v>
      </c>
      <c r="D487" s="16" t="s">
        <v>463</v>
      </c>
      <c r="E487" s="16" t="s">
        <v>491</v>
      </c>
      <c r="F487" s="24" t="s">
        <v>65</v>
      </c>
      <c r="G487" s="25">
        <f>'изменения июль вед стр-ра'!G603</f>
        <v>8263.4</v>
      </c>
      <c r="H487" s="25">
        <f>'изменения июль вед стр-ра'!H603</f>
        <v>0</v>
      </c>
      <c r="I487" s="25">
        <f>'изменения июль вед стр-ра'!I603</f>
        <v>0</v>
      </c>
    </row>
    <row r="488" spans="1:9" s="79" customFormat="1" ht="38.25" x14ac:dyDescent="0.2">
      <c r="A488" s="154" t="s">
        <v>489</v>
      </c>
      <c r="B488" s="153" t="s">
        <v>21</v>
      </c>
      <c r="C488" s="153" t="s">
        <v>488</v>
      </c>
      <c r="D488" s="153"/>
      <c r="E488" s="153"/>
      <c r="F488" s="152"/>
      <c r="G488" s="151">
        <f t="shared" ref="G488:I489" si="46">G489</f>
        <v>16064.599999999999</v>
      </c>
      <c r="H488" s="151">
        <f t="shared" si="46"/>
        <v>13682.8</v>
      </c>
      <c r="I488" s="151">
        <f t="shared" si="46"/>
        <v>13503.6</v>
      </c>
    </row>
    <row r="489" spans="1:9" ht="38.25" x14ac:dyDescent="0.2">
      <c r="A489" s="18" t="s">
        <v>321</v>
      </c>
      <c r="B489" s="19">
        <v>11</v>
      </c>
      <c r="C489" s="19">
        <v>6</v>
      </c>
      <c r="D489" s="19" t="s">
        <v>463</v>
      </c>
      <c r="E489" s="19" t="s">
        <v>487</v>
      </c>
      <c r="F489" s="5"/>
      <c r="G489" s="6">
        <f t="shared" si="46"/>
        <v>16064.599999999999</v>
      </c>
      <c r="H489" s="6">
        <f t="shared" si="46"/>
        <v>13682.8</v>
      </c>
      <c r="I489" s="6">
        <f t="shared" si="46"/>
        <v>13503.6</v>
      </c>
    </row>
    <row r="490" spans="1:9" ht="25.5" x14ac:dyDescent="0.2">
      <c r="A490" s="28" t="s">
        <v>141</v>
      </c>
      <c r="B490" s="24">
        <v>11</v>
      </c>
      <c r="C490" s="24">
        <v>6</v>
      </c>
      <c r="D490" s="24" t="s">
        <v>463</v>
      </c>
      <c r="E490" s="24" t="s">
        <v>487</v>
      </c>
      <c r="F490" s="24" t="s">
        <v>65</v>
      </c>
      <c r="G490" s="25">
        <f>'изменения июль вед стр-ра'!G613</f>
        <v>16064.599999999999</v>
      </c>
      <c r="H490" s="25">
        <f>'изменения июль вед стр-ра'!H613</f>
        <v>13682.8</v>
      </c>
      <c r="I490" s="25">
        <f>'изменения июль вед стр-ра'!I613</f>
        <v>13503.6</v>
      </c>
    </row>
    <row r="491" spans="1:9" ht="25.5" x14ac:dyDescent="0.2">
      <c r="A491" s="150" t="s">
        <v>486</v>
      </c>
      <c r="B491" s="122" t="s">
        <v>21</v>
      </c>
      <c r="C491" s="122" t="s">
        <v>485</v>
      </c>
      <c r="D491" s="122"/>
      <c r="E491" s="122"/>
      <c r="F491" s="149"/>
      <c r="G491" s="148">
        <f t="shared" ref="G491:I492" si="47">G492</f>
        <v>4000</v>
      </c>
      <c r="H491" s="148">
        <f t="shared" si="47"/>
        <v>0</v>
      </c>
      <c r="I491" s="148">
        <f t="shared" si="47"/>
        <v>0</v>
      </c>
    </row>
    <row r="492" spans="1:9" x14ac:dyDescent="0.2">
      <c r="A492" s="18" t="s">
        <v>389</v>
      </c>
      <c r="B492" s="145">
        <v>11</v>
      </c>
      <c r="C492" s="19" t="s">
        <v>485</v>
      </c>
      <c r="D492" s="19" t="s">
        <v>463</v>
      </c>
      <c r="E492" s="16" t="s">
        <v>484</v>
      </c>
      <c r="F492" s="19"/>
      <c r="G492" s="20">
        <f t="shared" si="47"/>
        <v>4000</v>
      </c>
      <c r="H492" s="20">
        <f t="shared" si="47"/>
        <v>0</v>
      </c>
      <c r="I492" s="20">
        <f t="shared" si="47"/>
        <v>0</v>
      </c>
    </row>
    <row r="493" spans="1:9" ht="25.5" x14ac:dyDescent="0.2">
      <c r="A493" s="28" t="s">
        <v>141</v>
      </c>
      <c r="B493" s="145">
        <v>11</v>
      </c>
      <c r="C493" s="19" t="s">
        <v>485</v>
      </c>
      <c r="D493" s="19" t="s">
        <v>463</v>
      </c>
      <c r="E493" s="16" t="s">
        <v>484</v>
      </c>
      <c r="F493" s="24" t="s">
        <v>65</v>
      </c>
      <c r="G493" s="25">
        <f>'изменения июль вед стр-ра'!G605</f>
        <v>4000</v>
      </c>
      <c r="H493" s="25">
        <f>'изменения июль вед стр-ра'!H605</f>
        <v>0</v>
      </c>
      <c r="I493" s="25">
        <f>'изменения июль вед стр-ра'!I605</f>
        <v>0</v>
      </c>
    </row>
    <row r="494" spans="1:9" ht="25.5" x14ac:dyDescent="0.2">
      <c r="A494" s="40" t="s">
        <v>483</v>
      </c>
      <c r="B494" s="41" t="s">
        <v>23</v>
      </c>
      <c r="C494" s="41"/>
      <c r="D494" s="41"/>
      <c r="E494" s="41"/>
      <c r="F494" s="41"/>
      <c r="G494" s="39">
        <f t="shared" ref="G494:I495" si="48">G495</f>
        <v>3503.9</v>
      </c>
      <c r="H494" s="39">
        <f t="shared" si="48"/>
        <v>3503.9</v>
      </c>
      <c r="I494" s="39">
        <f t="shared" si="48"/>
        <v>3503.9</v>
      </c>
    </row>
    <row r="495" spans="1:9" ht="25.5" x14ac:dyDescent="0.2">
      <c r="A495" s="18" t="s">
        <v>187</v>
      </c>
      <c r="B495" s="19">
        <v>12</v>
      </c>
      <c r="C495" s="19">
        <v>0</v>
      </c>
      <c r="D495" s="19" t="s">
        <v>463</v>
      </c>
      <c r="E495" s="19" t="s">
        <v>482</v>
      </c>
      <c r="F495" s="19"/>
      <c r="G495" s="20">
        <f t="shared" si="48"/>
        <v>3503.9</v>
      </c>
      <c r="H495" s="20">
        <f t="shared" si="48"/>
        <v>3503.9</v>
      </c>
      <c r="I495" s="20">
        <f t="shared" si="48"/>
        <v>3503.9</v>
      </c>
    </row>
    <row r="496" spans="1:9" x14ac:dyDescent="0.2">
      <c r="A496" s="28" t="s">
        <v>74</v>
      </c>
      <c r="B496" s="24">
        <v>12</v>
      </c>
      <c r="C496" s="24">
        <v>0</v>
      </c>
      <c r="D496" s="24" t="s">
        <v>463</v>
      </c>
      <c r="E496" s="24" t="s">
        <v>482</v>
      </c>
      <c r="F496" s="24" t="s">
        <v>75</v>
      </c>
      <c r="G496" s="25">
        <f>'изменения июль вед стр-ра'!G131</f>
        <v>3503.9</v>
      </c>
      <c r="H496" s="25">
        <f>'изменения июль вед стр-ра'!H131</f>
        <v>3503.9</v>
      </c>
      <c r="I496" s="25">
        <f>'изменения июль вед стр-ра'!I131</f>
        <v>3503.9</v>
      </c>
    </row>
    <row r="497" spans="1:9" ht="25.5" x14ac:dyDescent="0.2">
      <c r="A497" s="40" t="s">
        <v>481</v>
      </c>
      <c r="B497" s="41" t="s">
        <v>61</v>
      </c>
      <c r="C497" s="41"/>
      <c r="D497" s="41"/>
      <c r="E497" s="41"/>
      <c r="F497" s="41"/>
      <c r="G497" s="39">
        <f t="shared" ref="G497:I498" si="49">G498</f>
        <v>20202.300000000003</v>
      </c>
      <c r="H497" s="39">
        <f t="shared" si="49"/>
        <v>18565.099999999999</v>
      </c>
      <c r="I497" s="39">
        <f t="shared" si="49"/>
        <v>18324.2</v>
      </c>
    </row>
    <row r="498" spans="1:9" s="79" customFormat="1" x14ac:dyDescent="0.2">
      <c r="A498" s="75" t="s">
        <v>147</v>
      </c>
      <c r="B498" s="77">
        <v>13</v>
      </c>
      <c r="C498" s="77">
        <v>0</v>
      </c>
      <c r="D498" s="77" t="s">
        <v>463</v>
      </c>
      <c r="E498" s="77" t="s">
        <v>480</v>
      </c>
      <c r="F498" s="77"/>
      <c r="G498" s="78">
        <f t="shared" si="49"/>
        <v>20202.300000000003</v>
      </c>
      <c r="H498" s="78">
        <f t="shared" si="49"/>
        <v>18565.099999999999</v>
      </c>
      <c r="I498" s="78">
        <f t="shared" si="49"/>
        <v>18324.2</v>
      </c>
    </row>
    <row r="499" spans="1:9" s="79" customFormat="1" ht="25.5" x14ac:dyDescent="0.2">
      <c r="A499" s="87" t="s">
        <v>141</v>
      </c>
      <c r="B499" s="82">
        <v>13</v>
      </c>
      <c r="C499" s="82">
        <v>0</v>
      </c>
      <c r="D499" s="82" t="s">
        <v>463</v>
      </c>
      <c r="E499" s="82" t="s">
        <v>480</v>
      </c>
      <c r="F499" s="82" t="s">
        <v>65</v>
      </c>
      <c r="G499" s="62">
        <f>'изменения июль вед стр-ра'!G47</f>
        <v>20202.300000000003</v>
      </c>
      <c r="H499" s="62">
        <f>'изменения июль вед стр-ра'!H47</f>
        <v>18565.099999999999</v>
      </c>
      <c r="I499" s="62">
        <f>'изменения июль вед стр-ра'!I47</f>
        <v>18324.2</v>
      </c>
    </row>
    <row r="500" spans="1:9" ht="38.25" x14ac:dyDescent="0.2">
      <c r="A500" s="40" t="s">
        <v>479</v>
      </c>
      <c r="B500" s="41" t="s">
        <v>478</v>
      </c>
      <c r="C500" s="41"/>
      <c r="D500" s="41"/>
      <c r="E500" s="41"/>
      <c r="F500" s="41"/>
      <c r="G500" s="39">
        <f>SUM(G501,G503)</f>
        <v>655</v>
      </c>
      <c r="H500" s="39">
        <f t="shared" ref="H500:I500" si="50">SUM(H501,H503)</f>
        <v>0</v>
      </c>
      <c r="I500" s="39">
        <f t="shared" si="50"/>
        <v>0</v>
      </c>
    </row>
    <row r="501" spans="1:9" ht="25.5" x14ac:dyDescent="0.2">
      <c r="A501" s="18" t="s">
        <v>167</v>
      </c>
      <c r="B501" s="19">
        <v>14</v>
      </c>
      <c r="C501" s="19">
        <v>0</v>
      </c>
      <c r="D501" s="19" t="s">
        <v>463</v>
      </c>
      <c r="E501" s="19" t="s">
        <v>477</v>
      </c>
      <c r="F501" s="19"/>
      <c r="G501" s="20">
        <f>G502</f>
        <v>175</v>
      </c>
      <c r="H501" s="20">
        <f>H502</f>
        <v>0</v>
      </c>
      <c r="I501" s="20">
        <f>I502</f>
        <v>0</v>
      </c>
    </row>
    <row r="502" spans="1:9" ht="25.5" x14ac:dyDescent="0.2">
      <c r="A502" s="30" t="s">
        <v>466</v>
      </c>
      <c r="B502" s="24">
        <v>14</v>
      </c>
      <c r="C502" s="24">
        <v>0</v>
      </c>
      <c r="D502" s="24" t="s">
        <v>463</v>
      </c>
      <c r="E502" s="24" t="s">
        <v>477</v>
      </c>
      <c r="F502" s="27" t="s">
        <v>68</v>
      </c>
      <c r="G502" s="25">
        <f>'изменения июль вед стр-ра'!G84</f>
        <v>175</v>
      </c>
      <c r="H502" s="25">
        <f>'изменения июль вед стр-ра'!H84</f>
        <v>0</v>
      </c>
      <c r="I502" s="25">
        <f>'изменения июль вед стр-ра'!I84</f>
        <v>0</v>
      </c>
    </row>
    <row r="503" spans="1:9" s="237" customFormat="1" ht="25.5" x14ac:dyDescent="0.2">
      <c r="A503" s="18" t="s">
        <v>710</v>
      </c>
      <c r="B503" s="24" t="s">
        <v>478</v>
      </c>
      <c r="C503" s="24" t="s">
        <v>464</v>
      </c>
      <c r="D503" s="24" t="s">
        <v>463</v>
      </c>
      <c r="E503" s="24" t="s">
        <v>712</v>
      </c>
      <c r="F503" s="27"/>
      <c r="G503" s="25">
        <f>G504</f>
        <v>480</v>
      </c>
      <c r="H503" s="25">
        <f t="shared" ref="H503:I503" si="51">H504</f>
        <v>0</v>
      </c>
      <c r="I503" s="25">
        <f t="shared" si="51"/>
        <v>0</v>
      </c>
    </row>
    <row r="504" spans="1:9" s="237" customFormat="1" x14ac:dyDescent="0.2">
      <c r="A504" s="30" t="s">
        <v>72</v>
      </c>
      <c r="B504" s="24" t="s">
        <v>478</v>
      </c>
      <c r="C504" s="24" t="s">
        <v>464</v>
      </c>
      <c r="D504" s="24" t="s">
        <v>463</v>
      </c>
      <c r="E504" s="24" t="s">
        <v>712</v>
      </c>
      <c r="F504" s="27" t="s">
        <v>73</v>
      </c>
      <c r="G504" s="25">
        <f>'изменения июль вед стр-ра'!G86</f>
        <v>480</v>
      </c>
      <c r="H504" s="25">
        <f>'изменения июль вед стр-ра'!H86</f>
        <v>0</v>
      </c>
      <c r="I504" s="25">
        <f>'изменения июль вед стр-ра'!I86</f>
        <v>0</v>
      </c>
    </row>
    <row r="505" spans="1:9" ht="38.25" x14ac:dyDescent="0.2">
      <c r="A505" s="40" t="s">
        <v>476</v>
      </c>
      <c r="B505" s="41" t="s">
        <v>475</v>
      </c>
      <c r="C505" s="41"/>
      <c r="D505" s="41"/>
      <c r="E505" s="41"/>
      <c r="F505" s="41"/>
      <c r="G505" s="39">
        <f>SUM(G506)+G510</f>
        <v>32478.758249999999</v>
      </c>
      <c r="H505" s="39">
        <f>SUM(H506)+H510</f>
        <v>0</v>
      </c>
      <c r="I505" s="39">
        <f>SUM(I506)+I510</f>
        <v>0</v>
      </c>
    </row>
    <row r="506" spans="1:9" s="79" customFormat="1" ht="25.5" x14ac:dyDescent="0.2">
      <c r="A506" s="75" t="s">
        <v>684</v>
      </c>
      <c r="B506" s="147">
        <v>15</v>
      </c>
      <c r="C506" s="77" t="s">
        <v>464</v>
      </c>
      <c r="D506" s="77" t="s">
        <v>474</v>
      </c>
      <c r="E506" s="77"/>
      <c r="F506" s="77"/>
      <c r="G506" s="78">
        <f>G507</f>
        <v>31115</v>
      </c>
      <c r="H506" s="78">
        <f>H507</f>
        <v>0</v>
      </c>
      <c r="I506" s="78">
        <f>I507</f>
        <v>0</v>
      </c>
    </row>
    <row r="507" spans="1:9" ht="25.5" x14ac:dyDescent="0.2">
      <c r="A507" s="89" t="s">
        <v>441</v>
      </c>
      <c r="B507" s="145">
        <v>15</v>
      </c>
      <c r="C507" s="19" t="s">
        <v>464</v>
      </c>
      <c r="D507" s="77" t="s">
        <v>474</v>
      </c>
      <c r="E507" s="16" t="s">
        <v>473</v>
      </c>
      <c r="F507" s="19"/>
      <c r="G507" s="20">
        <f>SUM(G508:G509)</f>
        <v>31115</v>
      </c>
      <c r="H507" s="20">
        <f>SUM(H508:H509)</f>
        <v>0</v>
      </c>
      <c r="I507" s="20">
        <f>SUM(I508:I509)</f>
        <v>0</v>
      </c>
    </row>
    <row r="508" spans="1:9" ht="25.5" x14ac:dyDescent="0.2">
      <c r="A508" s="30" t="s">
        <v>466</v>
      </c>
      <c r="B508" s="146">
        <v>15</v>
      </c>
      <c r="C508" s="24" t="s">
        <v>464</v>
      </c>
      <c r="D508" s="77" t="s">
        <v>474</v>
      </c>
      <c r="E508" s="16" t="s">
        <v>473</v>
      </c>
      <c r="F508" s="24" t="s">
        <v>68</v>
      </c>
      <c r="G508" s="62">
        <f>'изменения июль вед стр-ра'!G589+'изменения июль вед стр-ра'!G563</f>
        <v>25911.406750000002</v>
      </c>
      <c r="H508" s="62">
        <f>'изменения июль вед стр-ра'!H589</f>
        <v>0</v>
      </c>
      <c r="I508" s="62">
        <f>'изменения июль вед стр-ра'!I589</f>
        <v>0</v>
      </c>
    </row>
    <row r="509" spans="1:9" ht="25.5" x14ac:dyDescent="0.2">
      <c r="A509" s="28" t="s">
        <v>141</v>
      </c>
      <c r="B509" s="146">
        <v>15</v>
      </c>
      <c r="C509" s="24" t="s">
        <v>464</v>
      </c>
      <c r="D509" s="77" t="s">
        <v>474</v>
      </c>
      <c r="E509" s="16" t="s">
        <v>473</v>
      </c>
      <c r="F509" s="24" t="s">
        <v>65</v>
      </c>
      <c r="G509" s="62">
        <f>'изменения июль вед стр-ра'!G590</f>
        <v>5203.5932499999999</v>
      </c>
      <c r="H509" s="62">
        <f>'изменения июль вед стр-ра'!H590</f>
        <v>0</v>
      </c>
      <c r="I509" s="62">
        <f>'изменения июль вед стр-ра'!I590</f>
        <v>0</v>
      </c>
    </row>
    <row r="510" spans="1:9" ht="25.5" x14ac:dyDescent="0.2">
      <c r="A510" s="17" t="s">
        <v>409</v>
      </c>
      <c r="B510" s="145">
        <v>15</v>
      </c>
      <c r="C510" s="19" t="s">
        <v>464</v>
      </c>
      <c r="D510" s="19" t="s">
        <v>463</v>
      </c>
      <c r="E510" s="16" t="s">
        <v>472</v>
      </c>
      <c r="F510" s="19"/>
      <c r="G510" s="20">
        <f>G511</f>
        <v>1363.7582500000003</v>
      </c>
      <c r="H510" s="20">
        <f>H511</f>
        <v>0</v>
      </c>
      <c r="I510" s="20">
        <f>I511</f>
        <v>0</v>
      </c>
    </row>
    <row r="511" spans="1:9" ht="25.5" x14ac:dyDescent="0.2">
      <c r="A511" s="30" t="s">
        <v>466</v>
      </c>
      <c r="B511" s="146">
        <v>15</v>
      </c>
      <c r="C511" s="24" t="s">
        <v>464</v>
      </c>
      <c r="D511" s="24" t="s">
        <v>463</v>
      </c>
      <c r="E511" s="16" t="s">
        <v>472</v>
      </c>
      <c r="F511" s="24" t="s">
        <v>68</v>
      </c>
      <c r="G511" s="25">
        <f>'изменения июль вед стр-ра'!G594+'изменения июль вед стр-ра'!G561</f>
        <v>1363.7582500000003</v>
      </c>
      <c r="H511" s="25">
        <f>'изменения июль вед стр-ра'!H594</f>
        <v>0</v>
      </c>
      <c r="I511" s="25">
        <f>'изменения июль вед стр-ра'!I594</f>
        <v>0</v>
      </c>
    </row>
    <row r="512" spans="1:9" x14ac:dyDescent="0.2">
      <c r="A512" s="40" t="s">
        <v>471</v>
      </c>
      <c r="B512" s="41" t="s">
        <v>364</v>
      </c>
      <c r="C512" s="41"/>
      <c r="D512" s="41"/>
      <c r="E512" s="41"/>
      <c r="F512" s="41"/>
      <c r="G512" s="39">
        <f>SUM(G513,G515,G517,G519)+G523</f>
        <v>11224.199999999999</v>
      </c>
      <c r="H512" s="39">
        <f>SUM(H513,H515,H517,H519)+H523+H525</f>
        <v>32261.4</v>
      </c>
      <c r="I512" s="39">
        <f>SUM(I513,I515,I517,I519)+I523+I525</f>
        <v>50448.9</v>
      </c>
    </row>
    <row r="513" spans="1:16" ht="25.5" x14ac:dyDescent="0.2">
      <c r="A513" s="18" t="s">
        <v>222</v>
      </c>
      <c r="B513" s="19">
        <v>99</v>
      </c>
      <c r="C513" s="19">
        <v>0</v>
      </c>
      <c r="D513" s="19" t="s">
        <v>463</v>
      </c>
      <c r="E513" s="19" t="s">
        <v>470</v>
      </c>
      <c r="F513" s="19"/>
      <c r="G513" s="20">
        <f>G514</f>
        <v>1817</v>
      </c>
      <c r="H513" s="20">
        <f>H514</f>
        <v>1514.4</v>
      </c>
      <c r="I513" s="20">
        <f>I514</f>
        <v>1514.4</v>
      </c>
    </row>
    <row r="514" spans="1:16" ht="51" x14ac:dyDescent="0.2">
      <c r="A514" s="30" t="s">
        <v>66</v>
      </c>
      <c r="B514" s="24">
        <v>99</v>
      </c>
      <c r="C514" s="24">
        <v>0</v>
      </c>
      <c r="D514" s="24" t="s">
        <v>463</v>
      </c>
      <c r="E514" s="24" t="s">
        <v>470</v>
      </c>
      <c r="F514" s="27" t="s">
        <v>67</v>
      </c>
      <c r="G514" s="25">
        <f>'изменения июль вед стр-ра'!G222</f>
        <v>1817</v>
      </c>
      <c r="H514" s="25">
        <f>'изменения июль вед стр-ра'!H222</f>
        <v>1514.4</v>
      </c>
      <c r="I514" s="25">
        <f>'изменения июль вед стр-ра'!I222</f>
        <v>1514.4</v>
      </c>
    </row>
    <row r="515" spans="1:16" x14ac:dyDescent="0.2">
      <c r="A515" s="18" t="s">
        <v>223</v>
      </c>
      <c r="B515" s="19">
        <v>99</v>
      </c>
      <c r="C515" s="19">
        <v>0</v>
      </c>
      <c r="D515" s="19" t="s">
        <v>463</v>
      </c>
      <c r="E515" s="19" t="s">
        <v>469</v>
      </c>
      <c r="F515" s="19"/>
      <c r="G515" s="20">
        <f>G516</f>
        <v>3003.3</v>
      </c>
      <c r="H515" s="20">
        <f>H516</f>
        <v>2817</v>
      </c>
      <c r="I515" s="20">
        <f>I516</f>
        <v>2817</v>
      </c>
    </row>
    <row r="516" spans="1:16" ht="51" x14ac:dyDescent="0.2">
      <c r="A516" s="30" t="s">
        <v>66</v>
      </c>
      <c r="B516" s="24">
        <v>99</v>
      </c>
      <c r="C516" s="24">
        <v>0</v>
      </c>
      <c r="D516" s="24" t="s">
        <v>463</v>
      </c>
      <c r="E516" s="24" t="s">
        <v>469</v>
      </c>
      <c r="F516" s="27" t="s">
        <v>67</v>
      </c>
      <c r="G516" s="25">
        <f>'изменения июль вед стр-ра'!G224</f>
        <v>3003.3</v>
      </c>
      <c r="H516" s="25">
        <f>'изменения июль вед стр-ра'!H224</f>
        <v>2817</v>
      </c>
      <c r="I516" s="25">
        <f>'изменения июль вед стр-ра'!I224</f>
        <v>2817</v>
      </c>
    </row>
    <row r="517" spans="1:16" x14ac:dyDescent="0.2">
      <c r="A517" s="18" t="s">
        <v>220</v>
      </c>
      <c r="B517" s="19">
        <v>99</v>
      </c>
      <c r="C517" s="19">
        <v>0</v>
      </c>
      <c r="D517" s="19" t="s">
        <v>463</v>
      </c>
      <c r="E517" s="19" t="s">
        <v>468</v>
      </c>
      <c r="F517" s="19"/>
      <c r="G517" s="20">
        <f>G518</f>
        <v>766.3</v>
      </c>
      <c r="H517" s="20">
        <f>H518</f>
        <v>638.5</v>
      </c>
      <c r="I517" s="20">
        <f>I518</f>
        <v>638.5</v>
      </c>
    </row>
    <row r="518" spans="1:16" ht="51" x14ac:dyDescent="0.2">
      <c r="A518" s="30" t="s">
        <v>66</v>
      </c>
      <c r="B518" s="24">
        <v>99</v>
      </c>
      <c r="C518" s="24">
        <v>0</v>
      </c>
      <c r="D518" s="24" t="s">
        <v>463</v>
      </c>
      <c r="E518" s="24" t="s">
        <v>468</v>
      </c>
      <c r="F518" s="27" t="s">
        <v>67</v>
      </c>
      <c r="G518" s="25">
        <f>'изменения июль вед стр-ра'!G213</f>
        <v>766.3</v>
      </c>
      <c r="H518" s="25">
        <f>'изменения июль вед стр-ра'!H213</f>
        <v>638.5</v>
      </c>
      <c r="I518" s="25">
        <f>'изменения июль вед стр-ра'!I213</f>
        <v>638.5</v>
      </c>
    </row>
    <row r="519" spans="1:16" x14ac:dyDescent="0.2">
      <c r="A519" s="18" t="s">
        <v>219</v>
      </c>
      <c r="B519" s="19">
        <v>99</v>
      </c>
      <c r="C519" s="19">
        <v>0</v>
      </c>
      <c r="D519" s="19" t="s">
        <v>463</v>
      </c>
      <c r="E519" s="19" t="s">
        <v>467</v>
      </c>
      <c r="F519" s="19"/>
      <c r="G519" s="20">
        <f>G520+G521+G522</f>
        <v>5621.2999999999993</v>
      </c>
      <c r="H519" s="20">
        <f>H520+H521+H522</f>
        <v>4893.5999999999995</v>
      </c>
      <c r="I519" s="20">
        <f>I520+I521+I522</f>
        <v>4893.5999999999995</v>
      </c>
    </row>
    <row r="520" spans="1:16" ht="51" x14ac:dyDescent="0.2">
      <c r="A520" s="30" t="s">
        <v>66</v>
      </c>
      <c r="B520" s="24">
        <v>99</v>
      </c>
      <c r="C520" s="24">
        <v>0</v>
      </c>
      <c r="D520" s="24" t="s">
        <v>463</v>
      </c>
      <c r="E520" s="24" t="s">
        <v>467</v>
      </c>
      <c r="F520" s="27" t="s">
        <v>67</v>
      </c>
      <c r="G520" s="25">
        <f>'изменения июль вед стр-ра'!G209+'изменения июль вед стр-ра'!G218</f>
        <v>4709.7999999999993</v>
      </c>
      <c r="H520" s="25">
        <f>'изменения июль вед стр-ра'!H209+'изменения июль вед стр-ра'!H218</f>
        <v>3982.1</v>
      </c>
      <c r="I520" s="25">
        <f>'изменения июль вед стр-ра'!I209+'изменения июль вед стр-ра'!I218</f>
        <v>3982.1</v>
      </c>
    </row>
    <row r="521" spans="1:16" ht="25.5" x14ac:dyDescent="0.2">
      <c r="A521" s="30" t="s">
        <v>466</v>
      </c>
      <c r="B521" s="24">
        <v>99</v>
      </c>
      <c r="C521" s="24">
        <v>0</v>
      </c>
      <c r="D521" s="24" t="s">
        <v>463</v>
      </c>
      <c r="E521" s="24" t="s">
        <v>467</v>
      </c>
      <c r="F521" s="27" t="s">
        <v>68</v>
      </c>
      <c r="G521" s="25">
        <f>'изменения июль вед стр-ра'!G210+'изменения июль вед стр-ра'!G219</f>
        <v>909.1</v>
      </c>
      <c r="H521" s="25">
        <f>'изменения июль вед стр-ра'!H210+'изменения июль вед стр-ра'!H219</f>
        <v>909.1</v>
      </c>
      <c r="I521" s="25">
        <f>'изменения июль вед стр-ра'!I210+'изменения июль вед стр-ра'!I219</f>
        <v>909.1</v>
      </c>
    </row>
    <row r="522" spans="1:16" x14ac:dyDescent="0.2">
      <c r="A522" s="28" t="s">
        <v>72</v>
      </c>
      <c r="B522" s="24">
        <v>99</v>
      </c>
      <c r="C522" s="24">
        <v>0</v>
      </c>
      <c r="D522" s="24" t="s">
        <v>463</v>
      </c>
      <c r="E522" s="24" t="s">
        <v>467</v>
      </c>
      <c r="F522" s="24" t="s">
        <v>73</v>
      </c>
      <c r="G522" s="25">
        <f>'изменения июль вед стр-ра'!G211+'изменения июль вед стр-ра'!G220</f>
        <v>2.4</v>
      </c>
      <c r="H522" s="25">
        <f>'изменения июль вед стр-ра'!H211+'изменения июль вед стр-ра'!H220</f>
        <v>2.4</v>
      </c>
      <c r="I522" s="25">
        <f>'изменения июль вед стр-ра'!I211+'изменения июль вед стр-ра'!I220</f>
        <v>2.4</v>
      </c>
    </row>
    <row r="523" spans="1:16" ht="38.25" x14ac:dyDescent="0.2">
      <c r="A523" s="18" t="s">
        <v>367</v>
      </c>
      <c r="B523" s="19">
        <v>99</v>
      </c>
      <c r="C523" s="19">
        <v>0</v>
      </c>
      <c r="D523" s="19" t="s">
        <v>463</v>
      </c>
      <c r="E523" s="19" t="s">
        <v>465</v>
      </c>
      <c r="F523" s="19"/>
      <c r="G523" s="20">
        <f>G524</f>
        <v>16.3</v>
      </c>
      <c r="H523" s="20">
        <f>H524</f>
        <v>16.899999999999999</v>
      </c>
      <c r="I523" s="20">
        <f>I524</f>
        <v>17.5</v>
      </c>
    </row>
    <row r="524" spans="1:16" ht="25.5" x14ac:dyDescent="0.2">
      <c r="A524" s="30" t="s">
        <v>466</v>
      </c>
      <c r="B524" s="24">
        <v>99</v>
      </c>
      <c r="C524" s="24">
        <v>0</v>
      </c>
      <c r="D524" s="24" t="s">
        <v>463</v>
      </c>
      <c r="E524" s="24" t="s">
        <v>465</v>
      </c>
      <c r="F524" s="27" t="s">
        <v>68</v>
      </c>
      <c r="G524" s="25">
        <f>'изменения июль вед стр-ра'!G37</f>
        <v>16.3</v>
      </c>
      <c r="H524" s="25">
        <f>'изменения июль вед стр-ра'!H37</f>
        <v>16.899999999999999</v>
      </c>
      <c r="I524" s="25">
        <f>'изменения июль вед стр-ра'!I37</f>
        <v>17.5</v>
      </c>
    </row>
    <row r="525" spans="1:16" x14ac:dyDescent="0.2">
      <c r="A525" s="18" t="s">
        <v>363</v>
      </c>
      <c r="B525" s="145">
        <v>99</v>
      </c>
      <c r="C525" s="19" t="s">
        <v>464</v>
      </c>
      <c r="D525" s="19" t="s">
        <v>463</v>
      </c>
      <c r="E525" s="19" t="s">
        <v>462</v>
      </c>
      <c r="F525" s="19"/>
      <c r="G525" s="20"/>
      <c r="H525" s="20">
        <f t="shared" ref="H525:I527" si="52">H526</f>
        <v>22381</v>
      </c>
      <c r="I525" s="20">
        <f t="shared" si="52"/>
        <v>40567.9</v>
      </c>
    </row>
    <row r="526" spans="1:16" x14ac:dyDescent="0.2">
      <c r="A526" s="18" t="s">
        <v>363</v>
      </c>
      <c r="B526" s="145">
        <v>99</v>
      </c>
      <c r="C526" s="19" t="s">
        <v>464</v>
      </c>
      <c r="D526" s="19" t="s">
        <v>463</v>
      </c>
      <c r="E526" s="19" t="s">
        <v>462</v>
      </c>
      <c r="F526" s="19"/>
      <c r="G526" s="20"/>
      <c r="H526" s="20">
        <f t="shared" si="52"/>
        <v>22381</v>
      </c>
      <c r="I526" s="20">
        <f t="shared" si="52"/>
        <v>40567.9</v>
      </c>
    </row>
    <row r="527" spans="1:16" x14ac:dyDescent="0.2">
      <c r="A527" s="18" t="s">
        <v>363</v>
      </c>
      <c r="B527" s="145">
        <v>99</v>
      </c>
      <c r="C527" s="19" t="s">
        <v>464</v>
      </c>
      <c r="D527" s="19" t="s">
        <v>463</v>
      </c>
      <c r="E527" s="19" t="s">
        <v>462</v>
      </c>
      <c r="F527" s="19"/>
      <c r="G527" s="20"/>
      <c r="H527" s="20">
        <f t="shared" si="52"/>
        <v>22381</v>
      </c>
      <c r="I527" s="20">
        <f t="shared" si="52"/>
        <v>40567.9</v>
      </c>
    </row>
    <row r="528" spans="1:16" s="26" customFormat="1" x14ac:dyDescent="0.2">
      <c r="A528" s="28" t="s">
        <v>363</v>
      </c>
      <c r="B528" s="145">
        <v>99</v>
      </c>
      <c r="C528" s="19" t="s">
        <v>464</v>
      </c>
      <c r="D528" s="19" t="s">
        <v>463</v>
      </c>
      <c r="E528" s="19" t="s">
        <v>462</v>
      </c>
      <c r="F528" s="24" t="s">
        <v>73</v>
      </c>
      <c r="G528" s="25"/>
      <c r="H528" s="25">
        <f>'изменения июль вед стр-ра'!H135</f>
        <v>22381</v>
      </c>
      <c r="I528" s="25">
        <f>'изменения июль вед стр-ра'!I135</f>
        <v>40567.9</v>
      </c>
      <c r="K528" s="21"/>
      <c r="L528" s="21"/>
      <c r="M528" s="21"/>
      <c r="N528" s="21"/>
      <c r="O528" s="21"/>
      <c r="P528" s="21"/>
    </row>
    <row r="529" spans="1:9" ht="15.75" x14ac:dyDescent="0.25">
      <c r="A529" s="144" t="s">
        <v>461</v>
      </c>
      <c r="B529" s="143"/>
      <c r="C529" s="142"/>
      <c r="D529" s="143"/>
      <c r="E529" s="142"/>
      <c r="F529" s="142"/>
      <c r="G529" s="141">
        <f>SUM(G494,G512,G465,G434,G412,G284,G261,G141,G96,G71,G47,G13,G500,G497)+G505</f>
        <v>3554306.0833699992</v>
      </c>
      <c r="H529" s="141">
        <f>SUM(H494,H512,H465,H434,H412,H284,H261,H141,H96,H71,H47,H13,H500,H497)+H505</f>
        <v>2743590.4217400001</v>
      </c>
      <c r="I529" s="141">
        <f>SUM(I494,I512,I465,I434,I412,I284,I261,I141,I96,I71,I47,I13,I500,I497)+I505</f>
        <v>2712916.7640000004</v>
      </c>
    </row>
    <row r="530" spans="1:9" x14ac:dyDescent="0.2">
      <c r="B530" s="193"/>
      <c r="C530" s="21"/>
      <c r="D530" s="193"/>
      <c r="E530" s="21"/>
      <c r="F530" s="21"/>
      <c r="G530" s="194"/>
      <c r="H530" s="194"/>
      <c r="I530" s="194"/>
    </row>
    <row r="531" spans="1:9" x14ac:dyDescent="0.2">
      <c r="B531" s="193"/>
      <c r="C531" s="21"/>
      <c r="D531" s="193"/>
      <c r="E531" s="21"/>
      <c r="F531" s="21"/>
      <c r="G531" s="194"/>
      <c r="H531" s="194"/>
      <c r="I531" s="194"/>
    </row>
    <row r="532" spans="1:9" x14ac:dyDescent="0.2">
      <c r="B532" s="193"/>
      <c r="C532" s="21"/>
      <c r="D532" s="193"/>
      <c r="E532" s="21"/>
      <c r="F532" s="21"/>
      <c r="G532" s="194"/>
      <c r="H532" s="194"/>
      <c r="I532" s="194"/>
    </row>
    <row r="533" spans="1:9" s="197" customFormat="1" x14ac:dyDescent="0.2">
      <c r="A533" s="195" t="s">
        <v>460</v>
      </c>
      <c r="B533" s="196"/>
      <c r="C533" s="196"/>
      <c r="D533" s="196"/>
      <c r="E533" s="196"/>
      <c r="H533" s="198"/>
      <c r="I533" s="199" t="s">
        <v>80</v>
      </c>
    </row>
    <row r="534" spans="1:9" ht="3.75" customHeight="1" x14ac:dyDescent="0.2">
      <c r="B534" s="193"/>
      <c r="C534" s="21"/>
      <c r="D534" s="193"/>
      <c r="E534" s="21"/>
      <c r="F534" s="21"/>
      <c r="G534" s="21"/>
    </row>
    <row r="535" spans="1:9" x14ac:dyDescent="0.2">
      <c r="B535" s="193"/>
      <c r="C535" s="21"/>
      <c r="D535" s="193"/>
      <c r="E535" s="21"/>
      <c r="F535" s="21"/>
      <c r="G535" s="200">
        <f>G529-'изменения июль вед стр-ра'!G622</f>
        <v>0</v>
      </c>
      <c r="H535" s="200">
        <f>H529-'изменения июль вед стр-ра'!H622</f>
        <v>0</v>
      </c>
      <c r="I535" s="200">
        <f>I529-'изменения июль вед стр-ра'!I622</f>
        <v>0</v>
      </c>
    </row>
    <row r="536" spans="1:9" x14ac:dyDescent="0.2">
      <c r="B536" s="193"/>
      <c r="C536" s="21"/>
      <c r="D536" s="193"/>
      <c r="E536" s="21"/>
      <c r="F536" s="21"/>
      <c r="G536" s="194"/>
      <c r="H536" s="194"/>
      <c r="I536" s="194"/>
    </row>
    <row r="537" spans="1:9" x14ac:dyDescent="0.2">
      <c r="B537" s="193"/>
      <c r="C537" s="21"/>
      <c r="D537" s="193"/>
      <c r="E537" s="21"/>
      <c r="F537" s="21"/>
      <c r="G537" s="194"/>
      <c r="H537" s="194"/>
      <c r="I537" s="194"/>
    </row>
    <row r="538" spans="1:9" x14ac:dyDescent="0.2">
      <c r="B538" s="193"/>
      <c r="C538" s="21"/>
      <c r="D538" s="193"/>
      <c r="E538" s="21"/>
      <c r="F538" s="21"/>
      <c r="G538" s="21"/>
    </row>
    <row r="539" spans="1:9" x14ac:dyDescent="0.2">
      <c r="B539" s="193"/>
      <c r="C539" s="21"/>
      <c r="D539" s="193"/>
      <c r="E539" s="21"/>
      <c r="F539" s="21"/>
      <c r="G539" s="194"/>
      <c r="H539" s="194"/>
      <c r="I539" s="194"/>
    </row>
    <row r="540" spans="1:9" x14ac:dyDescent="0.2">
      <c r="B540" s="193"/>
      <c r="C540" s="21"/>
      <c r="D540" s="193"/>
      <c r="E540" s="21"/>
      <c r="F540" s="21"/>
      <c r="G540" s="21"/>
    </row>
    <row r="541" spans="1:9" x14ac:dyDescent="0.2">
      <c r="B541" s="193"/>
      <c r="C541" s="21"/>
      <c r="D541" s="193"/>
      <c r="E541" s="21"/>
      <c r="F541" s="21"/>
      <c r="G541" s="194"/>
      <c r="H541" s="194"/>
      <c r="I541" s="194"/>
    </row>
    <row r="542" spans="1:9" x14ac:dyDescent="0.2">
      <c r="B542" s="193"/>
      <c r="C542" s="21"/>
      <c r="D542" s="193"/>
      <c r="E542" s="21"/>
      <c r="F542" s="21"/>
      <c r="G542" s="21"/>
    </row>
    <row r="543" spans="1:9" x14ac:dyDescent="0.2">
      <c r="B543" s="193"/>
      <c r="C543" s="21"/>
      <c r="D543" s="193"/>
      <c r="E543" s="21"/>
      <c r="F543" s="21"/>
      <c r="G543" s="21"/>
    </row>
    <row r="544" spans="1:9" x14ac:dyDescent="0.2">
      <c r="B544" s="193"/>
      <c r="C544" s="21"/>
      <c r="D544" s="193"/>
      <c r="E544" s="21"/>
      <c r="F544" s="21"/>
      <c r="G544" s="21"/>
    </row>
    <row r="545" spans="2:7" x14ac:dyDescent="0.2">
      <c r="B545" s="193"/>
      <c r="C545" s="21"/>
      <c r="D545" s="193"/>
      <c r="E545" s="21"/>
      <c r="F545" s="21"/>
      <c r="G545" s="21"/>
    </row>
    <row r="546" spans="2:7" x14ac:dyDescent="0.2">
      <c r="B546" s="193"/>
      <c r="C546" s="21"/>
      <c r="D546" s="193"/>
      <c r="E546" s="21"/>
      <c r="F546" s="21"/>
      <c r="G546" s="21"/>
    </row>
    <row r="547" spans="2:7" x14ac:dyDescent="0.2">
      <c r="B547" s="193"/>
      <c r="C547" s="21"/>
      <c r="D547" s="193"/>
      <c r="E547" s="21"/>
      <c r="F547" s="21"/>
      <c r="G547" s="21"/>
    </row>
    <row r="548" spans="2:7" x14ac:dyDescent="0.2">
      <c r="B548" s="193"/>
      <c r="C548" s="21"/>
      <c r="D548" s="193"/>
      <c r="E548" s="21"/>
      <c r="F548" s="21"/>
      <c r="G548" s="21"/>
    </row>
    <row r="549" spans="2:7" x14ac:dyDescent="0.2">
      <c r="B549" s="193"/>
      <c r="C549" s="21"/>
      <c r="D549" s="193"/>
      <c r="E549" s="21"/>
      <c r="F549" s="21"/>
      <c r="G549" s="21"/>
    </row>
    <row r="550" spans="2:7" x14ac:dyDescent="0.2">
      <c r="B550" s="193"/>
      <c r="C550" s="21"/>
      <c r="D550" s="193"/>
      <c r="E550" s="21"/>
      <c r="F550" s="21"/>
      <c r="G550" s="21"/>
    </row>
    <row r="551" spans="2:7" x14ac:dyDescent="0.2">
      <c r="B551" s="193"/>
      <c r="C551" s="21"/>
      <c r="D551" s="193"/>
      <c r="E551" s="21"/>
      <c r="F551" s="21"/>
      <c r="G551" s="21"/>
    </row>
    <row r="552" spans="2:7" x14ac:dyDescent="0.2">
      <c r="B552" s="193"/>
      <c r="C552" s="21"/>
      <c r="D552" s="193"/>
      <c r="E552" s="21"/>
      <c r="F552" s="21"/>
      <c r="G552" s="21"/>
    </row>
    <row r="553" spans="2:7" x14ac:dyDescent="0.2">
      <c r="B553" s="193"/>
      <c r="C553" s="21"/>
      <c r="D553" s="193"/>
      <c r="E553" s="21"/>
      <c r="F553" s="21"/>
      <c r="G553" s="21"/>
    </row>
    <row r="554" spans="2:7" x14ac:dyDescent="0.2">
      <c r="B554" s="193"/>
      <c r="C554" s="21"/>
      <c r="D554" s="193"/>
      <c r="E554" s="21"/>
      <c r="F554" s="21"/>
      <c r="G554" s="21"/>
    </row>
    <row r="555" spans="2:7" x14ac:dyDescent="0.2">
      <c r="B555" s="193"/>
      <c r="C555" s="21"/>
      <c r="D555" s="193"/>
      <c r="E555" s="21"/>
      <c r="F555" s="21"/>
      <c r="G555" s="21"/>
    </row>
    <row r="556" spans="2:7" x14ac:dyDescent="0.2">
      <c r="B556" s="193"/>
      <c r="C556" s="21"/>
      <c r="D556" s="193"/>
      <c r="E556" s="21"/>
      <c r="F556" s="21"/>
      <c r="G556" s="21"/>
    </row>
    <row r="557" spans="2:7" x14ac:dyDescent="0.2">
      <c r="B557" s="193"/>
      <c r="C557" s="21"/>
      <c r="D557" s="193"/>
      <c r="E557" s="21"/>
      <c r="F557" s="21"/>
      <c r="G557" s="21"/>
    </row>
    <row r="558" spans="2:7" x14ac:dyDescent="0.2">
      <c r="B558" s="193"/>
      <c r="C558" s="21"/>
      <c r="D558" s="193"/>
      <c r="E558" s="21"/>
      <c r="F558" s="21"/>
      <c r="G558" s="21"/>
    </row>
    <row r="559" spans="2:7" x14ac:dyDescent="0.2">
      <c r="B559" s="193"/>
      <c r="C559" s="21"/>
      <c r="D559" s="193"/>
      <c r="E559" s="21"/>
      <c r="F559" s="21"/>
      <c r="G559" s="21"/>
    </row>
    <row r="560" spans="2:7" x14ac:dyDescent="0.2">
      <c r="B560" s="193"/>
      <c r="C560" s="21"/>
      <c r="D560" s="193"/>
      <c r="E560" s="21"/>
      <c r="F560" s="21"/>
      <c r="G560" s="21"/>
    </row>
    <row r="561" spans="2:7" x14ac:dyDescent="0.2">
      <c r="B561" s="193"/>
      <c r="C561" s="21"/>
      <c r="D561" s="193"/>
      <c r="E561" s="21"/>
      <c r="F561" s="21"/>
      <c r="G561" s="21"/>
    </row>
    <row r="562" spans="2:7" x14ac:dyDescent="0.2">
      <c r="B562" s="193"/>
      <c r="C562" s="21"/>
      <c r="D562" s="193"/>
      <c r="E562" s="21"/>
      <c r="F562" s="21"/>
      <c r="G562" s="21"/>
    </row>
    <row r="563" spans="2:7" x14ac:dyDescent="0.2">
      <c r="B563" s="193"/>
      <c r="C563" s="21"/>
      <c r="D563" s="193"/>
      <c r="E563" s="21"/>
      <c r="F563" s="21"/>
      <c r="G563" s="21"/>
    </row>
    <row r="564" spans="2:7" x14ac:dyDescent="0.2">
      <c r="B564" s="193"/>
      <c r="C564" s="21"/>
      <c r="D564" s="193"/>
      <c r="E564" s="21"/>
      <c r="F564" s="21"/>
      <c r="G564" s="21"/>
    </row>
    <row r="565" spans="2:7" x14ac:dyDescent="0.2">
      <c r="B565" s="193"/>
      <c r="C565" s="21"/>
      <c r="D565" s="193"/>
      <c r="E565" s="21"/>
      <c r="F565" s="21"/>
      <c r="G565" s="21"/>
    </row>
    <row r="566" spans="2:7" x14ac:dyDescent="0.2">
      <c r="B566" s="193"/>
      <c r="C566" s="21"/>
      <c r="D566" s="193"/>
      <c r="E566" s="21"/>
      <c r="F566" s="21"/>
      <c r="G566" s="21"/>
    </row>
    <row r="567" spans="2:7" x14ac:dyDescent="0.2">
      <c r="B567" s="193"/>
      <c r="C567" s="21"/>
      <c r="D567" s="193"/>
      <c r="E567" s="21"/>
      <c r="F567" s="21"/>
      <c r="G567" s="21"/>
    </row>
    <row r="568" spans="2:7" x14ac:dyDescent="0.2">
      <c r="B568" s="193"/>
      <c r="C568" s="21"/>
      <c r="D568" s="193"/>
      <c r="E568" s="21"/>
      <c r="F568" s="21"/>
      <c r="G568" s="21"/>
    </row>
    <row r="569" spans="2:7" x14ac:dyDescent="0.2">
      <c r="B569" s="193"/>
      <c r="C569" s="21"/>
      <c r="D569" s="193"/>
      <c r="E569" s="21"/>
      <c r="F569" s="21"/>
      <c r="G569" s="21"/>
    </row>
    <row r="570" spans="2:7" x14ac:dyDescent="0.2">
      <c r="B570" s="193"/>
      <c r="C570" s="21"/>
      <c r="D570" s="193"/>
      <c r="E570" s="21"/>
      <c r="F570" s="21"/>
      <c r="G570" s="21"/>
    </row>
    <row r="571" spans="2:7" x14ac:dyDescent="0.2">
      <c r="B571" s="193"/>
      <c r="C571" s="21"/>
      <c r="D571" s="193"/>
      <c r="E571" s="21"/>
      <c r="F571" s="21"/>
      <c r="G571" s="21"/>
    </row>
    <row r="572" spans="2:7" x14ac:dyDescent="0.2">
      <c r="B572" s="193"/>
      <c r="C572" s="21"/>
      <c r="D572" s="193"/>
      <c r="E572" s="21"/>
      <c r="F572" s="21"/>
      <c r="G572" s="21"/>
    </row>
    <row r="573" spans="2:7" x14ac:dyDescent="0.2">
      <c r="B573" s="193"/>
      <c r="C573" s="21"/>
      <c r="D573" s="193"/>
      <c r="E573" s="21"/>
      <c r="F573" s="21"/>
      <c r="G573" s="21"/>
    </row>
  </sheetData>
  <mergeCells count="8">
    <mergeCell ref="A7:I7"/>
    <mergeCell ref="A9:I9"/>
    <mergeCell ref="A10:G10"/>
    <mergeCell ref="A1:I1"/>
    <mergeCell ref="A2:I2"/>
    <mergeCell ref="A3:I3"/>
    <mergeCell ref="A5:I5"/>
    <mergeCell ref="A6:I6"/>
  </mergeCells>
  <pageMargins left="0.78740157480314965" right="0.39370078740157483" top="0.59055118110236227" bottom="0.78740157480314965" header="0.31496062992125984" footer="0.31496062992125984"/>
  <pageSetup paperSize="9" scale="62" fitToHeight="100" orientation="portrait" horizontalDpi="300" verticalDpi="300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7"/>
  <sheetViews>
    <sheetView tabSelected="1" topLeftCell="A109" zoomScaleNormal="100" workbookViewId="0">
      <selection activeCell="A119" sqref="A119"/>
    </sheetView>
  </sheetViews>
  <sheetFormatPr defaultRowHeight="12.75" x14ac:dyDescent="0.2"/>
  <cols>
    <col min="1" max="1" width="61.140625" style="237" customWidth="1"/>
    <col min="2" max="2" width="4.85546875" style="238" customWidth="1"/>
    <col min="3" max="3" width="6.140625" style="238" customWidth="1"/>
    <col min="4" max="4" width="16.85546875" style="238" customWidth="1"/>
    <col min="5" max="5" width="5.85546875" style="238" customWidth="1"/>
    <col min="6" max="6" width="16" style="238" customWidth="1"/>
    <col min="7" max="7" width="14.85546875" style="238" customWidth="1"/>
    <col min="8" max="8" width="16.85546875" style="238" customWidth="1"/>
    <col min="9" max="9" width="9.140625" style="79" hidden="1" customWidth="1"/>
    <col min="10" max="16384" width="9.140625" style="237"/>
  </cols>
  <sheetData>
    <row r="1" spans="1:9" ht="14.25" customHeight="1" x14ac:dyDescent="0.3">
      <c r="A1" s="289" t="s">
        <v>656</v>
      </c>
      <c r="B1" s="289" t="s">
        <v>657</v>
      </c>
      <c r="C1" s="289" t="s">
        <v>657</v>
      </c>
      <c r="D1" s="289" t="s">
        <v>657</v>
      </c>
      <c r="E1" s="289" t="s">
        <v>657</v>
      </c>
      <c r="F1" s="289" t="s">
        <v>657</v>
      </c>
      <c r="G1" s="289" t="s">
        <v>657</v>
      </c>
      <c r="H1" s="289" t="s">
        <v>657</v>
      </c>
    </row>
    <row r="2" spans="1:9" ht="14.25" customHeight="1" x14ac:dyDescent="0.3">
      <c r="A2" s="289" t="s">
        <v>78</v>
      </c>
      <c r="B2" s="289" t="s">
        <v>78</v>
      </c>
      <c r="C2" s="289" t="s">
        <v>78</v>
      </c>
      <c r="D2" s="289" t="s">
        <v>78</v>
      </c>
      <c r="E2" s="289" t="s">
        <v>78</v>
      </c>
      <c r="F2" s="289" t="s">
        <v>78</v>
      </c>
      <c r="G2" s="289" t="s">
        <v>78</v>
      </c>
      <c r="H2" s="289" t="s">
        <v>78</v>
      </c>
    </row>
    <row r="3" spans="1:9" ht="14.25" customHeight="1" x14ac:dyDescent="0.3">
      <c r="A3" s="289" t="s">
        <v>673</v>
      </c>
      <c r="B3" s="289" t="s">
        <v>658</v>
      </c>
      <c r="C3" s="289" t="s">
        <v>658</v>
      </c>
      <c r="D3" s="289" t="s">
        <v>658</v>
      </c>
      <c r="E3" s="289" t="s">
        <v>658</v>
      </c>
      <c r="F3" s="289" t="s">
        <v>658</v>
      </c>
      <c r="G3" s="289" t="s">
        <v>658</v>
      </c>
      <c r="H3" s="289" t="s">
        <v>658</v>
      </c>
    </row>
    <row r="5" spans="1:9" x14ac:dyDescent="0.2">
      <c r="A5" s="281" t="s">
        <v>459</v>
      </c>
      <c r="B5" s="281" t="s">
        <v>657</v>
      </c>
      <c r="C5" s="281" t="s">
        <v>657</v>
      </c>
      <c r="D5" s="281" t="s">
        <v>657</v>
      </c>
      <c r="E5" s="281" t="s">
        <v>657</v>
      </c>
      <c r="F5" s="281" t="s">
        <v>657</v>
      </c>
      <c r="G5" s="281" t="s">
        <v>657</v>
      </c>
      <c r="H5" s="281" t="s">
        <v>657</v>
      </c>
    </row>
    <row r="6" spans="1:9" x14ac:dyDescent="0.2">
      <c r="A6" s="281" t="s">
        <v>78</v>
      </c>
      <c r="B6" s="281" t="s">
        <v>78</v>
      </c>
      <c r="C6" s="281" t="s">
        <v>78</v>
      </c>
      <c r="D6" s="281" t="s">
        <v>78</v>
      </c>
      <c r="E6" s="281" t="s">
        <v>78</v>
      </c>
      <c r="F6" s="281" t="s">
        <v>78</v>
      </c>
      <c r="G6" s="281" t="s">
        <v>78</v>
      </c>
      <c r="H6" s="281" t="s">
        <v>78</v>
      </c>
    </row>
    <row r="7" spans="1:9" x14ac:dyDescent="0.2">
      <c r="A7" s="281" t="s">
        <v>672</v>
      </c>
      <c r="B7" s="281"/>
      <c r="C7" s="281"/>
      <c r="D7" s="281"/>
      <c r="E7" s="281"/>
      <c r="F7" s="281"/>
      <c r="G7" s="281"/>
      <c r="H7" s="281"/>
    </row>
    <row r="8" spans="1:9" x14ac:dyDescent="0.2">
      <c r="A8" s="217"/>
      <c r="B8" s="217"/>
      <c r="C8" s="217"/>
      <c r="D8" s="217"/>
      <c r="E8" s="218"/>
      <c r="F8" s="217"/>
      <c r="G8" s="217"/>
      <c r="H8" s="217"/>
    </row>
    <row r="9" spans="1:9" s="185" customFormat="1" ht="75" customHeight="1" x14ac:dyDescent="0.2">
      <c r="A9" s="290" t="s">
        <v>659</v>
      </c>
      <c r="B9" s="290"/>
      <c r="C9" s="290"/>
      <c r="D9" s="290"/>
      <c r="E9" s="290"/>
      <c r="F9" s="290"/>
      <c r="G9" s="290"/>
      <c r="H9" s="290"/>
      <c r="I9" s="184"/>
    </row>
    <row r="10" spans="1:9" s="185" customFormat="1" ht="9.75" customHeight="1" x14ac:dyDescent="0.2">
      <c r="A10" s="290"/>
      <c r="B10" s="290"/>
      <c r="C10" s="290"/>
      <c r="D10" s="290"/>
      <c r="E10" s="290"/>
      <c r="F10" s="290"/>
      <c r="I10" s="184"/>
    </row>
    <row r="11" spans="1:9" s="186" customFormat="1" ht="12" thickBot="1" x14ac:dyDescent="0.25">
      <c r="A11" s="292"/>
      <c r="B11" s="292"/>
      <c r="C11" s="292"/>
      <c r="D11" s="292"/>
      <c r="E11" s="292"/>
      <c r="F11" s="292"/>
      <c r="H11" s="219" t="s">
        <v>62</v>
      </c>
      <c r="I11" s="183"/>
    </row>
    <row r="12" spans="1:9" ht="42.75" x14ac:dyDescent="0.2">
      <c r="A12" s="220"/>
      <c r="B12" s="221" t="s">
        <v>8</v>
      </c>
      <c r="C12" s="221" t="s">
        <v>660</v>
      </c>
      <c r="D12" s="221" t="s">
        <v>10</v>
      </c>
      <c r="E12" s="221" t="s">
        <v>11</v>
      </c>
      <c r="F12" s="222" t="s">
        <v>140</v>
      </c>
      <c r="G12" s="222" t="s">
        <v>362</v>
      </c>
      <c r="H12" s="222" t="s">
        <v>412</v>
      </c>
    </row>
    <row r="13" spans="1:9" s="205" customFormat="1" ht="12" x14ac:dyDescent="0.2">
      <c r="A13" s="202">
        <v>1</v>
      </c>
      <c r="B13" s="203">
        <v>2</v>
      </c>
      <c r="C13" s="203">
        <v>3</v>
      </c>
      <c r="D13" s="203">
        <v>4</v>
      </c>
      <c r="E13" s="203">
        <v>5</v>
      </c>
      <c r="F13" s="204">
        <v>6</v>
      </c>
      <c r="G13" s="204">
        <v>7</v>
      </c>
      <c r="H13" s="204">
        <v>8</v>
      </c>
    </row>
    <row r="14" spans="1:9" s="157" customFormat="1" ht="15.75" x14ac:dyDescent="0.25">
      <c r="A14" s="144" t="s">
        <v>60</v>
      </c>
      <c r="B14" s="143" t="s">
        <v>12</v>
      </c>
      <c r="C14" s="143" t="s">
        <v>463</v>
      </c>
      <c r="D14" s="143"/>
      <c r="E14" s="143"/>
      <c r="F14" s="206">
        <f>F15+F18+F27+F46+F53+F56+F43</f>
        <v>181172.80000000005</v>
      </c>
      <c r="G14" s="206">
        <f>G15+G18+G27+G46+G53+G56+G43</f>
        <v>127388.69999999998</v>
      </c>
      <c r="H14" s="206">
        <f>H15+H18+H27+H46+H53+H56+H43</f>
        <v>119664.4</v>
      </c>
    </row>
    <row r="15" spans="1:9" s="74" customFormat="1" ht="25.5" x14ac:dyDescent="0.2">
      <c r="A15" s="70" t="s">
        <v>13</v>
      </c>
      <c r="B15" s="72" t="s">
        <v>12</v>
      </c>
      <c r="C15" s="72" t="s">
        <v>14</v>
      </c>
      <c r="D15" s="72"/>
      <c r="E15" s="72"/>
      <c r="F15" s="73">
        <f t="shared" ref="F15:H16" si="0">F16</f>
        <v>2148.9</v>
      </c>
      <c r="G15" s="73">
        <f t="shared" si="0"/>
        <v>1972.4</v>
      </c>
      <c r="H15" s="73">
        <f t="shared" si="0"/>
        <v>1972.4</v>
      </c>
    </row>
    <row r="16" spans="1:9" s="79" customFormat="1" ht="25.5" x14ac:dyDescent="0.2">
      <c r="A16" s="75" t="s">
        <v>343</v>
      </c>
      <c r="B16" s="77" t="s">
        <v>12</v>
      </c>
      <c r="C16" s="77" t="s">
        <v>14</v>
      </c>
      <c r="D16" s="77" t="s">
        <v>142</v>
      </c>
      <c r="E16" s="77"/>
      <c r="F16" s="78">
        <f>F17</f>
        <v>2148.9</v>
      </c>
      <c r="G16" s="78">
        <f t="shared" si="0"/>
        <v>1972.4</v>
      </c>
      <c r="H16" s="78">
        <f t="shared" si="0"/>
        <v>1972.4</v>
      </c>
    </row>
    <row r="17" spans="1:9" s="84" customFormat="1" ht="51" x14ac:dyDescent="0.2">
      <c r="A17" s="80" t="s">
        <v>66</v>
      </c>
      <c r="B17" s="82" t="s">
        <v>12</v>
      </c>
      <c r="C17" s="82" t="s">
        <v>14</v>
      </c>
      <c r="D17" s="82" t="s">
        <v>142</v>
      </c>
      <c r="E17" s="83" t="s">
        <v>67</v>
      </c>
      <c r="F17" s="62">
        <f>'изменения июль вед стр-ра'!G18</f>
        <v>2148.9</v>
      </c>
      <c r="G17" s="62">
        <f>'изменения июль вед стр-ра'!H18</f>
        <v>1972.4</v>
      </c>
      <c r="H17" s="62">
        <f>'изменения июль вед стр-ра'!I18</f>
        <v>1972.4</v>
      </c>
    </row>
    <row r="18" spans="1:9" s="26" customFormat="1" ht="38.25" x14ac:dyDescent="0.2">
      <c r="A18" s="11" t="s">
        <v>15</v>
      </c>
      <c r="B18" s="8" t="s">
        <v>12</v>
      </c>
      <c r="C18" s="8" t="s">
        <v>16</v>
      </c>
      <c r="D18" s="8"/>
      <c r="E18" s="8"/>
      <c r="F18" s="4">
        <f>SUM(F19,F23,F25)</f>
        <v>8266.5999999999985</v>
      </c>
      <c r="G18" s="4">
        <f t="shared" ref="G18:H18" si="1">SUM(G19,G23,G25)</f>
        <v>7335.1</v>
      </c>
      <c r="H18" s="4">
        <f t="shared" si="1"/>
        <v>7335.1</v>
      </c>
      <c r="I18" s="118"/>
    </row>
    <row r="19" spans="1:9" s="21" customFormat="1" x14ac:dyDescent="0.2">
      <c r="A19" s="18" t="s">
        <v>219</v>
      </c>
      <c r="B19" s="19" t="s">
        <v>12</v>
      </c>
      <c r="C19" s="19" t="s">
        <v>16</v>
      </c>
      <c r="D19" s="19" t="s">
        <v>218</v>
      </c>
      <c r="E19" s="19"/>
      <c r="F19" s="20">
        <f>F20+F21+F22</f>
        <v>3446.2999999999997</v>
      </c>
      <c r="G19" s="20">
        <f>G20+G21+G22</f>
        <v>3003.7</v>
      </c>
      <c r="H19" s="20">
        <f>H20+H21+H22</f>
        <v>3003.7</v>
      </c>
      <c r="I19" s="117"/>
    </row>
    <row r="20" spans="1:9" s="26" customFormat="1" ht="51" x14ac:dyDescent="0.2">
      <c r="A20" s="30" t="s">
        <v>66</v>
      </c>
      <c r="B20" s="24" t="s">
        <v>12</v>
      </c>
      <c r="C20" s="24" t="s">
        <v>16</v>
      </c>
      <c r="D20" s="24" t="s">
        <v>218</v>
      </c>
      <c r="E20" s="27" t="s">
        <v>67</v>
      </c>
      <c r="F20" s="25">
        <f>'изменения июль вед стр-ра'!G218</f>
        <v>2990.2</v>
      </c>
      <c r="G20" s="25">
        <f>'изменения июль вед стр-ра'!H218</f>
        <v>2547.6</v>
      </c>
      <c r="H20" s="25">
        <f>'изменения июль вед стр-ра'!I218</f>
        <v>2547.6</v>
      </c>
      <c r="I20" s="118"/>
    </row>
    <row r="21" spans="1:9" s="9" customFormat="1" ht="25.5" x14ac:dyDescent="0.2">
      <c r="A21" s="28" t="s">
        <v>76</v>
      </c>
      <c r="B21" s="24" t="s">
        <v>12</v>
      </c>
      <c r="C21" s="24" t="s">
        <v>16</v>
      </c>
      <c r="D21" s="24" t="s">
        <v>218</v>
      </c>
      <c r="E21" s="27" t="s">
        <v>68</v>
      </c>
      <c r="F21" s="25">
        <f>'изменения июль вед стр-ра'!G219</f>
        <v>454.1</v>
      </c>
      <c r="G21" s="25">
        <f>'изменения июль вед стр-ра'!H219</f>
        <v>454.1</v>
      </c>
      <c r="H21" s="25">
        <f>'изменения июль вед стр-ра'!I219</f>
        <v>454.1</v>
      </c>
    </row>
    <row r="22" spans="1:9" s="21" customFormat="1" x14ac:dyDescent="0.2">
      <c r="A22" s="28" t="s">
        <v>72</v>
      </c>
      <c r="B22" s="24" t="s">
        <v>12</v>
      </c>
      <c r="C22" s="24" t="s">
        <v>16</v>
      </c>
      <c r="D22" s="24" t="s">
        <v>218</v>
      </c>
      <c r="E22" s="24" t="s">
        <v>73</v>
      </c>
      <c r="F22" s="25">
        <f>'изменения июль вед стр-ра'!G220</f>
        <v>2</v>
      </c>
      <c r="G22" s="25">
        <f>'изменения июль вед стр-ра'!H220</f>
        <v>2</v>
      </c>
      <c r="H22" s="25">
        <f>'изменения июль вед стр-ра'!I220</f>
        <v>2</v>
      </c>
    </row>
    <row r="23" spans="1:9" s="26" customFormat="1" ht="25.5" x14ac:dyDescent="0.2">
      <c r="A23" s="18" t="s">
        <v>222</v>
      </c>
      <c r="B23" s="19" t="s">
        <v>12</v>
      </c>
      <c r="C23" s="19" t="s">
        <v>16</v>
      </c>
      <c r="D23" s="19" t="s">
        <v>224</v>
      </c>
      <c r="E23" s="19"/>
      <c r="F23" s="20">
        <f>F24</f>
        <v>1817</v>
      </c>
      <c r="G23" s="20">
        <f>G24</f>
        <v>1514.4</v>
      </c>
      <c r="H23" s="20">
        <f>H24</f>
        <v>1514.4</v>
      </c>
      <c r="I23" s="118"/>
    </row>
    <row r="24" spans="1:9" s="12" customFormat="1" ht="51" x14ac:dyDescent="0.2">
      <c r="A24" s="30" t="s">
        <v>66</v>
      </c>
      <c r="B24" s="24" t="s">
        <v>12</v>
      </c>
      <c r="C24" s="24" t="s">
        <v>16</v>
      </c>
      <c r="D24" s="24" t="s">
        <v>224</v>
      </c>
      <c r="E24" s="27" t="s">
        <v>67</v>
      </c>
      <c r="F24" s="25">
        <f>'изменения июль вед стр-ра'!G222</f>
        <v>1817</v>
      </c>
      <c r="G24" s="25">
        <f>'изменения июль вед стр-ра'!H222</f>
        <v>1514.4</v>
      </c>
      <c r="H24" s="25">
        <f>'изменения июль вед стр-ра'!I222</f>
        <v>1514.4</v>
      </c>
      <c r="I24" s="128"/>
    </row>
    <row r="25" spans="1:9" s="133" customFormat="1" x14ac:dyDescent="0.2">
      <c r="A25" s="18" t="s">
        <v>223</v>
      </c>
      <c r="B25" s="19" t="s">
        <v>12</v>
      </c>
      <c r="C25" s="19" t="s">
        <v>16</v>
      </c>
      <c r="D25" s="19" t="s">
        <v>225</v>
      </c>
      <c r="E25" s="19"/>
      <c r="F25" s="20">
        <f>F26</f>
        <v>3003.3</v>
      </c>
      <c r="G25" s="20">
        <f>G26</f>
        <v>2817</v>
      </c>
      <c r="H25" s="20">
        <f>H26</f>
        <v>2817</v>
      </c>
      <c r="I25" s="129"/>
    </row>
    <row r="26" spans="1:9" s="21" customFormat="1" ht="51" x14ac:dyDescent="0.2">
      <c r="A26" s="30" t="s">
        <v>66</v>
      </c>
      <c r="B26" s="24" t="s">
        <v>12</v>
      </c>
      <c r="C26" s="24" t="s">
        <v>16</v>
      </c>
      <c r="D26" s="24" t="s">
        <v>225</v>
      </c>
      <c r="E26" s="27" t="s">
        <v>67</v>
      </c>
      <c r="F26" s="25">
        <f>'изменения июль вед стр-ра'!G224</f>
        <v>3003.3</v>
      </c>
      <c r="G26" s="25">
        <f>'изменения июль вед стр-ра'!H224</f>
        <v>2817</v>
      </c>
      <c r="H26" s="25">
        <f>'изменения июль вед стр-ра'!I224</f>
        <v>2817</v>
      </c>
      <c r="I26" s="117"/>
    </row>
    <row r="27" spans="1:9" s="84" customFormat="1" ht="38.25" x14ac:dyDescent="0.2">
      <c r="A27" s="70" t="s">
        <v>17</v>
      </c>
      <c r="B27" s="72" t="s">
        <v>12</v>
      </c>
      <c r="C27" s="72" t="s">
        <v>18</v>
      </c>
      <c r="D27" s="72"/>
      <c r="E27" s="72"/>
      <c r="F27" s="25">
        <f>SUM(F28,F31,F34,F40)+F38</f>
        <v>67538.8</v>
      </c>
      <c r="G27" s="25">
        <f>SUM(G28,G31,G34,G40)+G38</f>
        <v>56260.299999999996</v>
      </c>
      <c r="H27" s="25">
        <f>SUM(H28,H31,H34,H40)+H38</f>
        <v>55266.7</v>
      </c>
      <c r="I27" s="25">
        <f>SUM(I28,I31,I34,I40)+I38</f>
        <v>0</v>
      </c>
    </row>
    <row r="28" spans="1:9" s="21" customFormat="1" ht="25.5" x14ac:dyDescent="0.2">
      <c r="A28" s="18" t="s">
        <v>143</v>
      </c>
      <c r="B28" s="19" t="s">
        <v>12</v>
      </c>
      <c r="C28" s="19" t="s">
        <v>18</v>
      </c>
      <c r="D28" s="19" t="s">
        <v>88</v>
      </c>
      <c r="E28" s="19"/>
      <c r="F28" s="20">
        <f>F29+F30</f>
        <v>468.29999999999995</v>
      </c>
      <c r="G28" s="20">
        <f>G29+G30</f>
        <v>468.29999999999995</v>
      </c>
      <c r="H28" s="20">
        <f>H29+H30</f>
        <v>468.29999999999995</v>
      </c>
    </row>
    <row r="29" spans="1:9" s="26" customFormat="1" ht="51" x14ac:dyDescent="0.2">
      <c r="A29" s="30" t="s">
        <v>66</v>
      </c>
      <c r="B29" s="24" t="s">
        <v>12</v>
      </c>
      <c r="C29" s="24" t="s">
        <v>18</v>
      </c>
      <c r="D29" s="24" t="s">
        <v>88</v>
      </c>
      <c r="E29" s="27" t="s">
        <v>67</v>
      </c>
      <c r="F29" s="25">
        <f>'изменения июль вед стр-ра'!G21</f>
        <v>440.29999999999995</v>
      </c>
      <c r="G29" s="25">
        <f>'изменения июль вед стр-ра'!H21</f>
        <v>440.29999999999995</v>
      </c>
      <c r="H29" s="25">
        <f>'изменения июль вед стр-ра'!I21</f>
        <v>440.29999999999995</v>
      </c>
    </row>
    <row r="30" spans="1:9" s="21" customFormat="1" ht="25.5" x14ac:dyDescent="0.2">
      <c r="A30" s="28" t="s">
        <v>76</v>
      </c>
      <c r="B30" s="24" t="s">
        <v>12</v>
      </c>
      <c r="C30" s="24" t="s">
        <v>18</v>
      </c>
      <c r="D30" s="24" t="s">
        <v>88</v>
      </c>
      <c r="E30" s="27" t="s">
        <v>68</v>
      </c>
      <c r="F30" s="25">
        <f>'изменения июль вед стр-ра'!G22</f>
        <v>28</v>
      </c>
      <c r="G30" s="25">
        <f>'изменения июль вед стр-ра'!H22</f>
        <v>28</v>
      </c>
      <c r="H30" s="25">
        <f>'изменения июль вед стр-ра'!I22</f>
        <v>28</v>
      </c>
    </row>
    <row r="31" spans="1:9" s="84" customFormat="1" x14ac:dyDescent="0.2">
      <c r="A31" s="75" t="s">
        <v>144</v>
      </c>
      <c r="B31" s="77" t="s">
        <v>12</v>
      </c>
      <c r="C31" s="77" t="s">
        <v>18</v>
      </c>
      <c r="D31" s="77" t="s">
        <v>87</v>
      </c>
      <c r="E31" s="77"/>
      <c r="F31" s="78">
        <f>F32+F33</f>
        <v>115</v>
      </c>
      <c r="G31" s="78">
        <f>G32+G33</f>
        <v>115</v>
      </c>
      <c r="H31" s="78">
        <f>H32+H33</f>
        <v>115</v>
      </c>
    </row>
    <row r="32" spans="1:9" s="84" customFormat="1" ht="51" x14ac:dyDescent="0.2">
      <c r="A32" s="80" t="s">
        <v>66</v>
      </c>
      <c r="B32" s="82" t="s">
        <v>12</v>
      </c>
      <c r="C32" s="82" t="s">
        <v>18</v>
      </c>
      <c r="D32" s="82" t="s">
        <v>87</v>
      </c>
      <c r="E32" s="83" t="s">
        <v>67</v>
      </c>
      <c r="F32" s="62">
        <f>'изменения июль вед стр-ра'!G24</f>
        <v>113</v>
      </c>
      <c r="G32" s="62">
        <f>'изменения июль вед стр-ра'!H24</f>
        <v>113</v>
      </c>
      <c r="H32" s="62">
        <f>'изменения июль вед стр-ра'!I24</f>
        <v>113</v>
      </c>
    </row>
    <row r="33" spans="1:9" s="84" customFormat="1" ht="25.5" x14ac:dyDescent="0.2">
      <c r="A33" s="85" t="s">
        <v>135</v>
      </c>
      <c r="B33" s="82" t="s">
        <v>12</v>
      </c>
      <c r="C33" s="82" t="s">
        <v>18</v>
      </c>
      <c r="D33" s="82" t="s">
        <v>87</v>
      </c>
      <c r="E33" s="83" t="s">
        <v>68</v>
      </c>
      <c r="F33" s="62">
        <f>'изменения июль вед стр-ра'!G25</f>
        <v>2</v>
      </c>
      <c r="G33" s="62">
        <f>'изменения июль вед стр-ра'!H25</f>
        <v>2</v>
      </c>
      <c r="H33" s="62">
        <f>'изменения июль вед стр-ра'!I25</f>
        <v>2</v>
      </c>
    </row>
    <row r="34" spans="1:9" s="157" customFormat="1" ht="26.25" x14ac:dyDescent="0.25">
      <c r="A34" s="18" t="s">
        <v>343</v>
      </c>
      <c r="B34" s="19" t="s">
        <v>12</v>
      </c>
      <c r="C34" s="19" t="s">
        <v>18</v>
      </c>
      <c r="D34" s="19" t="s">
        <v>145</v>
      </c>
      <c r="E34" s="19"/>
      <c r="F34" s="20">
        <f>SUM(F35:F37)</f>
        <v>60644</v>
      </c>
      <c r="G34" s="20">
        <f>SUM(G35:G37)</f>
        <v>50316.399999999994</v>
      </c>
      <c r="H34" s="20">
        <f>SUM(H35:H37)</f>
        <v>49322.799999999996</v>
      </c>
      <c r="I34" s="207"/>
    </row>
    <row r="35" spans="1:9" s="74" customFormat="1" ht="51" x14ac:dyDescent="0.2">
      <c r="A35" s="80" t="s">
        <v>66</v>
      </c>
      <c r="B35" s="82" t="s">
        <v>12</v>
      </c>
      <c r="C35" s="82" t="s">
        <v>18</v>
      </c>
      <c r="D35" s="82" t="s">
        <v>145</v>
      </c>
      <c r="E35" s="83" t="s">
        <v>67</v>
      </c>
      <c r="F35" s="62">
        <f>'изменения июль вед стр-ра'!G27</f>
        <v>38881.599999999999</v>
      </c>
      <c r="G35" s="62">
        <f>'изменения июль вед стр-ра'!H27</f>
        <v>33307.1</v>
      </c>
      <c r="H35" s="62">
        <f>'изменения июль вед стр-ра'!I27</f>
        <v>33307.1</v>
      </c>
    </row>
    <row r="36" spans="1:9" s="21" customFormat="1" ht="25.5" x14ac:dyDescent="0.2">
      <c r="A36" s="28" t="s">
        <v>76</v>
      </c>
      <c r="B36" s="24" t="s">
        <v>12</v>
      </c>
      <c r="C36" s="24" t="s">
        <v>18</v>
      </c>
      <c r="D36" s="24" t="s">
        <v>145</v>
      </c>
      <c r="E36" s="27" t="s">
        <v>68</v>
      </c>
      <c r="F36" s="62">
        <f>'изменения июль вед стр-ра'!G28</f>
        <v>21448.800000000003</v>
      </c>
      <c r="G36" s="62">
        <f>'изменения июль вед стр-ра'!H28</f>
        <v>16583.699999999997</v>
      </c>
      <c r="H36" s="62">
        <f>'изменения июль вед стр-ра'!I28</f>
        <v>15590.099999999999</v>
      </c>
      <c r="I36" s="117"/>
    </row>
    <row r="37" spans="1:9" s="26" customFormat="1" x14ac:dyDescent="0.2">
      <c r="A37" s="28" t="s">
        <v>72</v>
      </c>
      <c r="B37" s="24" t="s">
        <v>12</v>
      </c>
      <c r="C37" s="24" t="s">
        <v>18</v>
      </c>
      <c r="D37" s="24" t="s">
        <v>145</v>
      </c>
      <c r="E37" s="24" t="s">
        <v>73</v>
      </c>
      <c r="F37" s="62">
        <f>'изменения июль вед стр-ра'!G29</f>
        <v>313.60000000000002</v>
      </c>
      <c r="G37" s="62">
        <f>'изменения июль вед стр-ра'!H29</f>
        <v>425.6</v>
      </c>
      <c r="H37" s="62">
        <f>'изменения июль вед стр-ра'!I29</f>
        <v>425.6</v>
      </c>
      <c r="I37" s="118"/>
    </row>
    <row r="38" spans="1:9" s="79" customFormat="1" ht="25.5" x14ac:dyDescent="0.2">
      <c r="A38" s="89" t="s">
        <v>163</v>
      </c>
      <c r="B38" s="77" t="s">
        <v>12</v>
      </c>
      <c r="C38" s="77" t="s">
        <v>18</v>
      </c>
      <c r="D38" s="77" t="s">
        <v>162</v>
      </c>
      <c r="E38" s="90"/>
      <c r="F38" s="91">
        <f>F39</f>
        <v>300</v>
      </c>
      <c r="G38" s="91">
        <f>G39</f>
        <v>300</v>
      </c>
      <c r="H38" s="91">
        <f>H39</f>
        <v>300</v>
      </c>
    </row>
    <row r="39" spans="1:9" s="79" customFormat="1" ht="25.5" x14ac:dyDescent="0.2">
      <c r="A39" s="28" t="s">
        <v>76</v>
      </c>
      <c r="B39" s="82" t="s">
        <v>12</v>
      </c>
      <c r="C39" s="82" t="s">
        <v>18</v>
      </c>
      <c r="D39" s="82" t="s">
        <v>162</v>
      </c>
      <c r="E39" s="82" t="s">
        <v>68</v>
      </c>
      <c r="F39" s="62">
        <f>'изменения июль вед стр-ра'!G31</f>
        <v>300</v>
      </c>
      <c r="G39" s="62">
        <f>'изменения июль вед стр-ра'!H31</f>
        <v>300</v>
      </c>
      <c r="H39" s="62">
        <f>'изменения июль вед стр-ра'!I31</f>
        <v>300</v>
      </c>
    </row>
    <row r="40" spans="1:9" s="168" customFormat="1" ht="25.5" x14ac:dyDescent="0.2">
      <c r="A40" s="18" t="s">
        <v>343</v>
      </c>
      <c r="B40" s="19" t="s">
        <v>12</v>
      </c>
      <c r="C40" s="19" t="s">
        <v>18</v>
      </c>
      <c r="D40" s="19" t="s">
        <v>146</v>
      </c>
      <c r="E40" s="19"/>
      <c r="F40" s="20">
        <f>F41+F42</f>
        <v>6011.4999999999991</v>
      </c>
      <c r="G40" s="20">
        <f>G41+G42</f>
        <v>5060.5999999999995</v>
      </c>
      <c r="H40" s="20">
        <f>H41+H42</f>
        <v>5060.5999999999995</v>
      </c>
      <c r="I40" s="208"/>
    </row>
    <row r="41" spans="1:9" s="9" customFormat="1" ht="51" x14ac:dyDescent="0.2">
      <c r="A41" s="30" t="s">
        <v>66</v>
      </c>
      <c r="B41" s="24" t="s">
        <v>12</v>
      </c>
      <c r="C41" s="24" t="s">
        <v>18</v>
      </c>
      <c r="D41" s="19" t="s">
        <v>146</v>
      </c>
      <c r="E41" s="27" t="s">
        <v>67</v>
      </c>
      <c r="F41" s="25">
        <f>'изменения июль вед стр-ра'!G33</f>
        <v>5475.7999999999993</v>
      </c>
      <c r="G41" s="25">
        <f>'изменения июль вед стр-ра'!H33</f>
        <v>4694.8999999999996</v>
      </c>
      <c r="H41" s="25">
        <f>'изменения июль вед стр-ра'!I33</f>
        <v>4694.8999999999996</v>
      </c>
      <c r="I41" s="127"/>
    </row>
    <row r="42" spans="1:9" s="79" customFormat="1" ht="25.5" x14ac:dyDescent="0.2">
      <c r="A42" s="87" t="s">
        <v>76</v>
      </c>
      <c r="B42" s="82" t="s">
        <v>12</v>
      </c>
      <c r="C42" s="82" t="s">
        <v>18</v>
      </c>
      <c r="D42" s="77" t="s">
        <v>146</v>
      </c>
      <c r="E42" s="83" t="s">
        <v>68</v>
      </c>
      <c r="F42" s="25">
        <f>'изменения июль вед стр-ра'!G34</f>
        <v>535.70000000000005</v>
      </c>
      <c r="G42" s="25">
        <f>'изменения июль вед стр-ра'!H34</f>
        <v>365.7</v>
      </c>
      <c r="H42" s="25">
        <f>'изменения июль вед стр-ра'!I34</f>
        <v>365.7</v>
      </c>
    </row>
    <row r="43" spans="1:9" s="9" customFormat="1" x14ac:dyDescent="0.2">
      <c r="A43" s="11" t="s">
        <v>366</v>
      </c>
      <c r="B43" s="8" t="s">
        <v>12</v>
      </c>
      <c r="C43" s="8" t="s">
        <v>31</v>
      </c>
      <c r="D43" s="8"/>
      <c r="E43" s="8"/>
      <c r="F43" s="4">
        <f>F44</f>
        <v>16.3</v>
      </c>
      <c r="G43" s="4">
        <f t="shared" ref="G43:H44" si="2">G44</f>
        <v>16.899999999999999</v>
      </c>
      <c r="H43" s="4">
        <f t="shared" si="2"/>
        <v>17.5</v>
      </c>
    </row>
    <row r="44" spans="1:9" s="21" customFormat="1" ht="45.75" customHeight="1" x14ac:dyDescent="0.2">
      <c r="A44" s="18" t="s">
        <v>367</v>
      </c>
      <c r="B44" s="19" t="s">
        <v>12</v>
      </c>
      <c r="C44" s="19" t="s">
        <v>31</v>
      </c>
      <c r="D44" s="19" t="s">
        <v>396</v>
      </c>
      <c r="E44" s="19"/>
      <c r="F44" s="20">
        <f>F45</f>
        <v>16.3</v>
      </c>
      <c r="G44" s="20">
        <f t="shared" si="2"/>
        <v>16.899999999999999</v>
      </c>
      <c r="H44" s="20">
        <f t="shared" si="2"/>
        <v>17.5</v>
      </c>
    </row>
    <row r="45" spans="1:9" s="26" customFormat="1" ht="25.5" x14ac:dyDescent="0.2">
      <c r="A45" s="23" t="s">
        <v>135</v>
      </c>
      <c r="B45" s="24" t="s">
        <v>12</v>
      </c>
      <c r="C45" s="24" t="s">
        <v>31</v>
      </c>
      <c r="D45" s="24" t="s">
        <v>396</v>
      </c>
      <c r="E45" s="27" t="s">
        <v>68</v>
      </c>
      <c r="F45" s="25">
        <f>'изменения июль вед стр-ра'!G37</f>
        <v>16.3</v>
      </c>
      <c r="G45" s="25">
        <f>'изменения июль вед стр-ра'!H37</f>
        <v>16.899999999999999</v>
      </c>
      <c r="H45" s="25">
        <f>'изменения июль вед стр-ра'!I37</f>
        <v>17.5</v>
      </c>
    </row>
    <row r="46" spans="1:9" s="168" customFormat="1" ht="38.25" x14ac:dyDescent="0.2">
      <c r="A46" s="11" t="s">
        <v>82</v>
      </c>
      <c r="B46" s="8" t="s">
        <v>12</v>
      </c>
      <c r="C46" s="8" t="s">
        <v>50</v>
      </c>
      <c r="D46" s="8"/>
      <c r="E46" s="8"/>
      <c r="F46" s="4">
        <f>F47+F51</f>
        <v>2941.3</v>
      </c>
      <c r="G46" s="4">
        <f>G47+G51</f>
        <v>2528.4</v>
      </c>
      <c r="H46" s="4">
        <f>H47+H51</f>
        <v>2528.4</v>
      </c>
    </row>
    <row r="47" spans="1:9" s="9" customFormat="1" x14ac:dyDescent="0.2">
      <c r="A47" s="18" t="s">
        <v>219</v>
      </c>
      <c r="B47" s="19" t="s">
        <v>12</v>
      </c>
      <c r="C47" s="19" t="s">
        <v>50</v>
      </c>
      <c r="D47" s="19" t="s">
        <v>218</v>
      </c>
      <c r="E47" s="19"/>
      <c r="F47" s="20">
        <f>+F48+F49+F50</f>
        <v>2175</v>
      </c>
      <c r="G47" s="20">
        <f>+G48+G49+G50</f>
        <v>1889.9</v>
      </c>
      <c r="H47" s="20">
        <f>+H48+H49+H50</f>
        <v>1889.9</v>
      </c>
      <c r="I47" s="127"/>
    </row>
    <row r="48" spans="1:9" s="21" customFormat="1" ht="51" x14ac:dyDescent="0.2">
      <c r="A48" s="30" t="s">
        <v>66</v>
      </c>
      <c r="B48" s="24" t="s">
        <v>12</v>
      </c>
      <c r="C48" s="24" t="s">
        <v>50</v>
      </c>
      <c r="D48" s="24" t="s">
        <v>218</v>
      </c>
      <c r="E48" s="27" t="s">
        <v>67</v>
      </c>
      <c r="F48" s="25">
        <f>'изменения июль вед стр-ра'!G209</f>
        <v>1719.6</v>
      </c>
      <c r="G48" s="25">
        <f>'изменения июль вед стр-ра'!H209</f>
        <v>1434.5</v>
      </c>
      <c r="H48" s="25">
        <f>'изменения июль вед стр-ра'!I209</f>
        <v>1434.5</v>
      </c>
      <c r="I48" s="117"/>
    </row>
    <row r="49" spans="1:9" s="21" customFormat="1" ht="25.5" x14ac:dyDescent="0.2">
      <c r="A49" s="28" t="s">
        <v>76</v>
      </c>
      <c r="B49" s="24" t="s">
        <v>12</v>
      </c>
      <c r="C49" s="24" t="s">
        <v>50</v>
      </c>
      <c r="D49" s="24" t="s">
        <v>218</v>
      </c>
      <c r="E49" s="27" t="s">
        <v>68</v>
      </c>
      <c r="F49" s="25">
        <f>'изменения июль вед стр-ра'!G210</f>
        <v>455</v>
      </c>
      <c r="G49" s="25">
        <f>'изменения июль вед стр-ра'!H210</f>
        <v>455</v>
      </c>
      <c r="H49" s="25">
        <f>'изменения июль вед стр-ра'!I210</f>
        <v>455</v>
      </c>
    </row>
    <row r="50" spans="1:9" s="26" customFormat="1" x14ac:dyDescent="0.2">
      <c r="A50" s="28" t="s">
        <v>72</v>
      </c>
      <c r="B50" s="24" t="s">
        <v>12</v>
      </c>
      <c r="C50" s="24" t="s">
        <v>50</v>
      </c>
      <c r="D50" s="24" t="s">
        <v>218</v>
      </c>
      <c r="E50" s="24" t="s">
        <v>73</v>
      </c>
      <c r="F50" s="25">
        <f>'изменения июль вед стр-ра'!G211</f>
        <v>0.4</v>
      </c>
      <c r="G50" s="25">
        <f>'изменения июль вед стр-ра'!H211</f>
        <v>0.4</v>
      </c>
      <c r="H50" s="25">
        <f>'изменения июль вед стр-ра'!I211</f>
        <v>0.4</v>
      </c>
    </row>
    <row r="51" spans="1:9" s="21" customFormat="1" x14ac:dyDescent="0.2">
      <c r="A51" s="18" t="s">
        <v>220</v>
      </c>
      <c r="B51" s="19" t="s">
        <v>12</v>
      </c>
      <c r="C51" s="19" t="s">
        <v>50</v>
      </c>
      <c r="D51" s="19" t="s">
        <v>221</v>
      </c>
      <c r="E51" s="19"/>
      <c r="F51" s="20">
        <f>F52</f>
        <v>766.3</v>
      </c>
      <c r="G51" s="20">
        <f>G52</f>
        <v>638.5</v>
      </c>
      <c r="H51" s="20">
        <f>H52</f>
        <v>638.5</v>
      </c>
      <c r="I51" s="117"/>
    </row>
    <row r="52" spans="1:9" s="26" customFormat="1" ht="51" x14ac:dyDescent="0.2">
      <c r="A52" s="30" t="s">
        <v>66</v>
      </c>
      <c r="B52" s="24" t="s">
        <v>12</v>
      </c>
      <c r="C52" s="24" t="s">
        <v>50</v>
      </c>
      <c r="D52" s="24" t="s">
        <v>221</v>
      </c>
      <c r="E52" s="27" t="s">
        <v>67</v>
      </c>
      <c r="F52" s="25">
        <f>'изменения июль вед стр-ра'!G213</f>
        <v>766.3</v>
      </c>
      <c r="G52" s="25">
        <f>'изменения июль вед стр-ра'!H213</f>
        <v>638.5</v>
      </c>
      <c r="H52" s="25">
        <f>'изменения июль вед стр-ра'!I213</f>
        <v>638.5</v>
      </c>
      <c r="I52" s="118"/>
    </row>
    <row r="53" spans="1:9" s="79" customFormat="1" x14ac:dyDescent="0.2">
      <c r="A53" s="70" t="s">
        <v>22</v>
      </c>
      <c r="B53" s="72" t="s">
        <v>12</v>
      </c>
      <c r="C53" s="72" t="s">
        <v>21</v>
      </c>
      <c r="D53" s="72"/>
      <c r="E53" s="72"/>
      <c r="F53" s="73">
        <f t="shared" ref="F53:H54" si="3">F54</f>
        <v>1544.1</v>
      </c>
      <c r="G53" s="73">
        <f t="shared" si="3"/>
        <v>2024.1</v>
      </c>
      <c r="H53" s="73">
        <f t="shared" si="3"/>
        <v>57.799999999999955</v>
      </c>
    </row>
    <row r="54" spans="1:9" s="26" customFormat="1" x14ac:dyDescent="0.2">
      <c r="A54" s="18" t="s">
        <v>285</v>
      </c>
      <c r="B54" s="19" t="s">
        <v>12</v>
      </c>
      <c r="C54" s="19" t="s">
        <v>21</v>
      </c>
      <c r="D54" s="19" t="s">
        <v>287</v>
      </c>
      <c r="E54" s="19"/>
      <c r="F54" s="20">
        <f t="shared" si="3"/>
        <v>1544.1</v>
      </c>
      <c r="G54" s="20">
        <f t="shared" si="3"/>
        <v>2024.1</v>
      </c>
      <c r="H54" s="20">
        <f t="shared" si="3"/>
        <v>57.799999999999955</v>
      </c>
      <c r="I54" s="118"/>
    </row>
    <row r="55" spans="1:9" s="79" customFormat="1" x14ac:dyDescent="0.2">
      <c r="A55" s="87" t="s">
        <v>72</v>
      </c>
      <c r="B55" s="82" t="s">
        <v>12</v>
      </c>
      <c r="C55" s="82" t="s">
        <v>21</v>
      </c>
      <c r="D55" s="82" t="s">
        <v>287</v>
      </c>
      <c r="E55" s="82" t="s">
        <v>73</v>
      </c>
      <c r="F55" s="62">
        <f>'изменения июль вед стр-ра'!G40</f>
        <v>1544.1</v>
      </c>
      <c r="G55" s="62">
        <f>'изменения июль вед стр-ра'!H40</f>
        <v>2024.1</v>
      </c>
      <c r="H55" s="62">
        <f>'изменения июль вед стр-ра'!I40</f>
        <v>57.799999999999955</v>
      </c>
    </row>
    <row r="56" spans="1:9" s="84" customFormat="1" x14ac:dyDescent="0.2">
      <c r="A56" s="70" t="s">
        <v>24</v>
      </c>
      <c r="B56" s="72" t="s">
        <v>12</v>
      </c>
      <c r="C56" s="72" t="s">
        <v>61</v>
      </c>
      <c r="D56" s="72"/>
      <c r="E56" s="72"/>
      <c r="F56" s="73">
        <f>F57+F65+F67+F69+F71+F73+F75+F77+F81+F85+F87+F90+F94+F79+F97+F59+F61+F63</f>
        <v>98716.800000000032</v>
      </c>
      <c r="G56" s="73">
        <f>G57+G65+G67+G69+G71+G73+G75+G77+G81+G85+G87+G90+G94+G79+G97+G59+G61+G63</f>
        <v>57251.5</v>
      </c>
      <c r="H56" s="73">
        <f>H57+H65+H67+H69+H71+H73+H75+H77+H81+H85+H87+H90+H94+H79+H97+H59+H61+H63</f>
        <v>52486.5</v>
      </c>
    </row>
    <row r="57" spans="1:9" s="84" customFormat="1" x14ac:dyDescent="0.2">
      <c r="A57" s="75" t="s">
        <v>147</v>
      </c>
      <c r="B57" s="77" t="s">
        <v>12</v>
      </c>
      <c r="C57" s="77" t="s">
        <v>61</v>
      </c>
      <c r="D57" s="77" t="s">
        <v>148</v>
      </c>
      <c r="E57" s="77"/>
      <c r="F57" s="78">
        <f>F58</f>
        <v>20202.300000000003</v>
      </c>
      <c r="G57" s="78">
        <f>G58</f>
        <v>18565.099999999999</v>
      </c>
      <c r="H57" s="78">
        <f>H58</f>
        <v>18324.2</v>
      </c>
    </row>
    <row r="58" spans="1:9" s="84" customFormat="1" ht="25.5" x14ac:dyDescent="0.2">
      <c r="A58" s="87" t="s">
        <v>141</v>
      </c>
      <c r="B58" s="82" t="s">
        <v>12</v>
      </c>
      <c r="C58" s="82" t="s">
        <v>61</v>
      </c>
      <c r="D58" s="82" t="s">
        <v>148</v>
      </c>
      <c r="E58" s="82" t="s">
        <v>65</v>
      </c>
      <c r="F58" s="62">
        <f>'изменения июль вед стр-ра'!G47</f>
        <v>20202.300000000003</v>
      </c>
      <c r="G58" s="62">
        <f>'изменения июль вед стр-ра'!H47</f>
        <v>18565.099999999999</v>
      </c>
      <c r="H58" s="62">
        <f>'изменения июль вед стр-ра'!I47</f>
        <v>18324.2</v>
      </c>
    </row>
    <row r="59" spans="1:9" s="79" customFormat="1" ht="25.5" x14ac:dyDescent="0.2">
      <c r="A59" s="89" t="s">
        <v>163</v>
      </c>
      <c r="B59" s="77" t="s">
        <v>12</v>
      </c>
      <c r="C59" s="77" t="s">
        <v>61</v>
      </c>
      <c r="D59" s="77" t="s">
        <v>162</v>
      </c>
      <c r="E59" s="90"/>
      <c r="F59" s="91">
        <f>F60</f>
        <v>91.6</v>
      </c>
      <c r="G59" s="91">
        <f>G60</f>
        <v>91.6</v>
      </c>
      <c r="H59" s="91">
        <f>H60</f>
        <v>91.6</v>
      </c>
    </row>
    <row r="60" spans="1:9" s="79" customFormat="1" ht="25.5" x14ac:dyDescent="0.2">
      <c r="A60" s="87" t="s">
        <v>141</v>
      </c>
      <c r="B60" s="82" t="s">
        <v>12</v>
      </c>
      <c r="C60" s="82" t="s">
        <v>61</v>
      </c>
      <c r="D60" s="77" t="s">
        <v>162</v>
      </c>
      <c r="E60" s="82" t="s">
        <v>65</v>
      </c>
      <c r="F60" s="62">
        <f>'изменения июль вед стр-ра'!G49</f>
        <v>91.6</v>
      </c>
      <c r="G60" s="62">
        <f>'изменения июль вед стр-ра'!H49</f>
        <v>91.6</v>
      </c>
      <c r="H60" s="62">
        <f>'изменения июль вед стр-ра'!I49</f>
        <v>91.6</v>
      </c>
    </row>
    <row r="61" spans="1:9" s="21" customFormat="1" x14ac:dyDescent="0.2">
      <c r="A61" s="18" t="s">
        <v>172</v>
      </c>
      <c r="B61" s="19" t="s">
        <v>12</v>
      </c>
      <c r="C61" s="19" t="s">
        <v>61</v>
      </c>
      <c r="D61" s="19" t="s">
        <v>171</v>
      </c>
      <c r="E61" s="19"/>
      <c r="F61" s="20">
        <f>F62</f>
        <v>4543</v>
      </c>
      <c r="G61" s="20">
        <f t="shared" ref="G61:H61" si="4">G62</f>
        <v>0</v>
      </c>
      <c r="H61" s="20">
        <f t="shared" si="4"/>
        <v>0</v>
      </c>
    </row>
    <row r="62" spans="1:9" s="79" customFormat="1" ht="25.5" x14ac:dyDescent="0.2">
      <c r="A62" s="87" t="s">
        <v>83</v>
      </c>
      <c r="B62" s="82" t="s">
        <v>12</v>
      </c>
      <c r="C62" s="82" t="s">
        <v>61</v>
      </c>
      <c r="D62" s="77" t="s">
        <v>171</v>
      </c>
      <c r="E62" s="82" t="s">
        <v>71</v>
      </c>
      <c r="F62" s="62">
        <f>'изменения июль вед стр-ра'!G51</f>
        <v>4543</v>
      </c>
      <c r="G62" s="62">
        <f>'изменения июль вед стр-ра'!H51</f>
        <v>0</v>
      </c>
      <c r="H62" s="62">
        <f>'изменения июль вед стр-ра'!I51</f>
        <v>0</v>
      </c>
    </row>
    <row r="63" spans="1:9" s="79" customFormat="1" ht="38.25" x14ac:dyDescent="0.2">
      <c r="A63" s="75" t="s">
        <v>403</v>
      </c>
      <c r="B63" s="82" t="s">
        <v>12</v>
      </c>
      <c r="C63" s="82" t="s">
        <v>61</v>
      </c>
      <c r="D63" s="77" t="s">
        <v>404</v>
      </c>
      <c r="E63" s="82"/>
      <c r="F63" s="62">
        <f>F64</f>
        <v>3423.8</v>
      </c>
      <c r="G63" s="62">
        <f t="shared" ref="G63:H63" si="5">G64</f>
        <v>3218</v>
      </c>
      <c r="H63" s="62">
        <f t="shared" si="5"/>
        <v>3218</v>
      </c>
    </row>
    <row r="64" spans="1:9" s="21" customFormat="1" ht="25.5" x14ac:dyDescent="0.2">
      <c r="A64" s="28" t="s">
        <v>141</v>
      </c>
      <c r="B64" s="24" t="s">
        <v>12</v>
      </c>
      <c r="C64" s="24" t="s">
        <v>61</v>
      </c>
      <c r="D64" s="19" t="s">
        <v>404</v>
      </c>
      <c r="E64" s="24" t="s">
        <v>65</v>
      </c>
      <c r="F64" s="25">
        <f>'изменения июль вед стр-ра'!G64</f>
        <v>3423.8</v>
      </c>
      <c r="G64" s="25">
        <f>'изменения июль вед стр-ра'!H64</f>
        <v>3218</v>
      </c>
      <c r="H64" s="25">
        <f>'изменения июль вед стр-ра'!I64</f>
        <v>3218</v>
      </c>
      <c r="I64" s="117"/>
    </row>
    <row r="65" spans="1:9" s="21" customFormat="1" ht="33.75" customHeight="1" x14ac:dyDescent="0.2">
      <c r="A65" s="18" t="s">
        <v>149</v>
      </c>
      <c r="B65" s="19" t="s">
        <v>12</v>
      </c>
      <c r="C65" s="19" t="s">
        <v>61</v>
      </c>
      <c r="D65" s="19" t="s">
        <v>86</v>
      </c>
      <c r="E65" s="19"/>
      <c r="F65" s="20">
        <f>F66</f>
        <v>120</v>
      </c>
      <c r="G65" s="20">
        <f>G66</f>
        <v>120</v>
      </c>
      <c r="H65" s="20">
        <f>H66</f>
        <v>120</v>
      </c>
    </row>
    <row r="66" spans="1:9" s="26" customFormat="1" ht="25.5" x14ac:dyDescent="0.2">
      <c r="A66" s="28" t="s">
        <v>141</v>
      </c>
      <c r="B66" s="24" t="s">
        <v>12</v>
      </c>
      <c r="C66" s="24" t="s">
        <v>61</v>
      </c>
      <c r="D66" s="24" t="s">
        <v>86</v>
      </c>
      <c r="E66" s="24" t="s">
        <v>65</v>
      </c>
      <c r="F66" s="25">
        <f>'изменения июль вед стр-ра'!G53</f>
        <v>120</v>
      </c>
      <c r="G66" s="25">
        <f>'изменения июль вед стр-ра'!H53</f>
        <v>120</v>
      </c>
      <c r="H66" s="25">
        <f>'изменения июль вед стр-ра'!I53</f>
        <v>120</v>
      </c>
    </row>
    <row r="67" spans="1:9" s="26" customFormat="1" ht="25.5" x14ac:dyDescent="0.2">
      <c r="A67" s="132" t="s">
        <v>152</v>
      </c>
      <c r="B67" s="16" t="s">
        <v>12</v>
      </c>
      <c r="C67" s="19" t="s">
        <v>61</v>
      </c>
      <c r="D67" s="5" t="s">
        <v>153</v>
      </c>
      <c r="E67" s="5"/>
      <c r="F67" s="6">
        <f>F68</f>
        <v>6102.4</v>
      </c>
      <c r="G67" s="6">
        <f>G68</f>
        <v>5051</v>
      </c>
      <c r="H67" s="6">
        <f>H68</f>
        <v>4915.6000000000004</v>
      </c>
      <c r="I67" s="118"/>
    </row>
    <row r="68" spans="1:9" s="26" customFormat="1" ht="25.5" x14ac:dyDescent="0.2">
      <c r="A68" s="28" t="s">
        <v>141</v>
      </c>
      <c r="B68" s="24" t="s">
        <v>12</v>
      </c>
      <c r="C68" s="24" t="s">
        <v>61</v>
      </c>
      <c r="D68" s="24" t="s">
        <v>153</v>
      </c>
      <c r="E68" s="24" t="s">
        <v>65</v>
      </c>
      <c r="F68" s="25">
        <f>'изменения июль вед стр-ра'!G57</f>
        <v>6102.4</v>
      </c>
      <c r="G68" s="25">
        <f>'изменения июль вед стр-ра'!H57</f>
        <v>5051</v>
      </c>
      <c r="H68" s="25">
        <f>'изменения июль вед стр-ра'!I57</f>
        <v>4915.6000000000004</v>
      </c>
      <c r="I68" s="25">
        <f>'изменения июль вед стр-ра'!J57</f>
        <v>0</v>
      </c>
    </row>
    <row r="69" spans="1:9" s="79" customFormat="1" ht="25.5" x14ac:dyDescent="0.2">
      <c r="A69" s="89" t="s">
        <v>150</v>
      </c>
      <c r="B69" s="77" t="s">
        <v>12</v>
      </c>
      <c r="C69" s="77" t="s">
        <v>61</v>
      </c>
      <c r="D69" s="77" t="s">
        <v>151</v>
      </c>
      <c r="E69" s="77"/>
      <c r="F69" s="78">
        <f>F70</f>
        <v>966</v>
      </c>
      <c r="G69" s="78">
        <f>G70</f>
        <v>966</v>
      </c>
      <c r="H69" s="78">
        <f>H70</f>
        <v>966</v>
      </c>
    </row>
    <row r="70" spans="1:9" s="84" customFormat="1" x14ac:dyDescent="0.2">
      <c r="A70" s="87" t="s">
        <v>69</v>
      </c>
      <c r="B70" s="82" t="s">
        <v>12</v>
      </c>
      <c r="C70" s="82" t="s">
        <v>61</v>
      </c>
      <c r="D70" s="82" t="s">
        <v>151</v>
      </c>
      <c r="E70" s="82" t="s">
        <v>70</v>
      </c>
      <c r="F70" s="62">
        <f>'изменения июль вед стр-ра'!G55</f>
        <v>966</v>
      </c>
      <c r="G70" s="62">
        <f>'изменения июль вед стр-ра'!H55</f>
        <v>966</v>
      </c>
      <c r="H70" s="62">
        <f>'изменения июль вед стр-ра'!I55</f>
        <v>966</v>
      </c>
    </row>
    <row r="71" spans="1:9" s="79" customFormat="1" x14ac:dyDescent="0.2">
      <c r="A71" s="75" t="s">
        <v>227</v>
      </c>
      <c r="B71" s="77" t="s">
        <v>12</v>
      </c>
      <c r="C71" s="77" t="s">
        <v>61</v>
      </c>
      <c r="D71" s="77" t="s">
        <v>226</v>
      </c>
      <c r="E71" s="77"/>
      <c r="F71" s="78">
        <f>F72</f>
        <v>3423.5</v>
      </c>
      <c r="G71" s="78">
        <f>G72</f>
        <v>3423.5</v>
      </c>
      <c r="H71" s="78">
        <f>H72</f>
        <v>144.30000000000001</v>
      </c>
    </row>
    <row r="72" spans="1:9" s="84" customFormat="1" x14ac:dyDescent="0.2">
      <c r="A72" s="87" t="s">
        <v>69</v>
      </c>
      <c r="B72" s="82" t="s">
        <v>12</v>
      </c>
      <c r="C72" s="82" t="s">
        <v>61</v>
      </c>
      <c r="D72" s="82" t="s">
        <v>226</v>
      </c>
      <c r="E72" s="82" t="s">
        <v>70</v>
      </c>
      <c r="F72" s="62">
        <f>'изменения июль вед стр-ра'!G43+'изменения июль вед стр-ра'!G227</f>
        <v>3423.5</v>
      </c>
      <c r="G72" s="62">
        <f>'изменения июль вед стр-ра'!H43+'изменения июль вед стр-ра'!H227</f>
        <v>3423.5</v>
      </c>
      <c r="H72" s="62">
        <f>'изменения июль вед стр-ра'!I43+'изменения июль вед стр-ра'!I227</f>
        <v>144.30000000000001</v>
      </c>
    </row>
    <row r="73" spans="1:9" s="9" customFormat="1" x14ac:dyDescent="0.2">
      <c r="A73" s="18" t="s">
        <v>286</v>
      </c>
      <c r="B73" s="19" t="s">
        <v>12</v>
      </c>
      <c r="C73" s="19" t="s">
        <v>61</v>
      </c>
      <c r="D73" s="19" t="s">
        <v>288</v>
      </c>
      <c r="E73" s="19"/>
      <c r="F73" s="20">
        <f>F74</f>
        <v>1109.5</v>
      </c>
      <c r="G73" s="20">
        <f>G74</f>
        <v>1109.5</v>
      </c>
      <c r="H73" s="20">
        <f>H74</f>
        <v>0</v>
      </c>
    </row>
    <row r="74" spans="1:9" s="7" customFormat="1" x14ac:dyDescent="0.2">
      <c r="A74" s="28" t="s">
        <v>72</v>
      </c>
      <c r="B74" s="24" t="s">
        <v>12</v>
      </c>
      <c r="C74" s="24" t="s">
        <v>61</v>
      </c>
      <c r="D74" s="24" t="s">
        <v>288</v>
      </c>
      <c r="E74" s="24" t="s">
        <v>73</v>
      </c>
      <c r="F74" s="25">
        <f>'изменения июль вед стр-ра'!G45</f>
        <v>1109.5</v>
      </c>
      <c r="G74" s="25">
        <f>'изменения июль вед стр-ра'!H45</f>
        <v>1109.5</v>
      </c>
      <c r="H74" s="25">
        <f>'изменения июль вед стр-ра'!I45</f>
        <v>0</v>
      </c>
    </row>
    <row r="75" spans="1:9" s="7" customFormat="1" ht="30.75" customHeight="1" x14ac:dyDescent="0.2">
      <c r="A75" s="18" t="s">
        <v>198</v>
      </c>
      <c r="B75" s="19" t="s">
        <v>12</v>
      </c>
      <c r="C75" s="19" t="s">
        <v>61</v>
      </c>
      <c r="D75" s="5" t="s">
        <v>197</v>
      </c>
      <c r="E75" s="5"/>
      <c r="F75" s="6">
        <f>F76</f>
        <v>1050</v>
      </c>
      <c r="G75" s="6">
        <f>G76</f>
        <v>300</v>
      </c>
      <c r="H75" s="6">
        <f>H76</f>
        <v>300</v>
      </c>
      <c r="I75" s="119"/>
    </row>
    <row r="76" spans="1:9" s="7" customFormat="1" ht="25.5" x14ac:dyDescent="0.2">
      <c r="A76" s="28" t="s">
        <v>76</v>
      </c>
      <c r="B76" s="24" t="s">
        <v>12</v>
      </c>
      <c r="C76" s="24" t="s">
        <v>61</v>
      </c>
      <c r="D76" s="24" t="s">
        <v>197</v>
      </c>
      <c r="E76" s="27" t="s">
        <v>68</v>
      </c>
      <c r="F76" s="25">
        <f>'изменения июль вед стр-ра'!G169</f>
        <v>1050</v>
      </c>
      <c r="G76" s="25">
        <f>'изменения июль вед стр-ра'!H169</f>
        <v>300</v>
      </c>
      <c r="H76" s="25">
        <f>'изменения июль вед стр-ра'!I169</f>
        <v>300</v>
      </c>
      <c r="I76" s="119"/>
    </row>
    <row r="77" spans="1:9" s="7" customFormat="1" ht="12" customHeight="1" x14ac:dyDescent="0.2">
      <c r="A77" s="18" t="s">
        <v>199</v>
      </c>
      <c r="B77" s="19" t="s">
        <v>12</v>
      </c>
      <c r="C77" s="19" t="s">
        <v>61</v>
      </c>
      <c r="D77" s="5" t="s">
        <v>200</v>
      </c>
      <c r="E77" s="5"/>
      <c r="F77" s="6">
        <f>F78</f>
        <v>600</v>
      </c>
      <c r="G77" s="6">
        <f>G78</f>
        <v>300</v>
      </c>
      <c r="H77" s="6">
        <f>H78</f>
        <v>300</v>
      </c>
      <c r="I77" s="119"/>
    </row>
    <row r="78" spans="1:9" s="7" customFormat="1" ht="25.5" x14ac:dyDescent="0.2">
      <c r="A78" s="28" t="s">
        <v>76</v>
      </c>
      <c r="B78" s="24" t="s">
        <v>12</v>
      </c>
      <c r="C78" s="24" t="s">
        <v>61</v>
      </c>
      <c r="D78" s="24" t="s">
        <v>200</v>
      </c>
      <c r="E78" s="27" t="s">
        <v>68</v>
      </c>
      <c r="F78" s="25">
        <f>'изменения июль вед стр-ра'!G171</f>
        <v>600</v>
      </c>
      <c r="G78" s="25">
        <f>'изменения июль вед стр-ра'!H171</f>
        <v>300</v>
      </c>
      <c r="H78" s="25">
        <f>'изменения июль вед стр-ра'!I171</f>
        <v>300</v>
      </c>
      <c r="I78" s="119"/>
    </row>
    <row r="79" spans="1:9" s="7" customFormat="1" ht="25.5" x14ac:dyDescent="0.2">
      <c r="A79" s="18" t="s">
        <v>201</v>
      </c>
      <c r="B79" s="19" t="s">
        <v>12</v>
      </c>
      <c r="C79" s="19" t="s">
        <v>61</v>
      </c>
      <c r="D79" s="19" t="s">
        <v>202</v>
      </c>
      <c r="E79" s="19"/>
      <c r="F79" s="20">
        <f>F80</f>
        <v>7310</v>
      </c>
      <c r="G79" s="20">
        <f>G80</f>
        <v>7310</v>
      </c>
      <c r="H79" s="20">
        <f>H80</f>
        <v>7310</v>
      </c>
    </row>
    <row r="80" spans="1:9" s="9" customFormat="1" ht="25.5" x14ac:dyDescent="0.2">
      <c r="A80" s="28" t="s">
        <v>76</v>
      </c>
      <c r="B80" s="24" t="s">
        <v>12</v>
      </c>
      <c r="C80" s="24" t="s">
        <v>61</v>
      </c>
      <c r="D80" s="24" t="s">
        <v>202</v>
      </c>
      <c r="E80" s="27" t="s">
        <v>68</v>
      </c>
      <c r="F80" s="25">
        <f>'изменения июль вед стр-ра'!G173</f>
        <v>7310</v>
      </c>
      <c r="G80" s="25">
        <f>'изменения июль вед стр-ра'!H173</f>
        <v>7310</v>
      </c>
      <c r="H80" s="25">
        <f>'изменения июль вед стр-ра'!I173</f>
        <v>7310</v>
      </c>
    </row>
    <row r="81" spans="1:9" s="12" customFormat="1" x14ac:dyDescent="0.2">
      <c r="A81" s="18" t="s">
        <v>203</v>
      </c>
      <c r="B81" s="19" t="s">
        <v>12</v>
      </c>
      <c r="C81" s="19" t="s">
        <v>61</v>
      </c>
      <c r="D81" s="5" t="s">
        <v>204</v>
      </c>
      <c r="E81" s="5"/>
      <c r="F81" s="6">
        <f>F84+F82+F83</f>
        <v>6892.9</v>
      </c>
      <c r="G81" s="6">
        <f t="shared" ref="G81:H81" si="6">G84+G82+G83</f>
        <v>400</v>
      </c>
      <c r="H81" s="6">
        <f t="shared" si="6"/>
        <v>400</v>
      </c>
      <c r="I81" s="128"/>
    </row>
    <row r="82" spans="1:9" s="26" customFormat="1" ht="25.5" x14ac:dyDescent="0.2">
      <c r="A82" s="28" t="s">
        <v>76</v>
      </c>
      <c r="B82" s="24" t="s">
        <v>12</v>
      </c>
      <c r="C82" s="24" t="s">
        <v>61</v>
      </c>
      <c r="D82" s="24" t="s">
        <v>204</v>
      </c>
      <c r="E82" s="27" t="s">
        <v>68</v>
      </c>
      <c r="F82" s="25">
        <f>'изменения июль вед стр-ра'!G175</f>
        <v>4600</v>
      </c>
      <c r="G82" s="25">
        <f>'изменения июль вед стр-ра'!H175</f>
        <v>150</v>
      </c>
      <c r="H82" s="25">
        <f>'изменения июль вед стр-ра'!I175</f>
        <v>150</v>
      </c>
      <c r="I82" s="118"/>
    </row>
    <row r="83" spans="1:9" s="26" customFormat="1" ht="25.5" x14ac:dyDescent="0.2">
      <c r="A83" s="28" t="s">
        <v>141</v>
      </c>
      <c r="B83" s="24" t="s">
        <v>12</v>
      </c>
      <c r="C83" s="24" t="s">
        <v>61</v>
      </c>
      <c r="D83" s="24" t="s">
        <v>204</v>
      </c>
      <c r="E83" s="27" t="s">
        <v>65</v>
      </c>
      <c r="F83" s="25">
        <f>'изменения июль вед стр-ра'!G542</f>
        <v>2042.9</v>
      </c>
      <c r="G83" s="25">
        <f>'изменения июль вед стр-ра'!H542</f>
        <v>0</v>
      </c>
      <c r="H83" s="25">
        <f>'изменения июль вед стр-ра'!I542</f>
        <v>0</v>
      </c>
    </row>
    <row r="84" spans="1:9" s="26" customFormat="1" x14ac:dyDescent="0.2">
      <c r="A84" s="28" t="s">
        <v>72</v>
      </c>
      <c r="B84" s="24" t="s">
        <v>12</v>
      </c>
      <c r="C84" s="24" t="s">
        <v>61</v>
      </c>
      <c r="D84" s="24" t="s">
        <v>204</v>
      </c>
      <c r="E84" s="27" t="s">
        <v>73</v>
      </c>
      <c r="F84" s="25">
        <f>'изменения июль вед стр-ра'!G176</f>
        <v>250</v>
      </c>
      <c r="G84" s="25">
        <f>'изменения июль вед стр-ра'!H176</f>
        <v>250</v>
      </c>
      <c r="H84" s="25">
        <f>'изменения июль вед стр-ра'!I176</f>
        <v>250</v>
      </c>
    </row>
    <row r="85" spans="1:9" s="12" customFormat="1" x14ac:dyDescent="0.2">
      <c r="A85" s="18" t="s">
        <v>206</v>
      </c>
      <c r="B85" s="19" t="s">
        <v>12</v>
      </c>
      <c r="C85" s="19" t="s">
        <v>61</v>
      </c>
      <c r="D85" s="5" t="s">
        <v>205</v>
      </c>
      <c r="E85" s="5"/>
      <c r="F85" s="6">
        <f>F86</f>
        <v>700</v>
      </c>
      <c r="G85" s="6">
        <f>G86</f>
        <v>600</v>
      </c>
      <c r="H85" s="6">
        <f>H86</f>
        <v>600</v>
      </c>
      <c r="I85" s="128"/>
    </row>
    <row r="86" spans="1:9" s="26" customFormat="1" ht="25.5" x14ac:dyDescent="0.2">
      <c r="A86" s="28" t="s">
        <v>76</v>
      </c>
      <c r="B86" s="24" t="s">
        <v>12</v>
      </c>
      <c r="C86" s="24" t="s">
        <v>61</v>
      </c>
      <c r="D86" s="24" t="s">
        <v>205</v>
      </c>
      <c r="E86" s="27" t="s">
        <v>68</v>
      </c>
      <c r="F86" s="25">
        <f>'изменения июль вед стр-ра'!G178</f>
        <v>700</v>
      </c>
      <c r="G86" s="25">
        <f>'изменения июль вед стр-ра'!H178</f>
        <v>600</v>
      </c>
      <c r="H86" s="25">
        <f>'изменения июль вед стр-ра'!I178</f>
        <v>600</v>
      </c>
      <c r="I86" s="118"/>
    </row>
    <row r="87" spans="1:9" s="168" customFormat="1" ht="15" x14ac:dyDescent="0.2">
      <c r="A87" s="18" t="s">
        <v>207</v>
      </c>
      <c r="B87" s="19" t="s">
        <v>12</v>
      </c>
      <c r="C87" s="19" t="s">
        <v>61</v>
      </c>
      <c r="D87" s="5" t="s">
        <v>208</v>
      </c>
      <c r="E87" s="5"/>
      <c r="F87" s="6">
        <f>F88+F89</f>
        <v>23982.3</v>
      </c>
      <c r="G87" s="6">
        <f t="shared" ref="G87:H87" si="7">G88+G89</f>
        <v>288.3</v>
      </c>
      <c r="H87" s="6">
        <f t="shared" si="7"/>
        <v>288.3</v>
      </c>
      <c r="I87" s="208"/>
    </row>
    <row r="88" spans="1:9" s="26" customFormat="1" ht="25.5" x14ac:dyDescent="0.2">
      <c r="A88" s="28" t="s">
        <v>76</v>
      </c>
      <c r="B88" s="24" t="s">
        <v>12</v>
      </c>
      <c r="C88" s="24" t="s">
        <v>61</v>
      </c>
      <c r="D88" s="24" t="s">
        <v>208</v>
      </c>
      <c r="E88" s="27" t="s">
        <v>68</v>
      </c>
      <c r="F88" s="25">
        <f>'изменения июль вед стр-ра'!G180</f>
        <v>88.3</v>
      </c>
      <c r="G88" s="25">
        <f>'изменения июль вед стр-ра'!H180</f>
        <v>88.3</v>
      </c>
      <c r="H88" s="25">
        <f>'изменения июль вед стр-ра'!I180</f>
        <v>88.3</v>
      </c>
    </row>
    <row r="89" spans="1:9" s="9" customFormat="1" x14ac:dyDescent="0.2">
      <c r="A89" s="28" t="s">
        <v>72</v>
      </c>
      <c r="B89" s="19" t="s">
        <v>12</v>
      </c>
      <c r="C89" s="19" t="s">
        <v>61</v>
      </c>
      <c r="D89" s="24" t="s">
        <v>208</v>
      </c>
      <c r="E89" s="24" t="s">
        <v>73</v>
      </c>
      <c r="F89" s="25">
        <f>'изменения июль вед стр-ра'!G181</f>
        <v>23894</v>
      </c>
      <c r="G89" s="25">
        <f>'изменения июль вед стр-ра'!H181</f>
        <v>200</v>
      </c>
      <c r="H89" s="25">
        <f>'изменения июль вед стр-ра'!I181</f>
        <v>200</v>
      </c>
      <c r="I89" s="127"/>
    </row>
    <row r="90" spans="1:9" s="79" customFormat="1" ht="25.5" x14ac:dyDescent="0.2">
      <c r="A90" s="75" t="s">
        <v>209</v>
      </c>
      <c r="B90" s="77" t="s">
        <v>12</v>
      </c>
      <c r="C90" s="77" t="s">
        <v>61</v>
      </c>
      <c r="D90" s="90" t="s">
        <v>210</v>
      </c>
      <c r="E90" s="77"/>
      <c r="F90" s="78">
        <f>F91+F92+F93</f>
        <v>9355.1</v>
      </c>
      <c r="G90" s="78">
        <f t="shared" ref="G90:H90" si="8">G91+G92+G93</f>
        <v>8182.0999999999995</v>
      </c>
      <c r="H90" s="78">
        <f t="shared" si="8"/>
        <v>8182.0999999999995</v>
      </c>
    </row>
    <row r="91" spans="1:9" s="26" customFormat="1" ht="51" x14ac:dyDescent="0.2">
      <c r="A91" s="30" t="s">
        <v>66</v>
      </c>
      <c r="B91" s="24" t="s">
        <v>12</v>
      </c>
      <c r="C91" s="24" t="s">
        <v>61</v>
      </c>
      <c r="D91" s="24" t="s">
        <v>210</v>
      </c>
      <c r="E91" s="27" t="s">
        <v>67</v>
      </c>
      <c r="F91" s="25">
        <f>'изменения июль вед стр-ра'!G183</f>
        <v>8442.7000000000007</v>
      </c>
      <c r="G91" s="25">
        <f>'изменения июль вед стр-ра'!H183</f>
        <v>7269.7</v>
      </c>
      <c r="H91" s="25">
        <f>'изменения июль вед стр-ра'!I183</f>
        <v>7269.7</v>
      </c>
    </row>
    <row r="92" spans="1:9" s="84" customFormat="1" ht="25.5" x14ac:dyDescent="0.2">
      <c r="A92" s="87" t="s">
        <v>76</v>
      </c>
      <c r="B92" s="82" t="s">
        <v>12</v>
      </c>
      <c r="C92" s="82" t="s">
        <v>61</v>
      </c>
      <c r="D92" s="82" t="s">
        <v>210</v>
      </c>
      <c r="E92" s="83" t="s">
        <v>68</v>
      </c>
      <c r="F92" s="25">
        <f>'изменения июль вед стр-ра'!G184</f>
        <v>902.4</v>
      </c>
      <c r="G92" s="25">
        <f>'изменения июль вед стр-ра'!H184</f>
        <v>902.4</v>
      </c>
      <c r="H92" s="25">
        <f>'изменения июль вед стр-ра'!I184</f>
        <v>902.4</v>
      </c>
    </row>
    <row r="93" spans="1:9" s="26" customFormat="1" x14ac:dyDescent="0.2">
      <c r="A93" s="28" t="s">
        <v>72</v>
      </c>
      <c r="B93" s="24" t="s">
        <v>12</v>
      </c>
      <c r="C93" s="24" t="s">
        <v>61</v>
      </c>
      <c r="D93" s="24" t="s">
        <v>210</v>
      </c>
      <c r="E93" s="27" t="s">
        <v>73</v>
      </c>
      <c r="F93" s="25">
        <f>'изменения июль вед стр-ра'!G185</f>
        <v>10</v>
      </c>
      <c r="G93" s="25">
        <f>'изменения июль вед стр-ра'!H185</f>
        <v>10</v>
      </c>
      <c r="H93" s="25">
        <f>'изменения июль вед стр-ра'!I185</f>
        <v>10</v>
      </c>
    </row>
    <row r="94" spans="1:9" s="26" customFormat="1" ht="89.25" x14ac:dyDescent="0.2">
      <c r="A94" s="46" t="s">
        <v>155</v>
      </c>
      <c r="B94" s="19" t="s">
        <v>12</v>
      </c>
      <c r="C94" s="19" t="s">
        <v>61</v>
      </c>
      <c r="D94" s="19" t="s">
        <v>154</v>
      </c>
      <c r="E94" s="19"/>
      <c r="F94" s="20">
        <f>F95+F96</f>
        <v>8615.6</v>
      </c>
      <c r="G94" s="20">
        <f>G95+G96</f>
        <v>7326.4000000000005</v>
      </c>
      <c r="H94" s="20">
        <f>H95+H96</f>
        <v>7326.4000000000005</v>
      </c>
      <c r="I94" s="118"/>
    </row>
    <row r="95" spans="1:9" s="26" customFormat="1" ht="51" x14ac:dyDescent="0.2">
      <c r="A95" s="30" t="s">
        <v>66</v>
      </c>
      <c r="B95" s="24" t="s">
        <v>12</v>
      </c>
      <c r="C95" s="24" t="s">
        <v>61</v>
      </c>
      <c r="D95" s="24" t="s">
        <v>154</v>
      </c>
      <c r="E95" s="27" t="s">
        <v>67</v>
      </c>
      <c r="F95" s="25">
        <f>'изменения июль вед стр-ра'!G59</f>
        <v>8509.5</v>
      </c>
      <c r="G95" s="25">
        <f>'изменения июль вед стр-ра'!H59</f>
        <v>7220.3</v>
      </c>
      <c r="H95" s="25">
        <f>'изменения июль вед стр-ра'!I59</f>
        <v>7220.3</v>
      </c>
      <c r="I95" s="118"/>
    </row>
    <row r="96" spans="1:9" s="21" customFormat="1" ht="25.5" x14ac:dyDescent="0.2">
      <c r="A96" s="28" t="s">
        <v>76</v>
      </c>
      <c r="B96" s="24" t="s">
        <v>12</v>
      </c>
      <c r="C96" s="24" t="s">
        <v>61</v>
      </c>
      <c r="D96" s="24" t="s">
        <v>154</v>
      </c>
      <c r="E96" s="27" t="s">
        <v>68</v>
      </c>
      <c r="F96" s="25">
        <f>'изменения июль вед стр-ра'!G60</f>
        <v>106.10000000000001</v>
      </c>
      <c r="G96" s="25">
        <f>'изменения июль вед стр-ра'!H60</f>
        <v>106.10000000000001</v>
      </c>
      <c r="H96" s="25">
        <f>'изменения июль вед стр-ра'!I60</f>
        <v>106.10000000000001</v>
      </c>
    </row>
    <row r="97" spans="1:9" s="84" customFormat="1" ht="51" x14ac:dyDescent="0.2">
      <c r="A97" s="97" t="s">
        <v>156</v>
      </c>
      <c r="B97" s="77" t="s">
        <v>12</v>
      </c>
      <c r="C97" s="77" t="s">
        <v>61</v>
      </c>
      <c r="D97" s="77" t="s">
        <v>157</v>
      </c>
      <c r="E97" s="77"/>
      <c r="F97" s="78">
        <f>F98</f>
        <v>228.8</v>
      </c>
      <c r="G97" s="78">
        <f>G98</f>
        <v>0</v>
      </c>
      <c r="H97" s="78">
        <f>H98</f>
        <v>0</v>
      </c>
    </row>
    <row r="98" spans="1:9" s="79" customFormat="1" ht="25.5" x14ac:dyDescent="0.2">
      <c r="A98" s="87" t="s">
        <v>76</v>
      </c>
      <c r="B98" s="82" t="s">
        <v>12</v>
      </c>
      <c r="C98" s="82" t="s">
        <v>61</v>
      </c>
      <c r="D98" s="82" t="s">
        <v>157</v>
      </c>
      <c r="E98" s="83" t="s">
        <v>68</v>
      </c>
      <c r="F98" s="62">
        <f>'изменения июль вед стр-ра'!G62</f>
        <v>228.8</v>
      </c>
      <c r="G98" s="62">
        <f>'изменения июль вед стр-ра'!H62</f>
        <v>0</v>
      </c>
      <c r="H98" s="62">
        <f>'изменения июль вед стр-ра'!I62</f>
        <v>0</v>
      </c>
    </row>
    <row r="99" spans="1:9" s="26" customFormat="1" ht="31.5" x14ac:dyDescent="0.25">
      <c r="A99" s="144" t="s">
        <v>5</v>
      </c>
      <c r="B99" s="143" t="s">
        <v>16</v>
      </c>
      <c r="C99" s="143" t="s">
        <v>463</v>
      </c>
      <c r="D99" s="143"/>
      <c r="E99" s="143"/>
      <c r="F99" s="206">
        <f>F100</f>
        <v>11113.199999999999</v>
      </c>
      <c r="G99" s="206">
        <f>G100</f>
        <v>14719.400000000001</v>
      </c>
      <c r="H99" s="206">
        <f>H100</f>
        <v>14661.300000000001</v>
      </c>
    </row>
    <row r="100" spans="1:9" s="84" customFormat="1" ht="38.25" x14ac:dyDescent="0.2">
      <c r="A100" s="70" t="s">
        <v>661</v>
      </c>
      <c r="B100" s="209" t="s">
        <v>16</v>
      </c>
      <c r="C100" s="72" t="s">
        <v>26</v>
      </c>
      <c r="D100" s="72"/>
      <c r="E100" s="72"/>
      <c r="F100" s="73">
        <f>F105+F101+F109+F112+F114+F107</f>
        <v>11113.199999999999</v>
      </c>
      <c r="G100" s="73">
        <f>G105+G101+G109+G112+G114+G107</f>
        <v>14719.400000000001</v>
      </c>
      <c r="H100" s="73">
        <f>H105+H101+H109+H112+H114+H107</f>
        <v>14661.300000000001</v>
      </c>
    </row>
    <row r="101" spans="1:9" s="26" customFormat="1" ht="38.25" x14ac:dyDescent="0.2">
      <c r="A101" s="46" t="s">
        <v>159</v>
      </c>
      <c r="B101" s="19" t="s">
        <v>16</v>
      </c>
      <c r="C101" s="19" t="s">
        <v>26</v>
      </c>
      <c r="D101" s="19" t="s">
        <v>158</v>
      </c>
      <c r="E101" s="19"/>
      <c r="F101" s="20">
        <f>F102+F103+F104</f>
        <v>3224.7999999999997</v>
      </c>
      <c r="G101" s="20">
        <f>G102+G103+G104</f>
        <v>0</v>
      </c>
      <c r="H101" s="20">
        <f>H102+H103+H104</f>
        <v>0</v>
      </c>
      <c r="I101" s="118"/>
    </row>
    <row r="102" spans="1:9" s="21" customFormat="1" ht="51" x14ac:dyDescent="0.2">
      <c r="A102" s="30" t="s">
        <v>66</v>
      </c>
      <c r="B102" s="24" t="s">
        <v>16</v>
      </c>
      <c r="C102" s="24" t="s">
        <v>26</v>
      </c>
      <c r="D102" s="24" t="s">
        <v>158</v>
      </c>
      <c r="E102" s="27" t="s">
        <v>67</v>
      </c>
      <c r="F102" s="25">
        <f>'изменения июль вед стр-ра'!G68</f>
        <v>2658.7999999999997</v>
      </c>
      <c r="G102" s="25">
        <f>'изменения июль вед стр-ра'!H68</f>
        <v>0</v>
      </c>
      <c r="H102" s="25">
        <f>'изменения июль вед стр-ра'!I68</f>
        <v>0</v>
      </c>
      <c r="I102" s="117"/>
    </row>
    <row r="103" spans="1:9" s="84" customFormat="1" ht="25.5" x14ac:dyDescent="0.2">
      <c r="A103" s="87" t="s">
        <v>76</v>
      </c>
      <c r="B103" s="82" t="s">
        <v>16</v>
      </c>
      <c r="C103" s="82" t="s">
        <v>26</v>
      </c>
      <c r="D103" s="82" t="s">
        <v>158</v>
      </c>
      <c r="E103" s="83" t="s">
        <v>68</v>
      </c>
      <c r="F103" s="25">
        <f>'изменения июль вед стр-ра'!G69</f>
        <v>559.19999999999982</v>
      </c>
      <c r="G103" s="25">
        <f>'изменения июль вед стр-ра'!H69</f>
        <v>0</v>
      </c>
      <c r="H103" s="25">
        <f>'изменения июль вед стр-ра'!I69</f>
        <v>0</v>
      </c>
    </row>
    <row r="104" spans="1:9" s="9" customFormat="1" x14ac:dyDescent="0.2">
      <c r="A104" s="28" t="s">
        <v>72</v>
      </c>
      <c r="B104" s="24" t="s">
        <v>16</v>
      </c>
      <c r="C104" s="24" t="s">
        <v>26</v>
      </c>
      <c r="D104" s="24" t="s">
        <v>158</v>
      </c>
      <c r="E104" s="24" t="s">
        <v>73</v>
      </c>
      <c r="F104" s="25">
        <f>'изменения июль вед стр-ра'!G70</f>
        <v>6.8</v>
      </c>
      <c r="G104" s="25">
        <f>'изменения июль вед стр-ра'!H70</f>
        <v>0</v>
      </c>
      <c r="H104" s="25">
        <f>'изменения июль вед стр-ра'!I70</f>
        <v>0</v>
      </c>
    </row>
    <row r="105" spans="1:9" s="26" customFormat="1" x14ac:dyDescent="0.2">
      <c r="A105" s="51" t="s">
        <v>160</v>
      </c>
      <c r="B105" s="19" t="s">
        <v>16</v>
      </c>
      <c r="C105" s="19" t="s">
        <v>26</v>
      </c>
      <c r="D105" s="19" t="s">
        <v>161</v>
      </c>
      <c r="E105" s="19"/>
      <c r="F105" s="20">
        <f>F106</f>
        <v>2879.4999999999995</v>
      </c>
      <c r="G105" s="20">
        <f>G106</f>
        <v>0</v>
      </c>
      <c r="H105" s="20">
        <f>H106</f>
        <v>0</v>
      </c>
    </row>
    <row r="106" spans="1:9" s="26" customFormat="1" ht="25.5" x14ac:dyDescent="0.2">
      <c r="A106" s="28" t="s">
        <v>141</v>
      </c>
      <c r="B106" s="24" t="s">
        <v>16</v>
      </c>
      <c r="C106" s="24" t="s">
        <v>26</v>
      </c>
      <c r="D106" s="24" t="s">
        <v>161</v>
      </c>
      <c r="E106" s="27" t="s">
        <v>65</v>
      </c>
      <c r="F106" s="25">
        <f>'изменения июль вед стр-ра'!G546</f>
        <v>2879.4999999999995</v>
      </c>
      <c r="G106" s="25">
        <f>'изменения июль вед стр-ра'!H546</f>
        <v>0</v>
      </c>
      <c r="H106" s="25">
        <f>'изменения июль вед стр-ра'!I546</f>
        <v>0</v>
      </c>
    </row>
    <row r="107" spans="1:9" s="26" customFormat="1" ht="63.75" x14ac:dyDescent="0.2">
      <c r="A107" s="18" t="s">
        <v>709</v>
      </c>
      <c r="B107" s="24" t="s">
        <v>16</v>
      </c>
      <c r="C107" s="24" t="s">
        <v>26</v>
      </c>
      <c r="D107" s="24" t="s">
        <v>707</v>
      </c>
      <c r="E107" s="27"/>
      <c r="F107" s="25">
        <f>F108</f>
        <v>4817.5</v>
      </c>
      <c r="G107" s="25">
        <f t="shared" ref="G107:H107" si="9">G108</f>
        <v>14551.2</v>
      </c>
      <c r="H107" s="25">
        <f t="shared" si="9"/>
        <v>14493.1</v>
      </c>
    </row>
    <row r="108" spans="1:9" s="26" customFormat="1" ht="25.5" x14ac:dyDescent="0.2">
      <c r="A108" s="28" t="s">
        <v>141</v>
      </c>
      <c r="B108" s="24" t="s">
        <v>16</v>
      </c>
      <c r="C108" s="24" t="s">
        <v>26</v>
      </c>
      <c r="D108" s="24" t="s">
        <v>707</v>
      </c>
      <c r="E108" s="27" t="s">
        <v>65</v>
      </c>
      <c r="F108" s="25">
        <f>'изменения июль вед стр-ра'!G72</f>
        <v>4817.5</v>
      </c>
      <c r="G108" s="25">
        <f>'изменения июль вед стр-ра'!H72</f>
        <v>14551.2</v>
      </c>
      <c r="H108" s="25">
        <f>'изменения июль вед стр-ра'!I72</f>
        <v>14493.1</v>
      </c>
    </row>
    <row r="109" spans="1:9" s="21" customFormat="1" ht="25.5" x14ac:dyDescent="0.2">
      <c r="A109" s="17" t="s">
        <v>163</v>
      </c>
      <c r="B109" s="19" t="s">
        <v>16</v>
      </c>
      <c r="C109" s="19" t="s">
        <v>26</v>
      </c>
      <c r="D109" s="19" t="s">
        <v>162</v>
      </c>
      <c r="E109" s="5"/>
      <c r="F109" s="6">
        <f>F110</f>
        <v>24.2</v>
      </c>
      <c r="G109" s="6">
        <f>G110+G111</f>
        <v>1</v>
      </c>
      <c r="H109" s="6">
        <f>H110+H111</f>
        <v>1</v>
      </c>
    </row>
    <row r="110" spans="1:9" s="74" customFormat="1" ht="25.5" x14ac:dyDescent="0.2">
      <c r="A110" s="87" t="s">
        <v>76</v>
      </c>
      <c r="B110" s="82" t="s">
        <v>16</v>
      </c>
      <c r="C110" s="82" t="s">
        <v>26</v>
      </c>
      <c r="D110" s="82" t="s">
        <v>162</v>
      </c>
      <c r="E110" s="83" t="s">
        <v>68</v>
      </c>
      <c r="F110" s="62">
        <f>'изменения июль вед стр-ра'!G74</f>
        <v>24.2</v>
      </c>
      <c r="G110" s="62">
        <f>'изменения июль вед стр-ра'!H74</f>
        <v>0</v>
      </c>
      <c r="H110" s="62">
        <f>'изменения июль вед стр-ра'!I74</f>
        <v>0</v>
      </c>
    </row>
    <row r="111" spans="1:9" s="74" customFormat="1" ht="25.5" x14ac:dyDescent="0.2">
      <c r="A111" s="87" t="s">
        <v>141</v>
      </c>
      <c r="B111" s="82" t="s">
        <v>16</v>
      </c>
      <c r="C111" s="82" t="s">
        <v>26</v>
      </c>
      <c r="D111" s="82" t="s">
        <v>705</v>
      </c>
      <c r="E111" s="83" t="s">
        <v>65</v>
      </c>
      <c r="F111" s="62">
        <f>'изменения июль вед стр-ра'!G75</f>
        <v>0</v>
      </c>
      <c r="G111" s="62">
        <f>'изменения июль вед стр-ра'!H75</f>
        <v>1</v>
      </c>
      <c r="H111" s="62">
        <f>'изменения июль вед стр-ра'!I75</f>
        <v>1</v>
      </c>
    </row>
    <row r="112" spans="1:9" s="79" customFormat="1" x14ac:dyDescent="0.2">
      <c r="A112" s="89" t="s">
        <v>164</v>
      </c>
      <c r="B112" s="77" t="s">
        <v>16</v>
      </c>
      <c r="C112" s="77" t="s">
        <v>26</v>
      </c>
      <c r="D112" s="77" t="s">
        <v>165</v>
      </c>
      <c r="E112" s="90"/>
      <c r="F112" s="91">
        <f>F113</f>
        <v>132.19999999999999</v>
      </c>
      <c r="G112" s="91">
        <f t="shared" ref="G112:H112" si="10">G113</f>
        <v>132.19999999999999</v>
      </c>
      <c r="H112" s="91">
        <f t="shared" si="10"/>
        <v>132.19999999999999</v>
      </c>
    </row>
    <row r="113" spans="1:9" s="84" customFormat="1" ht="25.5" x14ac:dyDescent="0.2">
      <c r="A113" s="87" t="s">
        <v>141</v>
      </c>
      <c r="B113" s="82" t="s">
        <v>16</v>
      </c>
      <c r="C113" s="82" t="s">
        <v>26</v>
      </c>
      <c r="D113" s="82" t="s">
        <v>165</v>
      </c>
      <c r="E113" s="83" t="s">
        <v>65</v>
      </c>
      <c r="F113" s="62">
        <f>'изменения июль вед стр-ра'!G77</f>
        <v>132.19999999999999</v>
      </c>
      <c r="G113" s="62">
        <f>'изменения июль вед стр-ра'!H77</f>
        <v>132.19999999999999</v>
      </c>
      <c r="H113" s="62">
        <f>'изменения июль вед стр-ра'!I77</f>
        <v>132.19999999999999</v>
      </c>
      <c r="I113" s="247"/>
    </row>
    <row r="114" spans="1:9" s="21" customFormat="1" ht="25.5" x14ac:dyDescent="0.2">
      <c r="A114" s="17" t="s">
        <v>418</v>
      </c>
      <c r="B114" s="19" t="s">
        <v>16</v>
      </c>
      <c r="C114" s="19" t="s">
        <v>26</v>
      </c>
      <c r="D114" s="19" t="s">
        <v>419</v>
      </c>
      <c r="E114" s="5"/>
      <c r="F114" s="6">
        <f>F115+F116</f>
        <v>35</v>
      </c>
      <c r="G114" s="6">
        <f t="shared" ref="G114:H114" si="11">G115+G116</f>
        <v>35</v>
      </c>
      <c r="H114" s="6">
        <f t="shared" si="11"/>
        <v>35</v>
      </c>
    </row>
    <row r="115" spans="1:9" s="26" customFormat="1" x14ac:dyDescent="0.2">
      <c r="A115" s="28" t="s">
        <v>69</v>
      </c>
      <c r="B115" s="24" t="s">
        <v>16</v>
      </c>
      <c r="C115" s="24" t="s">
        <v>26</v>
      </c>
      <c r="D115" s="19" t="s">
        <v>419</v>
      </c>
      <c r="E115" s="27" t="s">
        <v>70</v>
      </c>
      <c r="F115" s="25">
        <f>'изменения июль вед стр-ра'!G79</f>
        <v>35</v>
      </c>
      <c r="G115" s="25">
        <f>'изменения июль вед стр-ра'!H79</f>
        <v>0</v>
      </c>
      <c r="H115" s="25">
        <f>'изменения июль вед стр-ра'!I79</f>
        <v>0</v>
      </c>
    </row>
    <row r="116" spans="1:9" s="26" customFormat="1" ht="25.5" x14ac:dyDescent="0.2">
      <c r="A116" s="28" t="s">
        <v>141</v>
      </c>
      <c r="B116" s="24" t="s">
        <v>16</v>
      </c>
      <c r="C116" s="24" t="s">
        <v>26</v>
      </c>
      <c r="D116" s="19" t="s">
        <v>419</v>
      </c>
      <c r="E116" s="27" t="s">
        <v>65</v>
      </c>
      <c r="F116" s="25">
        <f>'изменения июль вед стр-ра'!G80</f>
        <v>0</v>
      </c>
      <c r="G116" s="25">
        <f>'изменения июль вед стр-ра'!H80</f>
        <v>35</v>
      </c>
      <c r="H116" s="25">
        <f>'изменения июль вед стр-ра'!I80</f>
        <v>35</v>
      </c>
    </row>
    <row r="117" spans="1:9" s="21" customFormat="1" ht="15.75" x14ac:dyDescent="0.25">
      <c r="A117" s="144" t="s">
        <v>27</v>
      </c>
      <c r="B117" s="143" t="s">
        <v>18</v>
      </c>
      <c r="C117" s="143" t="s">
        <v>463</v>
      </c>
      <c r="D117" s="143"/>
      <c r="E117" s="143"/>
      <c r="F117" s="206">
        <f>F118+F121+F134</f>
        <v>293159.48508000001</v>
      </c>
      <c r="G117" s="206">
        <f>G118+G121+G134</f>
        <v>17873</v>
      </c>
      <c r="H117" s="206">
        <f>H118+H121+H134</f>
        <v>20329</v>
      </c>
    </row>
    <row r="118" spans="1:9" s="9" customFormat="1" x14ac:dyDescent="0.2">
      <c r="A118" s="11" t="s">
        <v>28</v>
      </c>
      <c r="B118" s="8" t="s">
        <v>18</v>
      </c>
      <c r="C118" s="8" t="s">
        <v>14</v>
      </c>
      <c r="D118" s="8"/>
      <c r="E118" s="8"/>
      <c r="F118" s="4">
        <f>F119</f>
        <v>35925.800000000003</v>
      </c>
      <c r="G118" s="4">
        <f t="shared" ref="G118:H118" si="12">G119</f>
        <v>0</v>
      </c>
      <c r="H118" s="4">
        <f t="shared" si="12"/>
        <v>0</v>
      </c>
    </row>
    <row r="119" spans="1:9" s="26" customFormat="1" ht="38.25" x14ac:dyDescent="0.2">
      <c r="A119" s="18" t="s">
        <v>427</v>
      </c>
      <c r="B119" s="19" t="s">
        <v>18</v>
      </c>
      <c r="C119" s="19" t="s">
        <v>14</v>
      </c>
      <c r="D119" s="19" t="s">
        <v>289</v>
      </c>
      <c r="E119" s="19"/>
      <c r="F119" s="20">
        <f>F120</f>
        <v>35925.800000000003</v>
      </c>
      <c r="G119" s="20">
        <f>G120</f>
        <v>0</v>
      </c>
      <c r="H119" s="20">
        <f>H120</f>
        <v>0</v>
      </c>
    </row>
    <row r="120" spans="1:9" s="84" customFormat="1" x14ac:dyDescent="0.2">
      <c r="A120" s="87" t="s">
        <v>72</v>
      </c>
      <c r="B120" s="82" t="s">
        <v>18</v>
      </c>
      <c r="C120" s="82" t="s">
        <v>14</v>
      </c>
      <c r="D120" s="82" t="s">
        <v>289</v>
      </c>
      <c r="E120" s="82" t="s">
        <v>73</v>
      </c>
      <c r="F120" s="62">
        <f>'изменения июль вед стр-ра'!G550</f>
        <v>35925.800000000003</v>
      </c>
      <c r="G120" s="62">
        <f>'изменения июль вед стр-ра'!H550</f>
        <v>0</v>
      </c>
      <c r="H120" s="62">
        <f>'изменения июль вед стр-ра'!I550</f>
        <v>0</v>
      </c>
    </row>
    <row r="121" spans="1:9" s="79" customFormat="1" x14ac:dyDescent="0.2">
      <c r="A121" s="70" t="s">
        <v>79</v>
      </c>
      <c r="B121" s="72" t="s">
        <v>18</v>
      </c>
      <c r="C121" s="72" t="s">
        <v>26</v>
      </c>
      <c r="D121" s="72"/>
      <c r="E121" s="72"/>
      <c r="F121" s="73">
        <f>F126+F128+F122+F124+F130+F132</f>
        <v>255828.68508000002</v>
      </c>
      <c r="G121" s="73">
        <f t="shared" ref="G121:I121" si="13">G126+G128+G122+G124+G130+G132</f>
        <v>17273</v>
      </c>
      <c r="H121" s="73">
        <f t="shared" si="13"/>
        <v>19729</v>
      </c>
      <c r="I121" s="73">
        <f t="shared" si="13"/>
        <v>0</v>
      </c>
    </row>
    <row r="122" spans="1:9" s="21" customFormat="1" ht="69" customHeight="1" x14ac:dyDescent="0.2">
      <c r="A122" s="18" t="s">
        <v>383</v>
      </c>
      <c r="B122" s="19" t="s">
        <v>18</v>
      </c>
      <c r="C122" s="19" t="s">
        <v>26</v>
      </c>
      <c r="D122" s="19" t="s">
        <v>384</v>
      </c>
      <c r="E122" s="19"/>
      <c r="F122" s="20">
        <f>F123</f>
        <v>109287.13582</v>
      </c>
      <c r="G122" s="20">
        <f>G123</f>
        <v>0</v>
      </c>
      <c r="H122" s="20">
        <f>H123</f>
        <v>0</v>
      </c>
    </row>
    <row r="123" spans="1:9" s="26" customFormat="1" ht="25.5" x14ac:dyDescent="0.2">
      <c r="A123" s="28" t="s">
        <v>141</v>
      </c>
      <c r="B123" s="24" t="s">
        <v>18</v>
      </c>
      <c r="C123" s="24" t="s">
        <v>26</v>
      </c>
      <c r="D123" s="24" t="s">
        <v>384</v>
      </c>
      <c r="E123" s="24" t="s">
        <v>65</v>
      </c>
      <c r="F123" s="25">
        <f>'изменения июль вед стр-ра'!G553</f>
        <v>109287.13582</v>
      </c>
      <c r="G123" s="25">
        <f>'изменения июль вед стр-ра'!H553</f>
        <v>0</v>
      </c>
      <c r="H123" s="25">
        <f>'изменения июль вед стр-ра'!I553</f>
        <v>0</v>
      </c>
    </row>
    <row r="124" spans="1:9" s="21" customFormat="1" ht="69" customHeight="1" x14ac:dyDescent="0.2">
      <c r="A124" s="18" t="s">
        <v>383</v>
      </c>
      <c r="B124" s="19" t="s">
        <v>18</v>
      </c>
      <c r="C124" s="19" t="s">
        <v>26</v>
      </c>
      <c r="D124" s="19" t="s">
        <v>387</v>
      </c>
      <c r="E124" s="19"/>
      <c r="F124" s="20">
        <f>F125</f>
        <v>8282.2000000000007</v>
      </c>
      <c r="G124" s="20">
        <f>G125</f>
        <v>0</v>
      </c>
      <c r="H124" s="20">
        <f>H125</f>
        <v>0</v>
      </c>
    </row>
    <row r="125" spans="1:9" s="26" customFormat="1" ht="25.5" x14ac:dyDescent="0.2">
      <c r="A125" s="28" t="s">
        <v>141</v>
      </c>
      <c r="B125" s="24" t="s">
        <v>18</v>
      </c>
      <c r="C125" s="24" t="s">
        <v>26</v>
      </c>
      <c r="D125" s="24" t="s">
        <v>387</v>
      </c>
      <c r="E125" s="24" t="s">
        <v>65</v>
      </c>
      <c r="F125" s="25">
        <f>'изменения июль вед стр-ра'!G555</f>
        <v>8282.2000000000007</v>
      </c>
      <c r="G125" s="25">
        <f>'изменения июль вед стр-ра'!H555</f>
        <v>0</v>
      </c>
      <c r="H125" s="25">
        <f>'изменения июль вед стр-ра'!I555</f>
        <v>0</v>
      </c>
    </row>
    <row r="126" spans="1:9" s="74" customFormat="1" ht="25.5" x14ac:dyDescent="0.2">
      <c r="A126" s="75" t="s">
        <v>291</v>
      </c>
      <c r="B126" s="77" t="s">
        <v>18</v>
      </c>
      <c r="C126" s="77" t="s">
        <v>26</v>
      </c>
      <c r="D126" s="77" t="s">
        <v>290</v>
      </c>
      <c r="E126" s="77"/>
      <c r="F126" s="78">
        <f>F127</f>
        <v>100330</v>
      </c>
      <c r="G126" s="78">
        <f>G127</f>
        <v>17273</v>
      </c>
      <c r="H126" s="78">
        <f>H127</f>
        <v>19729</v>
      </c>
    </row>
    <row r="127" spans="1:9" s="79" customFormat="1" ht="25.5" x14ac:dyDescent="0.2">
      <c r="A127" s="87" t="s">
        <v>141</v>
      </c>
      <c r="B127" s="82" t="s">
        <v>18</v>
      </c>
      <c r="C127" s="82" t="s">
        <v>26</v>
      </c>
      <c r="D127" s="82" t="s">
        <v>290</v>
      </c>
      <c r="E127" s="82" t="s">
        <v>65</v>
      </c>
      <c r="F127" s="62">
        <f>'изменения июль вед стр-ра'!G557</f>
        <v>100330</v>
      </c>
      <c r="G127" s="62">
        <f>'изменения июль вед стр-ра'!H557</f>
        <v>17273</v>
      </c>
      <c r="H127" s="62">
        <f>'изменения июль вед стр-ра'!I557</f>
        <v>19729</v>
      </c>
    </row>
    <row r="128" spans="1:9" s="79" customFormat="1" ht="25.5" x14ac:dyDescent="0.2">
      <c r="A128" s="75" t="s">
        <v>293</v>
      </c>
      <c r="B128" s="77" t="s">
        <v>18</v>
      </c>
      <c r="C128" s="77" t="s">
        <v>26</v>
      </c>
      <c r="D128" s="77" t="s">
        <v>292</v>
      </c>
      <c r="E128" s="77"/>
      <c r="F128" s="78">
        <f>F129</f>
        <v>14287</v>
      </c>
      <c r="G128" s="78">
        <f>G129</f>
        <v>0</v>
      </c>
      <c r="H128" s="78">
        <f>H129</f>
        <v>0</v>
      </c>
    </row>
    <row r="129" spans="1:9" s="79" customFormat="1" ht="25.5" x14ac:dyDescent="0.2">
      <c r="A129" s="87" t="s">
        <v>141</v>
      </c>
      <c r="B129" s="82" t="s">
        <v>18</v>
      </c>
      <c r="C129" s="82" t="s">
        <v>26</v>
      </c>
      <c r="D129" s="82" t="s">
        <v>292</v>
      </c>
      <c r="E129" s="82" t="s">
        <v>65</v>
      </c>
      <c r="F129" s="62">
        <f>'изменения июль вед стр-ра'!G559</f>
        <v>14287</v>
      </c>
      <c r="G129" s="62">
        <f>'изменения июль вед стр-ра'!H559</f>
        <v>0</v>
      </c>
      <c r="H129" s="62">
        <f>'изменения июль вед стр-ра'!I559</f>
        <v>0</v>
      </c>
    </row>
    <row r="130" spans="1:9" ht="25.5" x14ac:dyDescent="0.2">
      <c r="A130" s="17" t="s">
        <v>409</v>
      </c>
      <c r="B130" s="19" t="s">
        <v>18</v>
      </c>
      <c r="C130" s="19" t="s">
        <v>26</v>
      </c>
      <c r="D130" s="19" t="s">
        <v>407</v>
      </c>
      <c r="E130" s="19"/>
      <c r="F130" s="20">
        <f>F131</f>
        <v>1182.1174600000002</v>
      </c>
      <c r="G130" s="20">
        <f t="shared" ref="G130:H130" si="14">G131</f>
        <v>0</v>
      </c>
      <c r="H130" s="20">
        <f t="shared" si="14"/>
        <v>0</v>
      </c>
    </row>
    <row r="131" spans="1:9" ht="25.5" x14ac:dyDescent="0.2">
      <c r="A131" s="28" t="s">
        <v>76</v>
      </c>
      <c r="B131" s="24" t="s">
        <v>18</v>
      </c>
      <c r="C131" s="24" t="s">
        <v>26</v>
      </c>
      <c r="D131" s="24" t="s">
        <v>408</v>
      </c>
      <c r="E131" s="24" t="s">
        <v>68</v>
      </c>
      <c r="F131" s="25">
        <f>'изменения июль вед стр-ра'!G561</f>
        <v>1182.1174600000002</v>
      </c>
      <c r="G131" s="25">
        <f>'изменения июль вед стр-ра'!H561</f>
        <v>0</v>
      </c>
      <c r="H131" s="25">
        <f>'изменения июль вед стр-ра'!I561</f>
        <v>0</v>
      </c>
    </row>
    <row r="132" spans="1:9" ht="25.5" x14ac:dyDescent="0.2">
      <c r="A132" s="17" t="s">
        <v>441</v>
      </c>
      <c r="B132" s="19" t="s">
        <v>18</v>
      </c>
      <c r="C132" s="19" t="s">
        <v>26</v>
      </c>
      <c r="D132" s="19" t="s">
        <v>438</v>
      </c>
      <c r="E132" s="19"/>
      <c r="F132" s="20">
        <f>'изменения июль вед стр-ра'!G562</f>
        <v>22460.231799999998</v>
      </c>
      <c r="G132" s="20">
        <f>'изменения июль вед стр-ра'!H562</f>
        <v>0</v>
      </c>
      <c r="H132" s="20">
        <f>'изменения июль вед стр-ра'!I562</f>
        <v>0</v>
      </c>
      <c r="I132" s="231">
        <f>'изменения июль вед стр-ра'!J562</f>
        <v>0</v>
      </c>
    </row>
    <row r="133" spans="1:9" ht="25.5" x14ac:dyDescent="0.2">
      <c r="A133" s="28" t="s">
        <v>76</v>
      </c>
      <c r="B133" s="24" t="s">
        <v>18</v>
      </c>
      <c r="C133" s="24" t="s">
        <v>26</v>
      </c>
      <c r="D133" s="19" t="s">
        <v>438</v>
      </c>
      <c r="E133" s="24" t="s">
        <v>68</v>
      </c>
      <c r="F133" s="20">
        <f>'изменения июль вед стр-ра'!G563</f>
        <v>22460.231799999998</v>
      </c>
      <c r="G133" s="20">
        <f>'изменения июль вед стр-ра'!H563</f>
        <v>0</v>
      </c>
      <c r="H133" s="20">
        <f>'изменения июль вед стр-ра'!I563</f>
        <v>0</v>
      </c>
      <c r="I133" s="231">
        <f>'изменения июль вед стр-ра'!J563</f>
        <v>0</v>
      </c>
    </row>
    <row r="134" spans="1:9" s="84" customFormat="1" x14ac:dyDescent="0.2">
      <c r="A134" s="70" t="s">
        <v>29</v>
      </c>
      <c r="B134" s="72" t="s">
        <v>18</v>
      </c>
      <c r="C134" s="72" t="s">
        <v>23</v>
      </c>
      <c r="D134" s="72"/>
      <c r="E134" s="72"/>
      <c r="F134" s="73">
        <f>F139+F141+F135+F137</f>
        <v>1405</v>
      </c>
      <c r="G134" s="73">
        <f t="shared" ref="G134:H134" si="15">G139+G141+G135+G137</f>
        <v>600</v>
      </c>
      <c r="H134" s="73">
        <f t="shared" si="15"/>
        <v>600</v>
      </c>
    </row>
    <row r="135" spans="1:9" s="26" customFormat="1" ht="25.5" x14ac:dyDescent="0.2">
      <c r="A135" s="18" t="s">
        <v>167</v>
      </c>
      <c r="B135" s="19" t="s">
        <v>18</v>
      </c>
      <c r="C135" s="19" t="s">
        <v>23</v>
      </c>
      <c r="D135" s="19" t="s">
        <v>166</v>
      </c>
      <c r="E135" s="19"/>
      <c r="F135" s="20">
        <f>F136</f>
        <v>175</v>
      </c>
      <c r="G135" s="20">
        <f>G136</f>
        <v>0</v>
      </c>
      <c r="H135" s="20">
        <f>H136</f>
        <v>0</v>
      </c>
    </row>
    <row r="136" spans="1:9" s="26" customFormat="1" ht="25.5" x14ac:dyDescent="0.2">
      <c r="A136" s="28" t="s">
        <v>76</v>
      </c>
      <c r="B136" s="24" t="s">
        <v>18</v>
      </c>
      <c r="C136" s="24" t="s">
        <v>23</v>
      </c>
      <c r="D136" s="24" t="s">
        <v>166</v>
      </c>
      <c r="E136" s="27" t="s">
        <v>68</v>
      </c>
      <c r="F136" s="25">
        <f>'изменения июль вед стр-ра'!G84</f>
        <v>175</v>
      </c>
      <c r="G136" s="25">
        <f>'изменения июль вед стр-ра'!H84</f>
        <v>0</v>
      </c>
      <c r="H136" s="25">
        <f>'изменения июль вед стр-ра'!I84</f>
        <v>0</v>
      </c>
    </row>
    <row r="137" spans="1:9" s="26" customFormat="1" ht="25.5" x14ac:dyDescent="0.2">
      <c r="A137" s="18" t="s">
        <v>710</v>
      </c>
      <c r="B137" s="24" t="s">
        <v>18</v>
      </c>
      <c r="C137" s="24" t="s">
        <v>23</v>
      </c>
      <c r="D137" s="24" t="s">
        <v>711</v>
      </c>
      <c r="E137" s="27"/>
      <c r="F137" s="25">
        <f>F138</f>
        <v>480</v>
      </c>
      <c r="G137" s="25">
        <f t="shared" ref="G137:H137" si="16">G138</f>
        <v>0</v>
      </c>
      <c r="H137" s="25">
        <f t="shared" si="16"/>
        <v>0</v>
      </c>
    </row>
    <row r="138" spans="1:9" s="26" customFormat="1" x14ac:dyDescent="0.2">
      <c r="A138" s="28" t="s">
        <v>72</v>
      </c>
      <c r="B138" s="24" t="s">
        <v>18</v>
      </c>
      <c r="C138" s="24" t="s">
        <v>23</v>
      </c>
      <c r="D138" s="24" t="s">
        <v>711</v>
      </c>
      <c r="E138" s="27" t="s">
        <v>73</v>
      </c>
      <c r="F138" s="25">
        <f>'изменения июль вед стр-ра'!G86</f>
        <v>480</v>
      </c>
      <c r="G138" s="25">
        <f>'изменения июль вед стр-ра'!H86</f>
        <v>0</v>
      </c>
      <c r="H138" s="25">
        <f>'изменения июль вед стр-ра'!I86</f>
        <v>0</v>
      </c>
    </row>
    <row r="139" spans="1:9" s="9" customFormat="1" x14ac:dyDescent="0.2">
      <c r="A139" s="18" t="s">
        <v>212</v>
      </c>
      <c r="B139" s="19" t="s">
        <v>18</v>
      </c>
      <c r="C139" s="19" t="s">
        <v>23</v>
      </c>
      <c r="D139" s="19" t="s">
        <v>211</v>
      </c>
      <c r="E139" s="19"/>
      <c r="F139" s="20">
        <f>F140</f>
        <v>700</v>
      </c>
      <c r="G139" s="20">
        <f>G140</f>
        <v>400</v>
      </c>
      <c r="H139" s="20">
        <f>H140</f>
        <v>400</v>
      </c>
      <c r="I139" s="127"/>
    </row>
    <row r="140" spans="1:9" s="21" customFormat="1" ht="25.5" x14ac:dyDescent="0.2">
      <c r="A140" s="28" t="s">
        <v>76</v>
      </c>
      <c r="B140" s="24" t="s">
        <v>18</v>
      </c>
      <c r="C140" s="24" t="s">
        <v>23</v>
      </c>
      <c r="D140" s="24" t="s">
        <v>211</v>
      </c>
      <c r="E140" s="27" t="s">
        <v>68</v>
      </c>
      <c r="F140" s="25">
        <f>'изменения июль вед стр-ра'!G189</f>
        <v>700</v>
      </c>
      <c r="G140" s="25">
        <f>'изменения июль вед стр-ра'!H189</f>
        <v>400</v>
      </c>
      <c r="H140" s="25">
        <f>'изменения июль вед стр-ра'!I189</f>
        <v>400</v>
      </c>
      <c r="I140" s="117"/>
    </row>
    <row r="141" spans="1:9" s="26" customFormat="1" ht="38.25" x14ac:dyDescent="0.2">
      <c r="A141" s="18" t="s">
        <v>213</v>
      </c>
      <c r="B141" s="19" t="s">
        <v>18</v>
      </c>
      <c r="C141" s="19" t="s">
        <v>23</v>
      </c>
      <c r="D141" s="19" t="s">
        <v>214</v>
      </c>
      <c r="E141" s="19"/>
      <c r="F141" s="20">
        <f>F142</f>
        <v>50</v>
      </c>
      <c r="G141" s="20">
        <f>G142</f>
        <v>200</v>
      </c>
      <c r="H141" s="20">
        <f>H142</f>
        <v>200</v>
      </c>
      <c r="I141" s="118"/>
    </row>
    <row r="142" spans="1:9" s="9" customFormat="1" ht="25.5" x14ac:dyDescent="0.2">
      <c r="A142" s="28" t="s">
        <v>76</v>
      </c>
      <c r="B142" s="24" t="s">
        <v>18</v>
      </c>
      <c r="C142" s="24" t="s">
        <v>23</v>
      </c>
      <c r="D142" s="24" t="s">
        <v>214</v>
      </c>
      <c r="E142" s="27" t="s">
        <v>68</v>
      </c>
      <c r="F142" s="25">
        <f>'изменения июль вед стр-ра'!G191</f>
        <v>50</v>
      </c>
      <c r="G142" s="25">
        <f>'изменения июль вед стр-ра'!H191</f>
        <v>200</v>
      </c>
      <c r="H142" s="25">
        <f>'изменения июль вед стр-ра'!I191</f>
        <v>200</v>
      </c>
      <c r="I142" s="127"/>
    </row>
    <row r="143" spans="1:9" s="21" customFormat="1" ht="15.75" x14ac:dyDescent="0.25">
      <c r="A143" s="144" t="s">
        <v>30</v>
      </c>
      <c r="B143" s="143" t="s">
        <v>31</v>
      </c>
      <c r="C143" s="143" t="s">
        <v>463</v>
      </c>
      <c r="D143" s="143"/>
      <c r="E143" s="143"/>
      <c r="F143" s="206">
        <f>F144+F163+F180+F199</f>
        <v>308439.16589</v>
      </c>
      <c r="G143" s="206">
        <f>G144+G163+G180+G199</f>
        <v>51127.721740000001</v>
      </c>
      <c r="H143" s="206">
        <f>H144+H163+H180+H199</f>
        <v>122057.96400000001</v>
      </c>
    </row>
    <row r="144" spans="1:9" s="84" customFormat="1" x14ac:dyDescent="0.2">
      <c r="A144" s="70" t="s">
        <v>32</v>
      </c>
      <c r="B144" s="72" t="s">
        <v>31</v>
      </c>
      <c r="C144" s="72" t="s">
        <v>12</v>
      </c>
      <c r="D144" s="72"/>
      <c r="E144" s="72"/>
      <c r="F144" s="73">
        <f>F153+F156+F161+F159+F149+F151+F147+F145</f>
        <v>151202.95690000002</v>
      </c>
      <c r="G144" s="73">
        <f t="shared" ref="G144:H144" si="17">G153+G156+G161+G159+G149+G151+G147+G145</f>
        <v>26831.921740000002</v>
      </c>
      <c r="H144" s="73">
        <f t="shared" si="17"/>
        <v>100785.364</v>
      </c>
    </row>
    <row r="145" spans="1:9" ht="51" x14ac:dyDescent="0.2">
      <c r="A145" s="18" t="s">
        <v>696</v>
      </c>
      <c r="B145" s="19" t="s">
        <v>31</v>
      </c>
      <c r="C145" s="19" t="s">
        <v>12</v>
      </c>
      <c r="D145" s="19" t="s">
        <v>719</v>
      </c>
      <c r="E145" s="19"/>
      <c r="F145" s="20">
        <f>F146</f>
        <v>110562.23375000001</v>
      </c>
      <c r="G145" s="20">
        <f t="shared" ref="G145:H145" si="18">G146</f>
        <v>0</v>
      </c>
      <c r="H145" s="20">
        <f t="shared" si="18"/>
        <v>0</v>
      </c>
      <c r="I145" s="237"/>
    </row>
    <row r="146" spans="1:9" ht="25.5" x14ac:dyDescent="0.2">
      <c r="A146" s="28" t="s">
        <v>83</v>
      </c>
      <c r="B146" s="19" t="s">
        <v>31</v>
      </c>
      <c r="C146" s="19" t="s">
        <v>12</v>
      </c>
      <c r="D146" s="19" t="s">
        <v>719</v>
      </c>
      <c r="E146" s="19" t="s">
        <v>71</v>
      </c>
      <c r="F146" s="20">
        <f>'изменения июль вед стр-ра'!G90</f>
        <v>110562.23375000001</v>
      </c>
      <c r="G146" s="20">
        <f>'изменения июль вед стр-ра'!H90</f>
        <v>0</v>
      </c>
      <c r="H146" s="20">
        <f>'изменения июль вед стр-ра'!I90</f>
        <v>0</v>
      </c>
      <c r="I146" s="237"/>
    </row>
    <row r="147" spans="1:9" s="84" customFormat="1" ht="51" x14ac:dyDescent="0.2">
      <c r="A147" s="75" t="s">
        <v>696</v>
      </c>
      <c r="B147" s="77" t="s">
        <v>31</v>
      </c>
      <c r="C147" s="77" t="s">
        <v>12</v>
      </c>
      <c r="D147" s="77" t="s">
        <v>695</v>
      </c>
      <c r="E147" s="77"/>
      <c r="F147" s="78">
        <f>F148</f>
        <v>5675.6231500000004</v>
      </c>
      <c r="G147" s="78">
        <f t="shared" ref="G147:H147" si="19">G148</f>
        <v>3946.9217400000002</v>
      </c>
      <c r="H147" s="78">
        <f t="shared" si="19"/>
        <v>100785.364</v>
      </c>
    </row>
    <row r="148" spans="1:9" s="84" customFormat="1" ht="25.5" x14ac:dyDescent="0.2">
      <c r="A148" s="87" t="s">
        <v>83</v>
      </c>
      <c r="B148" s="77" t="s">
        <v>31</v>
      </c>
      <c r="C148" s="77" t="s">
        <v>12</v>
      </c>
      <c r="D148" s="77" t="s">
        <v>695</v>
      </c>
      <c r="E148" s="77" t="s">
        <v>71</v>
      </c>
      <c r="F148" s="78">
        <f>'изменения июль вед стр-ра'!G92</f>
        <v>5675.6231500000004</v>
      </c>
      <c r="G148" s="78">
        <f>'изменения июль вед стр-ра'!H92</f>
        <v>3946.9217400000002</v>
      </c>
      <c r="H148" s="78">
        <f>'изменения июль вед стр-ра'!I92</f>
        <v>100785.364</v>
      </c>
    </row>
    <row r="149" spans="1:9" s="79" customFormat="1" x14ac:dyDescent="0.2">
      <c r="A149" s="75" t="s">
        <v>400</v>
      </c>
      <c r="B149" s="77" t="s">
        <v>31</v>
      </c>
      <c r="C149" s="77" t="s">
        <v>12</v>
      </c>
      <c r="D149" s="77" t="s">
        <v>401</v>
      </c>
      <c r="E149" s="103"/>
      <c r="F149" s="78">
        <f>F150</f>
        <v>1277</v>
      </c>
      <c r="G149" s="62">
        <v>0</v>
      </c>
      <c r="H149" s="62">
        <v>0</v>
      </c>
    </row>
    <row r="150" spans="1:9" s="84" customFormat="1" ht="25.5" x14ac:dyDescent="0.2">
      <c r="A150" s="87" t="s">
        <v>83</v>
      </c>
      <c r="B150" s="82" t="s">
        <v>31</v>
      </c>
      <c r="C150" s="82" t="s">
        <v>12</v>
      </c>
      <c r="D150" s="82" t="s">
        <v>662</v>
      </c>
      <c r="E150" s="83" t="s">
        <v>71</v>
      </c>
      <c r="F150" s="62">
        <f>'изменения июль вед стр-ра'!G94</f>
        <v>1277</v>
      </c>
      <c r="G150" s="62">
        <f>'изменения июль вед стр-ра'!H94</f>
        <v>0</v>
      </c>
      <c r="H150" s="62">
        <f>'изменения июль вед стр-ра'!I94</f>
        <v>0</v>
      </c>
    </row>
    <row r="151" spans="1:9" s="26" customFormat="1" ht="25.5" x14ac:dyDescent="0.2">
      <c r="A151" s="28" t="s">
        <v>375</v>
      </c>
      <c r="B151" s="24" t="s">
        <v>31</v>
      </c>
      <c r="C151" s="24" t="s">
        <v>12</v>
      </c>
      <c r="D151" s="27" t="s">
        <v>376</v>
      </c>
      <c r="E151" s="25"/>
      <c r="F151" s="25">
        <f>F152</f>
        <v>1400</v>
      </c>
      <c r="G151" s="25">
        <f t="shared" ref="G151:H151" si="20">G152</f>
        <v>0</v>
      </c>
      <c r="H151" s="25">
        <f t="shared" si="20"/>
        <v>0</v>
      </c>
      <c r="I151" s="118"/>
    </row>
    <row r="152" spans="1:9" s="26" customFormat="1" ht="25.5" x14ac:dyDescent="0.2">
      <c r="A152" s="28" t="s">
        <v>76</v>
      </c>
      <c r="B152" s="24" t="s">
        <v>31</v>
      </c>
      <c r="C152" s="24" t="s">
        <v>12</v>
      </c>
      <c r="D152" s="27" t="s">
        <v>376</v>
      </c>
      <c r="E152" s="25" t="s">
        <v>68</v>
      </c>
      <c r="F152" s="25">
        <f>'изменения июль вед стр-ра'!G569</f>
        <v>1400</v>
      </c>
      <c r="G152" s="25">
        <f>'изменения июль вед стр-ра'!H569</f>
        <v>0</v>
      </c>
      <c r="H152" s="25">
        <f>'изменения июль вед стр-ра'!I569</f>
        <v>0</v>
      </c>
      <c r="I152" s="118"/>
    </row>
    <row r="153" spans="1:9" s="21" customFormat="1" x14ac:dyDescent="0.2">
      <c r="A153" s="18" t="s">
        <v>172</v>
      </c>
      <c r="B153" s="19" t="s">
        <v>31</v>
      </c>
      <c r="C153" s="19" t="s">
        <v>12</v>
      </c>
      <c r="D153" s="19" t="s">
        <v>171</v>
      </c>
      <c r="E153" s="19"/>
      <c r="F153" s="20">
        <f>F154+F155</f>
        <v>17330.900000000001</v>
      </c>
      <c r="G153" s="20">
        <f t="shared" ref="G153:H153" si="21">G154+G155</f>
        <v>22885</v>
      </c>
      <c r="H153" s="20">
        <f t="shared" si="21"/>
        <v>0</v>
      </c>
      <c r="I153" s="117"/>
    </row>
    <row r="154" spans="1:9" s="79" customFormat="1" ht="25.5" x14ac:dyDescent="0.2">
      <c r="A154" s="87" t="s">
        <v>76</v>
      </c>
      <c r="B154" s="82" t="s">
        <v>31</v>
      </c>
      <c r="C154" s="82" t="s">
        <v>12</v>
      </c>
      <c r="D154" s="77" t="s">
        <v>171</v>
      </c>
      <c r="E154" s="83" t="s">
        <v>68</v>
      </c>
      <c r="F154" s="62">
        <f>'изменения июль вед стр-ра'!G96</f>
        <v>14595.4</v>
      </c>
      <c r="G154" s="62">
        <f>'изменения июль вед стр-ра'!H96</f>
        <v>0</v>
      </c>
      <c r="H154" s="62">
        <f>'изменения июль вед стр-ра'!I96</f>
        <v>0</v>
      </c>
    </row>
    <row r="155" spans="1:9" s="21" customFormat="1" ht="25.5" x14ac:dyDescent="0.2">
      <c r="A155" s="28" t="s">
        <v>83</v>
      </c>
      <c r="B155" s="24" t="s">
        <v>31</v>
      </c>
      <c r="C155" s="24" t="s">
        <v>12</v>
      </c>
      <c r="D155" s="19" t="s">
        <v>171</v>
      </c>
      <c r="E155" s="24" t="s">
        <v>71</v>
      </c>
      <c r="F155" s="62">
        <f>'изменения июль вед стр-ра'!G97</f>
        <v>2735.5</v>
      </c>
      <c r="G155" s="62">
        <f>'изменения июль вед стр-ра'!H97</f>
        <v>22885</v>
      </c>
      <c r="H155" s="62">
        <f>'изменения июль вед стр-ра'!I97</f>
        <v>0</v>
      </c>
      <c r="I155" s="117"/>
    </row>
    <row r="156" spans="1:9" s="79" customFormat="1" x14ac:dyDescent="0.2">
      <c r="A156" s="75" t="s">
        <v>174</v>
      </c>
      <c r="B156" s="77" t="s">
        <v>31</v>
      </c>
      <c r="C156" s="77" t="s">
        <v>12</v>
      </c>
      <c r="D156" s="82" t="s">
        <v>173</v>
      </c>
      <c r="E156" s="77"/>
      <c r="F156" s="78">
        <f>+F157+F158</f>
        <v>11263.5</v>
      </c>
      <c r="G156" s="78">
        <f t="shared" ref="G156:H156" si="22">+G157+G158</f>
        <v>0</v>
      </c>
      <c r="H156" s="78">
        <f t="shared" si="22"/>
        <v>0</v>
      </c>
    </row>
    <row r="157" spans="1:9" s="21" customFormat="1" ht="25.5" x14ac:dyDescent="0.2">
      <c r="A157" s="28" t="s">
        <v>76</v>
      </c>
      <c r="B157" s="19" t="s">
        <v>31</v>
      </c>
      <c r="C157" s="19" t="s">
        <v>12</v>
      </c>
      <c r="D157" s="24" t="s">
        <v>173</v>
      </c>
      <c r="E157" s="24" t="s">
        <v>68</v>
      </c>
      <c r="F157" s="25">
        <f>'изменения июль вед стр-ра'!G99</f>
        <v>9600</v>
      </c>
      <c r="G157" s="25">
        <f>'изменения июль вед стр-ра'!H99</f>
        <v>0</v>
      </c>
      <c r="H157" s="25">
        <f>'изменения июль вед стр-ра'!I99</f>
        <v>0</v>
      </c>
      <c r="I157" s="79"/>
    </row>
    <row r="158" spans="1:9" s="26" customFormat="1" ht="25.5" x14ac:dyDescent="0.2">
      <c r="A158" s="28" t="s">
        <v>83</v>
      </c>
      <c r="B158" s="19" t="s">
        <v>31</v>
      </c>
      <c r="C158" s="19" t="s">
        <v>12</v>
      </c>
      <c r="D158" s="24" t="s">
        <v>173</v>
      </c>
      <c r="E158" s="24" t="s">
        <v>71</v>
      </c>
      <c r="F158" s="25">
        <f>'изменения июль вед стр-ра'!G100</f>
        <v>1663.5</v>
      </c>
      <c r="G158" s="25">
        <f>'изменения июль вед стр-ра'!H100</f>
        <v>0</v>
      </c>
      <c r="H158" s="25">
        <f>'изменения июль вед стр-ра'!I100</f>
        <v>0</v>
      </c>
      <c r="I158" s="84"/>
    </row>
    <row r="159" spans="1:9" s="21" customFormat="1" ht="25.5" x14ac:dyDescent="0.2">
      <c r="A159" s="18" t="s">
        <v>215</v>
      </c>
      <c r="B159" s="19" t="s">
        <v>31</v>
      </c>
      <c r="C159" s="19" t="s">
        <v>12</v>
      </c>
      <c r="D159" s="19" t="s">
        <v>216</v>
      </c>
      <c r="E159" s="19"/>
      <c r="F159" s="20">
        <f>F160</f>
        <v>2107.6999999999998</v>
      </c>
      <c r="G159" s="20">
        <f>G160</f>
        <v>0</v>
      </c>
      <c r="H159" s="20">
        <f>H160</f>
        <v>0</v>
      </c>
    </row>
    <row r="160" spans="1:9" s="21" customFormat="1" ht="25.5" x14ac:dyDescent="0.2">
      <c r="A160" s="28" t="s">
        <v>76</v>
      </c>
      <c r="B160" s="24" t="s">
        <v>31</v>
      </c>
      <c r="C160" s="24" t="s">
        <v>12</v>
      </c>
      <c r="D160" s="24" t="s">
        <v>216</v>
      </c>
      <c r="E160" s="24" t="s">
        <v>68</v>
      </c>
      <c r="F160" s="25">
        <f>'изменения июль вед стр-ра'!G195</f>
        <v>2107.6999999999998</v>
      </c>
      <c r="G160" s="25">
        <f>'изменения июль вед стр-ра'!H195</f>
        <v>0</v>
      </c>
      <c r="H160" s="25">
        <f>'изменения июль вед стр-ра'!I195</f>
        <v>0</v>
      </c>
    </row>
    <row r="161" spans="1:9" s="21" customFormat="1" x14ac:dyDescent="0.2">
      <c r="A161" s="18" t="s">
        <v>420</v>
      </c>
      <c r="B161" s="19" t="s">
        <v>31</v>
      </c>
      <c r="C161" s="19" t="s">
        <v>12</v>
      </c>
      <c r="D161" s="19" t="s">
        <v>421</v>
      </c>
      <c r="E161" s="19"/>
      <c r="F161" s="20">
        <f>F162</f>
        <v>1586</v>
      </c>
      <c r="G161" s="20">
        <f>G162</f>
        <v>0</v>
      </c>
      <c r="H161" s="20">
        <f>H162</f>
        <v>0</v>
      </c>
    </row>
    <row r="162" spans="1:9" s="21" customFormat="1" x14ac:dyDescent="0.2">
      <c r="A162" s="28" t="s">
        <v>72</v>
      </c>
      <c r="B162" s="24" t="s">
        <v>31</v>
      </c>
      <c r="C162" s="24" t="s">
        <v>12</v>
      </c>
      <c r="D162" s="24" t="s">
        <v>421</v>
      </c>
      <c r="E162" s="24" t="s">
        <v>73</v>
      </c>
      <c r="F162" s="25">
        <f>'изменения июль вед стр-ра'!G567</f>
        <v>1586</v>
      </c>
      <c r="G162" s="25">
        <f>'изменения июль вед стр-ра'!H567</f>
        <v>0</v>
      </c>
      <c r="H162" s="25">
        <f>'изменения июль вед стр-ра'!I567</f>
        <v>0</v>
      </c>
    </row>
    <row r="163" spans="1:9" s="79" customFormat="1" x14ac:dyDescent="0.2">
      <c r="A163" s="70" t="s">
        <v>33</v>
      </c>
      <c r="B163" s="72" t="s">
        <v>31</v>
      </c>
      <c r="C163" s="72" t="s">
        <v>14</v>
      </c>
      <c r="D163" s="72"/>
      <c r="E163" s="72"/>
      <c r="F163" s="73">
        <f>F170+F174+F176+F178+F172+F164+F168+F166</f>
        <v>103281.1</v>
      </c>
      <c r="G163" s="73">
        <f t="shared" ref="G163:H163" si="23">G170+G174+G176+G178+G172+G164+G168+G166</f>
        <v>5844</v>
      </c>
      <c r="H163" s="73">
        <f t="shared" si="23"/>
        <v>3000</v>
      </c>
    </row>
    <row r="164" spans="1:9" ht="25.5" x14ac:dyDescent="0.2">
      <c r="A164" s="18" t="s">
        <v>391</v>
      </c>
      <c r="B164" s="19" t="s">
        <v>31</v>
      </c>
      <c r="C164" s="19" t="s">
        <v>14</v>
      </c>
      <c r="D164" s="19" t="s">
        <v>392</v>
      </c>
      <c r="E164" s="20"/>
      <c r="F164" s="20">
        <f>F165</f>
        <v>6975</v>
      </c>
      <c r="G164" s="20">
        <f t="shared" ref="G164:H164" si="24">G165</f>
        <v>0</v>
      </c>
      <c r="H164" s="20">
        <f t="shared" si="24"/>
        <v>0</v>
      </c>
      <c r="I164" s="117"/>
    </row>
    <row r="165" spans="1:9" ht="25.5" x14ac:dyDescent="0.2">
      <c r="A165" s="18" t="s">
        <v>76</v>
      </c>
      <c r="B165" s="19" t="s">
        <v>31</v>
      </c>
      <c r="C165" s="19" t="s">
        <v>14</v>
      </c>
      <c r="D165" s="19" t="s">
        <v>392</v>
      </c>
      <c r="E165" s="20" t="s">
        <v>68</v>
      </c>
      <c r="F165" s="20">
        <f>'изменения июль вед стр-ра'!G572</f>
        <v>6975</v>
      </c>
      <c r="G165" s="20">
        <f>'изменения июль вед стр-ра'!H572</f>
        <v>0</v>
      </c>
      <c r="H165" s="20">
        <v>0</v>
      </c>
      <c r="I165" s="117"/>
    </row>
    <row r="166" spans="1:9" ht="25.5" x14ac:dyDescent="0.2">
      <c r="A166" s="17" t="s">
        <v>297</v>
      </c>
      <c r="B166" s="19" t="s">
        <v>31</v>
      </c>
      <c r="C166" s="19" t="s">
        <v>14</v>
      </c>
      <c r="D166" s="19" t="s">
        <v>393</v>
      </c>
      <c r="E166" s="19"/>
      <c r="F166" s="20">
        <f>F167</f>
        <v>775</v>
      </c>
      <c r="G166" s="20">
        <f t="shared" ref="G166:H166" si="25">G167</f>
        <v>0</v>
      </c>
      <c r="H166" s="20">
        <f t="shared" si="25"/>
        <v>0</v>
      </c>
      <c r="I166" s="237"/>
    </row>
    <row r="167" spans="1:9" ht="25.5" x14ac:dyDescent="0.2">
      <c r="A167" s="28" t="s">
        <v>76</v>
      </c>
      <c r="B167" s="24" t="s">
        <v>31</v>
      </c>
      <c r="C167" s="24" t="s">
        <v>14</v>
      </c>
      <c r="D167" s="24" t="s">
        <v>393</v>
      </c>
      <c r="E167" s="24" t="s">
        <v>68</v>
      </c>
      <c r="F167" s="20">
        <f>'изменения июль вед стр-ра'!G574</f>
        <v>775</v>
      </c>
      <c r="G167" s="20">
        <f>'изменения июль вед стр-ра'!H574</f>
        <v>0</v>
      </c>
      <c r="H167" s="20">
        <f>'изменения июль вед стр-ра'!I574</f>
        <v>0</v>
      </c>
      <c r="I167" s="237"/>
    </row>
    <row r="168" spans="1:9" ht="25.5" x14ac:dyDescent="0.2">
      <c r="A168" s="17" t="s">
        <v>689</v>
      </c>
      <c r="B168" s="19" t="s">
        <v>31</v>
      </c>
      <c r="C168" s="19" t="s">
        <v>14</v>
      </c>
      <c r="D168" s="19" t="s">
        <v>688</v>
      </c>
      <c r="E168" s="19"/>
      <c r="F168" s="20">
        <f>F169</f>
        <v>375</v>
      </c>
      <c r="G168" s="20">
        <f t="shared" ref="G168:H168" si="26">G169</f>
        <v>0</v>
      </c>
      <c r="H168" s="20">
        <f t="shared" si="26"/>
        <v>0</v>
      </c>
      <c r="I168" s="237"/>
    </row>
    <row r="169" spans="1:9" ht="25.5" x14ac:dyDescent="0.2">
      <c r="A169" s="28" t="s">
        <v>76</v>
      </c>
      <c r="B169" s="24" t="s">
        <v>31</v>
      </c>
      <c r="C169" s="24" t="s">
        <v>14</v>
      </c>
      <c r="D169" s="24" t="s">
        <v>688</v>
      </c>
      <c r="E169" s="24" t="s">
        <v>68</v>
      </c>
      <c r="F169" s="25">
        <f>'изменения июль вед стр-ра'!G576</f>
        <v>375</v>
      </c>
      <c r="G169" s="25">
        <f>'изменения июль вед стр-ра'!H576</f>
        <v>0</v>
      </c>
      <c r="H169" s="25">
        <f>'изменения июль вед стр-ра'!I576</f>
        <v>0</v>
      </c>
      <c r="I169" s="237"/>
    </row>
    <row r="170" spans="1:9" s="79" customFormat="1" ht="25.5" x14ac:dyDescent="0.2">
      <c r="A170" s="89" t="s">
        <v>297</v>
      </c>
      <c r="B170" s="77" t="s">
        <v>31</v>
      </c>
      <c r="C170" s="77" t="s">
        <v>14</v>
      </c>
      <c r="D170" s="77" t="s">
        <v>296</v>
      </c>
      <c r="E170" s="77"/>
      <c r="F170" s="78">
        <f>+F171</f>
        <v>2536</v>
      </c>
      <c r="G170" s="78">
        <f t="shared" ref="G170:H170" si="27">+G171</f>
        <v>5844</v>
      </c>
      <c r="H170" s="78">
        <f t="shared" si="27"/>
        <v>3000</v>
      </c>
    </row>
    <row r="171" spans="1:9" s="21" customFormat="1" ht="25.5" x14ac:dyDescent="0.2">
      <c r="A171" s="28" t="s">
        <v>76</v>
      </c>
      <c r="B171" s="24" t="s">
        <v>31</v>
      </c>
      <c r="C171" s="24" t="s">
        <v>14</v>
      </c>
      <c r="D171" s="24" t="s">
        <v>296</v>
      </c>
      <c r="E171" s="24" t="s">
        <v>68</v>
      </c>
      <c r="F171" s="25">
        <f>'изменения июль вед стр-ра'!G578</f>
        <v>2536</v>
      </c>
      <c r="G171" s="25">
        <f>'изменения июль вед стр-ра'!H578</f>
        <v>5844</v>
      </c>
      <c r="H171" s="25">
        <f>'изменения июль вед стр-ра'!I578</f>
        <v>3000</v>
      </c>
      <c r="I171" s="25">
        <f>'изменения июль вед стр-ра'!J578</f>
        <v>0</v>
      </c>
    </row>
    <row r="172" spans="1:9" s="88" customFormat="1" ht="18" customHeight="1" x14ac:dyDescent="0.2">
      <c r="A172" s="89" t="s">
        <v>356</v>
      </c>
      <c r="B172" s="77" t="s">
        <v>31</v>
      </c>
      <c r="C172" s="77" t="s">
        <v>14</v>
      </c>
      <c r="D172" s="77" t="s">
        <v>355</v>
      </c>
      <c r="E172" s="77"/>
      <c r="F172" s="78">
        <f>F173</f>
        <v>1487.2999999999997</v>
      </c>
      <c r="G172" s="78">
        <f>G173</f>
        <v>0</v>
      </c>
      <c r="H172" s="78">
        <f>H173</f>
        <v>0</v>
      </c>
    </row>
    <row r="173" spans="1:9" s="88" customFormat="1" ht="25.5" x14ac:dyDescent="0.2">
      <c r="A173" s="87" t="s">
        <v>76</v>
      </c>
      <c r="B173" s="82" t="s">
        <v>31</v>
      </c>
      <c r="C173" s="82" t="s">
        <v>14</v>
      </c>
      <c r="D173" s="82" t="s">
        <v>355</v>
      </c>
      <c r="E173" s="82" t="s">
        <v>68</v>
      </c>
      <c r="F173" s="62">
        <f>'изменения июль вед стр-ра'!G580</f>
        <v>1487.2999999999997</v>
      </c>
      <c r="G173" s="62">
        <f>'изменения июль вед стр-ра'!H580</f>
        <v>0</v>
      </c>
      <c r="H173" s="62">
        <f>'изменения июль вед стр-ра'!I580</f>
        <v>0</v>
      </c>
    </row>
    <row r="174" spans="1:9" s="21" customFormat="1" ht="54.75" customHeight="1" x14ac:dyDescent="0.2">
      <c r="A174" s="18" t="s">
        <v>520</v>
      </c>
      <c r="B174" s="19" t="s">
        <v>31</v>
      </c>
      <c r="C174" s="19" t="s">
        <v>14</v>
      </c>
      <c r="D174" s="19" t="s">
        <v>302</v>
      </c>
      <c r="E174" s="19"/>
      <c r="F174" s="20">
        <f>F175</f>
        <v>74230.400000000009</v>
      </c>
      <c r="G174" s="20">
        <f>G175</f>
        <v>0</v>
      </c>
      <c r="H174" s="20">
        <f>H175</f>
        <v>0</v>
      </c>
    </row>
    <row r="175" spans="1:9" s="79" customFormat="1" x14ac:dyDescent="0.2">
      <c r="A175" s="87" t="s">
        <v>72</v>
      </c>
      <c r="B175" s="82" t="s">
        <v>31</v>
      </c>
      <c r="C175" s="82" t="s">
        <v>14</v>
      </c>
      <c r="D175" s="82" t="s">
        <v>302</v>
      </c>
      <c r="E175" s="82" t="s">
        <v>73</v>
      </c>
      <c r="F175" s="62">
        <f>'изменения июль вед стр-ра'!G582</f>
        <v>74230.400000000009</v>
      </c>
      <c r="G175" s="62">
        <f>'изменения июль вед стр-ра'!H582</f>
        <v>0</v>
      </c>
      <c r="H175" s="62">
        <f>'изменения июль вед стр-ра'!I582</f>
        <v>0</v>
      </c>
    </row>
    <row r="176" spans="1:9" s="21" customFormat="1" ht="63.75" x14ac:dyDescent="0.2">
      <c r="A176" s="17" t="s">
        <v>518</v>
      </c>
      <c r="B176" s="19" t="s">
        <v>31</v>
      </c>
      <c r="C176" s="19" t="s">
        <v>14</v>
      </c>
      <c r="D176" s="19" t="s">
        <v>304</v>
      </c>
      <c r="E176" s="19"/>
      <c r="F176" s="20">
        <f>F177</f>
        <v>14244.7</v>
      </c>
      <c r="G176" s="20">
        <f>G177</f>
        <v>0</v>
      </c>
      <c r="H176" s="20">
        <f>H177</f>
        <v>0</v>
      </c>
    </row>
    <row r="177" spans="1:9" s="21" customFormat="1" x14ac:dyDescent="0.2">
      <c r="A177" s="28" t="s">
        <v>72</v>
      </c>
      <c r="B177" s="24" t="s">
        <v>31</v>
      </c>
      <c r="C177" s="24" t="s">
        <v>14</v>
      </c>
      <c r="D177" s="24" t="s">
        <v>304</v>
      </c>
      <c r="E177" s="24" t="s">
        <v>73</v>
      </c>
      <c r="F177" s="25">
        <f>'изменения июль вед стр-ра'!G584</f>
        <v>14244.7</v>
      </c>
      <c r="G177" s="25">
        <f>'изменения июль вед стр-ра'!H584</f>
        <v>0</v>
      </c>
      <c r="H177" s="25">
        <f>'изменения июль вед стр-ра'!I584</f>
        <v>0</v>
      </c>
    </row>
    <row r="178" spans="1:9" s="21" customFormat="1" ht="38.25" x14ac:dyDescent="0.2">
      <c r="A178" s="18" t="s">
        <v>307</v>
      </c>
      <c r="B178" s="19" t="s">
        <v>31</v>
      </c>
      <c r="C178" s="19" t="s">
        <v>14</v>
      </c>
      <c r="D178" s="19" t="s">
        <v>306</v>
      </c>
      <c r="E178" s="19"/>
      <c r="F178" s="20">
        <f>F179</f>
        <v>2657.7</v>
      </c>
      <c r="G178" s="20">
        <f>G179</f>
        <v>0</v>
      </c>
      <c r="H178" s="20">
        <f>H179</f>
        <v>0</v>
      </c>
    </row>
    <row r="179" spans="1:9" s="21" customFormat="1" x14ac:dyDescent="0.2">
      <c r="A179" s="28" t="s">
        <v>72</v>
      </c>
      <c r="B179" s="24" t="s">
        <v>31</v>
      </c>
      <c r="C179" s="24" t="s">
        <v>14</v>
      </c>
      <c r="D179" s="24" t="s">
        <v>306</v>
      </c>
      <c r="E179" s="24" t="s">
        <v>73</v>
      </c>
      <c r="F179" s="25">
        <f>'изменения июль вед стр-ра'!G586</f>
        <v>2657.7</v>
      </c>
      <c r="G179" s="25">
        <f>'изменения июль вед стр-ра'!H586</f>
        <v>0</v>
      </c>
      <c r="H179" s="25">
        <f>'изменения июль вед стр-ра'!I586</f>
        <v>0</v>
      </c>
    </row>
    <row r="180" spans="1:9" s="79" customFormat="1" x14ac:dyDescent="0.2">
      <c r="A180" s="70" t="s">
        <v>35</v>
      </c>
      <c r="B180" s="72" t="s">
        <v>31</v>
      </c>
      <c r="C180" s="72" t="s">
        <v>16</v>
      </c>
      <c r="D180" s="72"/>
      <c r="E180" s="72"/>
      <c r="F180" s="73">
        <f>F188+F190+F192+F194+F184+F181+F197+F186</f>
        <v>26487.608990000004</v>
      </c>
      <c r="G180" s="73">
        <f t="shared" ref="G180:H180" si="28">G188+G190+G192+G194+G184+G181+G197+G186</f>
        <v>0</v>
      </c>
      <c r="H180" s="73">
        <f t="shared" si="28"/>
        <v>0</v>
      </c>
    </row>
    <row r="181" spans="1:9" s="7" customFormat="1" ht="25.5" x14ac:dyDescent="0.2">
      <c r="A181" s="89" t="s">
        <v>441</v>
      </c>
      <c r="B181" s="19" t="s">
        <v>31</v>
      </c>
      <c r="C181" s="19" t="s">
        <v>16</v>
      </c>
      <c r="D181" s="77" t="s">
        <v>438</v>
      </c>
      <c r="E181" s="19"/>
      <c r="F181" s="20">
        <f>F183+F182</f>
        <v>8654.7682000000023</v>
      </c>
      <c r="G181" s="20">
        <f t="shared" ref="G181:H181" si="29">G183+G182</f>
        <v>0</v>
      </c>
      <c r="H181" s="20">
        <f t="shared" si="29"/>
        <v>0</v>
      </c>
      <c r="I181" s="119"/>
    </row>
    <row r="182" spans="1:9" s="7" customFormat="1" ht="25.5" x14ac:dyDescent="0.2">
      <c r="A182" s="28" t="s">
        <v>76</v>
      </c>
      <c r="B182" s="24" t="s">
        <v>31</v>
      </c>
      <c r="C182" s="24" t="s">
        <v>16</v>
      </c>
      <c r="D182" s="77" t="s">
        <v>438</v>
      </c>
      <c r="E182" s="24" t="s">
        <v>68</v>
      </c>
      <c r="F182" s="62">
        <f>'изменения июль вед стр-ра'!G589</f>
        <v>3451.1749500000028</v>
      </c>
      <c r="G182" s="62">
        <f>'изменения июль вед стр-ра'!H589</f>
        <v>0</v>
      </c>
      <c r="H182" s="62">
        <f>'изменения июль вед стр-ра'!I589</f>
        <v>0</v>
      </c>
      <c r="I182" s="119"/>
    </row>
    <row r="183" spans="1:9" s="7" customFormat="1" ht="25.5" x14ac:dyDescent="0.2">
      <c r="A183" s="28" t="s">
        <v>141</v>
      </c>
      <c r="B183" s="24" t="s">
        <v>31</v>
      </c>
      <c r="C183" s="24" t="s">
        <v>16</v>
      </c>
      <c r="D183" s="77" t="s">
        <v>438</v>
      </c>
      <c r="E183" s="24" t="s">
        <v>65</v>
      </c>
      <c r="F183" s="62">
        <f>'изменения июль вед стр-ра'!G590</f>
        <v>5203.5932499999999</v>
      </c>
      <c r="G183" s="62">
        <f>'изменения июль вед стр-ра'!H590</f>
        <v>0</v>
      </c>
      <c r="H183" s="62">
        <f>'изменения июль вед стр-ра'!I590</f>
        <v>0</v>
      </c>
      <c r="I183" s="119"/>
    </row>
    <row r="184" spans="1:9" s="7" customFormat="1" ht="25.5" x14ac:dyDescent="0.2">
      <c r="A184" s="17" t="s">
        <v>369</v>
      </c>
      <c r="B184" s="19" t="s">
        <v>31</v>
      </c>
      <c r="C184" s="19" t="s">
        <v>16</v>
      </c>
      <c r="D184" s="19" t="s">
        <v>368</v>
      </c>
      <c r="E184" s="19"/>
      <c r="F184" s="20">
        <f>F185</f>
        <v>150</v>
      </c>
      <c r="G184" s="20">
        <f>G185</f>
        <v>0</v>
      </c>
      <c r="H184" s="20">
        <f>H185</f>
        <v>0</v>
      </c>
    </row>
    <row r="185" spans="1:9" s="7" customFormat="1" ht="25.5" x14ac:dyDescent="0.2">
      <c r="A185" s="28" t="s">
        <v>76</v>
      </c>
      <c r="B185" s="24" t="s">
        <v>31</v>
      </c>
      <c r="C185" s="24" t="s">
        <v>16</v>
      </c>
      <c r="D185" s="19" t="s">
        <v>368</v>
      </c>
      <c r="E185" s="24" t="s">
        <v>68</v>
      </c>
      <c r="F185" s="25">
        <f>'изменения июль вед стр-ра'!G592</f>
        <v>150</v>
      </c>
      <c r="G185" s="25">
        <f>'изменения июль вед стр-ра'!H592</f>
        <v>0</v>
      </c>
      <c r="H185" s="25">
        <f>'изменения июль вед стр-ра'!I592</f>
        <v>0</v>
      </c>
    </row>
    <row r="186" spans="1:9" s="7" customFormat="1" ht="25.5" x14ac:dyDescent="0.2">
      <c r="A186" s="17" t="s">
        <v>409</v>
      </c>
      <c r="B186" s="19" t="s">
        <v>31</v>
      </c>
      <c r="C186" s="19" t="s">
        <v>16</v>
      </c>
      <c r="D186" s="19" t="s">
        <v>407</v>
      </c>
      <c r="E186" s="19"/>
      <c r="F186" s="20">
        <f>F187</f>
        <v>181.64079000000004</v>
      </c>
      <c r="G186" s="20">
        <f t="shared" ref="G186:H186" si="30">G187</f>
        <v>0</v>
      </c>
      <c r="H186" s="20">
        <f t="shared" si="30"/>
        <v>0</v>
      </c>
      <c r="I186" s="119"/>
    </row>
    <row r="187" spans="1:9" s="7" customFormat="1" ht="25.5" x14ac:dyDescent="0.2">
      <c r="A187" s="28" t="s">
        <v>76</v>
      </c>
      <c r="B187" s="24" t="s">
        <v>31</v>
      </c>
      <c r="C187" s="24" t="s">
        <v>16</v>
      </c>
      <c r="D187" s="24" t="s">
        <v>408</v>
      </c>
      <c r="E187" s="24" t="s">
        <v>68</v>
      </c>
      <c r="F187" s="25">
        <f>'изменения июль вед стр-ра'!G594</f>
        <v>181.64079000000004</v>
      </c>
      <c r="G187" s="25">
        <f>'изменения июль вед стр-ра'!H594</f>
        <v>0</v>
      </c>
      <c r="H187" s="25">
        <f>'изменения июль вед стр-ра'!I594</f>
        <v>0</v>
      </c>
      <c r="I187" s="119"/>
    </row>
    <row r="188" spans="1:9" s="79" customFormat="1" x14ac:dyDescent="0.2">
      <c r="A188" s="75" t="s">
        <v>309</v>
      </c>
      <c r="B188" s="77" t="s">
        <v>31</v>
      </c>
      <c r="C188" s="77" t="s">
        <v>16</v>
      </c>
      <c r="D188" s="77" t="s">
        <v>308</v>
      </c>
      <c r="E188" s="77"/>
      <c r="F188" s="78">
        <f>F189</f>
        <v>650</v>
      </c>
      <c r="G188" s="78">
        <f>G189</f>
        <v>0</v>
      </c>
      <c r="H188" s="78">
        <f>H189</f>
        <v>0</v>
      </c>
    </row>
    <row r="189" spans="1:9" s="79" customFormat="1" ht="25.5" x14ac:dyDescent="0.2">
      <c r="A189" s="87" t="s">
        <v>141</v>
      </c>
      <c r="B189" s="82" t="s">
        <v>31</v>
      </c>
      <c r="C189" s="82" t="s">
        <v>16</v>
      </c>
      <c r="D189" s="82" t="s">
        <v>308</v>
      </c>
      <c r="E189" s="82" t="s">
        <v>65</v>
      </c>
      <c r="F189" s="62">
        <f>'изменения июль вед стр-ра'!G596</f>
        <v>650</v>
      </c>
      <c r="G189" s="62">
        <f>'изменения июль вед стр-ра'!H596</f>
        <v>0</v>
      </c>
      <c r="H189" s="62">
        <f>'изменения июль вед стр-ра'!I596</f>
        <v>0</v>
      </c>
    </row>
    <row r="190" spans="1:9" s="21" customFormat="1" ht="25.5" x14ac:dyDescent="0.2">
      <c r="A190" s="18" t="s">
        <v>310</v>
      </c>
      <c r="B190" s="19" t="s">
        <v>31</v>
      </c>
      <c r="C190" s="19" t="s">
        <v>16</v>
      </c>
      <c r="D190" s="19" t="s">
        <v>663</v>
      </c>
      <c r="E190" s="19"/>
      <c r="F190" s="20">
        <f>F191</f>
        <v>3500</v>
      </c>
      <c r="G190" s="20">
        <f>G191</f>
        <v>0</v>
      </c>
      <c r="H190" s="20">
        <f>H191</f>
        <v>0</v>
      </c>
    </row>
    <row r="191" spans="1:9" s="21" customFormat="1" ht="25.5" x14ac:dyDescent="0.2">
      <c r="A191" s="28" t="s">
        <v>141</v>
      </c>
      <c r="B191" s="24" t="s">
        <v>31</v>
      </c>
      <c r="C191" s="24" t="s">
        <v>16</v>
      </c>
      <c r="D191" s="24" t="s">
        <v>311</v>
      </c>
      <c r="E191" s="24" t="s">
        <v>65</v>
      </c>
      <c r="F191" s="25">
        <f>'изменения июль вед стр-ра'!G598</f>
        <v>3500</v>
      </c>
      <c r="G191" s="25">
        <f>'изменения июль вед стр-ра'!H598</f>
        <v>0</v>
      </c>
      <c r="H191" s="25">
        <f>'изменения июль вед стр-ра'!I598</f>
        <v>0</v>
      </c>
    </row>
    <row r="192" spans="1:9" s="21" customFormat="1" x14ac:dyDescent="0.2">
      <c r="A192" s="18" t="s">
        <v>313</v>
      </c>
      <c r="B192" s="24" t="s">
        <v>31</v>
      </c>
      <c r="C192" s="24" t="s">
        <v>16</v>
      </c>
      <c r="D192" s="19" t="s">
        <v>312</v>
      </c>
      <c r="E192" s="24"/>
      <c r="F192" s="25">
        <f>F193</f>
        <v>1000</v>
      </c>
      <c r="G192" s="25">
        <f>G193</f>
        <v>0</v>
      </c>
      <c r="H192" s="25">
        <f>H193</f>
        <v>0</v>
      </c>
    </row>
    <row r="193" spans="1:9" s="21" customFormat="1" ht="25.5" x14ac:dyDescent="0.2">
      <c r="A193" s="28" t="s">
        <v>141</v>
      </c>
      <c r="B193" s="24" t="s">
        <v>31</v>
      </c>
      <c r="C193" s="24" t="s">
        <v>16</v>
      </c>
      <c r="D193" s="24" t="s">
        <v>312</v>
      </c>
      <c r="E193" s="24" t="s">
        <v>65</v>
      </c>
      <c r="F193" s="25">
        <f>'изменения июль вед стр-ра'!G600</f>
        <v>1000</v>
      </c>
      <c r="G193" s="25">
        <f>'изменения июль вед стр-ра'!H600</f>
        <v>0</v>
      </c>
      <c r="H193" s="25">
        <f>'изменения июль вед стр-ра'!I600</f>
        <v>0</v>
      </c>
    </row>
    <row r="194" spans="1:9" s="79" customFormat="1" ht="25.5" x14ac:dyDescent="0.2">
      <c r="A194" s="75" t="s">
        <v>315</v>
      </c>
      <c r="B194" s="77" t="s">
        <v>31</v>
      </c>
      <c r="C194" s="77" t="s">
        <v>16</v>
      </c>
      <c r="D194" s="111" t="s">
        <v>314</v>
      </c>
      <c r="E194" s="77"/>
      <c r="F194" s="78">
        <f>F196+F195</f>
        <v>8351.1999999999989</v>
      </c>
      <c r="G194" s="78">
        <f t="shared" ref="G194:H194" si="31">G196+G195</f>
        <v>0</v>
      </c>
      <c r="H194" s="78">
        <f t="shared" si="31"/>
        <v>0</v>
      </c>
    </row>
    <row r="195" spans="1:9" s="79" customFormat="1" ht="25.5" x14ac:dyDescent="0.2">
      <c r="A195" s="28" t="s">
        <v>76</v>
      </c>
      <c r="B195" s="24" t="s">
        <v>31</v>
      </c>
      <c r="C195" s="24" t="s">
        <v>16</v>
      </c>
      <c r="D195" s="16" t="s">
        <v>314</v>
      </c>
      <c r="E195" s="77" t="s">
        <v>68</v>
      </c>
      <c r="F195" s="78">
        <f>'изменения июль вед стр-ра'!G602</f>
        <v>87.8</v>
      </c>
      <c r="G195" s="78">
        <f>'изменения июль вед стр-ра'!H602</f>
        <v>0</v>
      </c>
      <c r="H195" s="78">
        <f>'изменения июль вед стр-ра'!I602</f>
        <v>0</v>
      </c>
    </row>
    <row r="196" spans="1:9" s="21" customFormat="1" ht="25.5" x14ac:dyDescent="0.2">
      <c r="A196" s="28" t="s">
        <v>141</v>
      </c>
      <c r="B196" s="24" t="s">
        <v>31</v>
      </c>
      <c r="C196" s="24" t="s">
        <v>16</v>
      </c>
      <c r="D196" s="16" t="s">
        <v>314</v>
      </c>
      <c r="E196" s="24" t="s">
        <v>65</v>
      </c>
      <c r="F196" s="25">
        <f>'изменения июль вед стр-ра'!G603</f>
        <v>8263.4</v>
      </c>
      <c r="G196" s="25">
        <f>'изменения июль вед стр-ра'!H603</f>
        <v>0</v>
      </c>
      <c r="H196" s="25">
        <f>'изменения июль вед стр-ра'!I603</f>
        <v>0</v>
      </c>
      <c r="I196" s="79"/>
    </row>
    <row r="197" spans="1:9" s="21" customFormat="1" x14ac:dyDescent="0.2">
      <c r="A197" s="18" t="s">
        <v>389</v>
      </c>
      <c r="B197" s="19" t="s">
        <v>31</v>
      </c>
      <c r="C197" s="19" t="s">
        <v>16</v>
      </c>
      <c r="D197" s="16" t="s">
        <v>390</v>
      </c>
      <c r="E197" s="19"/>
      <c r="F197" s="20">
        <f>F198</f>
        <v>4000</v>
      </c>
      <c r="G197" s="20">
        <f t="shared" ref="G197:H197" si="32">G198</f>
        <v>0</v>
      </c>
      <c r="H197" s="20">
        <f t="shared" si="32"/>
        <v>0</v>
      </c>
    </row>
    <row r="198" spans="1:9" s="21" customFormat="1" ht="25.5" x14ac:dyDescent="0.2">
      <c r="A198" s="28" t="s">
        <v>141</v>
      </c>
      <c r="B198" s="24" t="s">
        <v>31</v>
      </c>
      <c r="C198" s="24" t="s">
        <v>16</v>
      </c>
      <c r="D198" s="16" t="s">
        <v>390</v>
      </c>
      <c r="E198" s="24" t="s">
        <v>65</v>
      </c>
      <c r="F198" s="25">
        <f>'изменения июль вед стр-ра'!G605</f>
        <v>4000</v>
      </c>
      <c r="G198" s="25">
        <f>'изменения июль вед стр-ра'!H605</f>
        <v>0</v>
      </c>
      <c r="H198" s="25">
        <f>'изменения июль вед стр-ра'!I605</f>
        <v>0</v>
      </c>
    </row>
    <row r="199" spans="1:9" s="79" customFormat="1" ht="15.75" customHeight="1" x14ac:dyDescent="0.2">
      <c r="A199" s="70" t="s">
        <v>36</v>
      </c>
      <c r="B199" s="72" t="s">
        <v>31</v>
      </c>
      <c r="C199" s="72" t="s">
        <v>31</v>
      </c>
      <c r="D199" s="72"/>
      <c r="E199" s="72"/>
      <c r="F199" s="73">
        <f>F200+F202+F205</f>
        <v>27467.5</v>
      </c>
      <c r="G199" s="73">
        <f>G200+G202+G205</f>
        <v>18451.8</v>
      </c>
      <c r="H199" s="73">
        <f>H200+H202+H205</f>
        <v>18272.599999999999</v>
      </c>
    </row>
    <row r="200" spans="1:9" s="21" customFormat="1" ht="38.25" x14ac:dyDescent="0.2">
      <c r="A200" s="18" t="s">
        <v>317</v>
      </c>
      <c r="B200" s="19" t="s">
        <v>31</v>
      </c>
      <c r="C200" s="19" t="s">
        <v>31</v>
      </c>
      <c r="D200" s="19" t="s">
        <v>316</v>
      </c>
      <c r="E200" s="19"/>
      <c r="F200" s="20">
        <f>F201</f>
        <v>5099.4000000000005</v>
      </c>
      <c r="G200" s="20">
        <f>G201</f>
        <v>0</v>
      </c>
      <c r="H200" s="20">
        <f>H201</f>
        <v>0</v>
      </c>
    </row>
    <row r="201" spans="1:9" s="21" customFormat="1" ht="25.5" x14ac:dyDescent="0.2">
      <c r="A201" s="28" t="s">
        <v>141</v>
      </c>
      <c r="B201" s="24" t="s">
        <v>31</v>
      </c>
      <c r="C201" s="24" t="s">
        <v>31</v>
      </c>
      <c r="D201" s="24" t="s">
        <v>316</v>
      </c>
      <c r="E201" s="24" t="s">
        <v>65</v>
      </c>
      <c r="F201" s="25">
        <f>'изменения июль вед стр-ра'!G608</f>
        <v>5099.4000000000005</v>
      </c>
      <c r="G201" s="25">
        <f>'изменения июль вед стр-ра'!H608</f>
        <v>0</v>
      </c>
      <c r="H201" s="25">
        <f>'изменения июль вед стр-ра'!I608</f>
        <v>0</v>
      </c>
    </row>
    <row r="202" spans="1:9" s="21" customFormat="1" ht="25.5" x14ac:dyDescent="0.2">
      <c r="A202" s="18" t="s">
        <v>319</v>
      </c>
      <c r="B202" s="19" t="s">
        <v>31</v>
      </c>
      <c r="C202" s="19" t="s">
        <v>31</v>
      </c>
      <c r="D202" s="19" t="s">
        <v>318</v>
      </c>
      <c r="E202" s="19"/>
      <c r="F202" s="20">
        <f>F203+F204</f>
        <v>6303.5</v>
      </c>
      <c r="G202" s="20">
        <f t="shared" ref="G202:H202" si="33">G203+G204</f>
        <v>4769</v>
      </c>
      <c r="H202" s="20">
        <f t="shared" si="33"/>
        <v>4769</v>
      </c>
      <c r="I202" s="117"/>
    </row>
    <row r="203" spans="1:9" s="21" customFormat="1" ht="51" x14ac:dyDescent="0.2">
      <c r="A203" s="30" t="s">
        <v>66</v>
      </c>
      <c r="B203" s="24" t="s">
        <v>31</v>
      </c>
      <c r="C203" s="24" t="s">
        <v>31</v>
      </c>
      <c r="D203" s="24" t="s">
        <v>318</v>
      </c>
      <c r="E203" s="24" t="s">
        <v>67</v>
      </c>
      <c r="F203" s="25">
        <f>'изменения июль вед стр-ра'!G610</f>
        <v>5860.9</v>
      </c>
      <c r="G203" s="25">
        <f>'изменения июль вед стр-ра'!H610</f>
        <v>4351.3999999999996</v>
      </c>
      <c r="H203" s="25">
        <f>'изменения июль вед стр-ра'!I610</f>
        <v>4351.3999999999996</v>
      </c>
      <c r="I203" s="117"/>
    </row>
    <row r="204" spans="1:9" s="21" customFormat="1" ht="25.5" x14ac:dyDescent="0.2">
      <c r="A204" s="28" t="s">
        <v>76</v>
      </c>
      <c r="B204" s="24" t="s">
        <v>31</v>
      </c>
      <c r="C204" s="24" t="s">
        <v>31</v>
      </c>
      <c r="D204" s="24" t="s">
        <v>318</v>
      </c>
      <c r="E204" s="24" t="s">
        <v>68</v>
      </c>
      <c r="F204" s="25">
        <f>'изменения июль вед стр-ра'!G611</f>
        <v>442.6</v>
      </c>
      <c r="G204" s="25">
        <f>'изменения июль вед стр-ра'!H611</f>
        <v>417.6</v>
      </c>
      <c r="H204" s="25">
        <f>'изменения июль вед стр-ра'!I611</f>
        <v>417.6</v>
      </c>
      <c r="I204" s="117"/>
    </row>
    <row r="205" spans="1:9" s="21" customFormat="1" ht="38.25" x14ac:dyDescent="0.2">
      <c r="A205" s="18" t="s">
        <v>321</v>
      </c>
      <c r="B205" s="24" t="s">
        <v>31</v>
      </c>
      <c r="C205" s="24" t="s">
        <v>31</v>
      </c>
      <c r="D205" s="19" t="s">
        <v>320</v>
      </c>
      <c r="E205" s="5"/>
      <c r="F205" s="6">
        <f>F206</f>
        <v>16064.599999999999</v>
      </c>
      <c r="G205" s="6">
        <f>G206</f>
        <v>13682.8</v>
      </c>
      <c r="H205" s="6">
        <f>H206</f>
        <v>13503.6</v>
      </c>
      <c r="I205" s="117"/>
    </row>
    <row r="206" spans="1:9" s="21" customFormat="1" ht="25.5" x14ac:dyDescent="0.2">
      <c r="A206" s="28" t="s">
        <v>141</v>
      </c>
      <c r="B206" s="24" t="s">
        <v>31</v>
      </c>
      <c r="C206" s="24" t="s">
        <v>31</v>
      </c>
      <c r="D206" s="24" t="s">
        <v>320</v>
      </c>
      <c r="E206" s="24" t="s">
        <v>65</v>
      </c>
      <c r="F206" s="25">
        <f>'изменения июль вед стр-ра'!G613</f>
        <v>16064.599999999999</v>
      </c>
      <c r="G206" s="25">
        <f>'изменения июль вед стр-ра'!H613</f>
        <v>13682.8</v>
      </c>
      <c r="H206" s="25">
        <f>'изменения июль вед стр-ра'!I613</f>
        <v>13503.6</v>
      </c>
      <c r="I206" s="117"/>
    </row>
    <row r="207" spans="1:9" s="21" customFormat="1" ht="15.75" x14ac:dyDescent="0.25">
      <c r="A207" s="144" t="s">
        <v>37</v>
      </c>
      <c r="B207" s="143" t="s">
        <v>19</v>
      </c>
      <c r="C207" s="143" t="s">
        <v>463</v>
      </c>
      <c r="D207" s="143"/>
      <c r="E207" s="143"/>
      <c r="F207" s="206">
        <f>F208+F225+F285+F277+F265</f>
        <v>1395625.0375000003</v>
      </c>
      <c r="G207" s="206">
        <f>G208+G225+G285+G277+G265</f>
        <v>1195483</v>
      </c>
      <c r="H207" s="206">
        <f>H208+H225+H285+H277+H265</f>
        <v>1151410.5</v>
      </c>
    </row>
    <row r="208" spans="1:9" s="79" customFormat="1" x14ac:dyDescent="0.2">
      <c r="A208" s="70" t="s">
        <v>38</v>
      </c>
      <c r="B208" s="72" t="s">
        <v>19</v>
      </c>
      <c r="C208" s="72" t="s">
        <v>12</v>
      </c>
      <c r="D208" s="72"/>
      <c r="E208" s="72"/>
      <c r="F208" s="73">
        <f>F212+F214+F218+F209+F223</f>
        <v>460052.4</v>
      </c>
      <c r="G208" s="73">
        <f t="shared" ref="G208:H208" si="34">G212+G214+G218+G209+G223</f>
        <v>439750.1</v>
      </c>
      <c r="H208" s="73">
        <f t="shared" si="34"/>
        <v>431938.5</v>
      </c>
    </row>
    <row r="209" spans="1:9" s="79" customFormat="1" ht="25.5" x14ac:dyDescent="0.2">
      <c r="A209" s="89" t="s">
        <v>163</v>
      </c>
      <c r="B209" s="77" t="s">
        <v>19</v>
      </c>
      <c r="C209" s="77" t="s">
        <v>12</v>
      </c>
      <c r="D209" s="77" t="s">
        <v>162</v>
      </c>
      <c r="E209" s="90"/>
      <c r="F209" s="91">
        <f>F211+F210</f>
        <v>8853.5</v>
      </c>
      <c r="G209" s="91">
        <f t="shared" ref="G209:H209" si="35">G211+G210</f>
        <v>6701.7999999999993</v>
      </c>
      <c r="H209" s="91">
        <f t="shared" si="35"/>
        <v>6701.7999999999993</v>
      </c>
    </row>
    <row r="210" spans="1:9" s="79" customFormat="1" ht="25.5" x14ac:dyDescent="0.2">
      <c r="A210" s="28" t="s">
        <v>76</v>
      </c>
      <c r="B210" s="82" t="s">
        <v>19</v>
      </c>
      <c r="C210" s="82" t="s">
        <v>12</v>
      </c>
      <c r="D210" s="82" t="s">
        <v>162</v>
      </c>
      <c r="E210" s="82" t="s">
        <v>68</v>
      </c>
      <c r="F210" s="62">
        <f>'изменения июль вед стр-ра'!G232</f>
        <v>2038.6</v>
      </c>
      <c r="G210" s="62">
        <f>'изменения июль вед стр-ра'!H232</f>
        <v>1177</v>
      </c>
      <c r="H210" s="62">
        <f>'изменения июль вед стр-ра'!I232</f>
        <v>1177</v>
      </c>
      <c r="I210" s="62">
        <f>'изменения июль вед стр-ра'!J232</f>
        <v>0</v>
      </c>
    </row>
    <row r="211" spans="1:9" s="79" customFormat="1" ht="25.5" x14ac:dyDescent="0.2">
      <c r="A211" s="87" t="s">
        <v>141</v>
      </c>
      <c r="B211" s="82" t="s">
        <v>19</v>
      </c>
      <c r="C211" s="82" t="s">
        <v>12</v>
      </c>
      <c r="D211" s="82" t="s">
        <v>162</v>
      </c>
      <c r="E211" s="82" t="s">
        <v>65</v>
      </c>
      <c r="F211" s="62">
        <f>'изменения июль вед стр-ра'!G233</f>
        <v>6814.9</v>
      </c>
      <c r="G211" s="62">
        <f>'изменения июль вед стр-ра'!H233</f>
        <v>5524.7999999999993</v>
      </c>
      <c r="H211" s="62">
        <f>'изменения июль вед стр-ра'!I233</f>
        <v>5524.7999999999993</v>
      </c>
      <c r="I211" s="62">
        <f>'изменения июль вед стр-ра'!J233</f>
        <v>0</v>
      </c>
    </row>
    <row r="212" spans="1:9" s="21" customFormat="1" x14ac:dyDescent="0.2">
      <c r="A212" s="18" t="s">
        <v>174</v>
      </c>
      <c r="B212" s="19" t="s">
        <v>19</v>
      </c>
      <c r="C212" s="19" t="s">
        <v>12</v>
      </c>
      <c r="D212" s="24" t="s">
        <v>173</v>
      </c>
      <c r="E212" s="19"/>
      <c r="F212" s="20">
        <f>F213</f>
        <v>4135.5</v>
      </c>
      <c r="G212" s="20">
        <f>G213</f>
        <v>0</v>
      </c>
      <c r="H212" s="20">
        <f>H213</f>
        <v>0</v>
      </c>
    </row>
    <row r="213" spans="1:9" s="21" customFormat="1" ht="25.5" x14ac:dyDescent="0.2">
      <c r="A213" s="28" t="s">
        <v>83</v>
      </c>
      <c r="B213" s="19" t="s">
        <v>19</v>
      </c>
      <c r="C213" s="19" t="s">
        <v>12</v>
      </c>
      <c r="D213" s="24" t="s">
        <v>173</v>
      </c>
      <c r="E213" s="24" t="s">
        <v>71</v>
      </c>
      <c r="F213" s="25">
        <f>'изменения июль вед стр-ра'!G235</f>
        <v>4135.5</v>
      </c>
      <c r="G213" s="25">
        <f>'изменения июль вед стр-ра'!H235</f>
        <v>0</v>
      </c>
      <c r="H213" s="25">
        <f>'изменения июль вед стр-ра'!I235</f>
        <v>0</v>
      </c>
    </row>
    <row r="214" spans="1:9" s="21" customFormat="1" ht="51" x14ac:dyDescent="0.2">
      <c r="A214" s="60" t="s">
        <v>360</v>
      </c>
      <c r="B214" s="19" t="s">
        <v>19</v>
      </c>
      <c r="C214" s="19" t="s">
        <v>12</v>
      </c>
      <c r="D214" s="19" t="s">
        <v>123</v>
      </c>
      <c r="E214" s="19"/>
      <c r="F214" s="20">
        <f>F217+F215+F216</f>
        <v>245466.7</v>
      </c>
      <c r="G214" s="20">
        <f t="shared" ref="G214:H214" si="36">G217+G215+G216</f>
        <v>256466.7</v>
      </c>
      <c r="H214" s="20">
        <f t="shared" si="36"/>
        <v>256466.7</v>
      </c>
    </row>
    <row r="215" spans="1:9" s="79" customFormat="1" ht="51" x14ac:dyDescent="0.2">
      <c r="A215" s="80" t="s">
        <v>66</v>
      </c>
      <c r="B215" s="82" t="s">
        <v>19</v>
      </c>
      <c r="C215" s="82" t="s">
        <v>12</v>
      </c>
      <c r="D215" s="82" t="s">
        <v>123</v>
      </c>
      <c r="E215" s="83" t="s">
        <v>67</v>
      </c>
      <c r="F215" s="62">
        <f>'изменения июль вед стр-ра'!G237</f>
        <v>40850.5</v>
      </c>
      <c r="G215" s="62">
        <f>'изменения июль вед стр-ра'!H237</f>
        <v>41527.5</v>
      </c>
      <c r="H215" s="62">
        <f>'изменения июль вед стр-ра'!I237</f>
        <v>41527.5</v>
      </c>
    </row>
    <row r="216" spans="1:9" s="21" customFormat="1" ht="25.5" x14ac:dyDescent="0.2">
      <c r="A216" s="28" t="s">
        <v>76</v>
      </c>
      <c r="B216" s="24" t="s">
        <v>19</v>
      </c>
      <c r="C216" s="24" t="s">
        <v>12</v>
      </c>
      <c r="D216" s="24" t="s">
        <v>123</v>
      </c>
      <c r="E216" s="27" t="s">
        <v>68</v>
      </c>
      <c r="F216" s="62">
        <f>'изменения июль вед стр-ра'!G238</f>
        <v>148.4</v>
      </c>
      <c r="G216" s="62">
        <f>'изменения июль вед стр-ра'!H238</f>
        <v>148.4</v>
      </c>
      <c r="H216" s="62">
        <f>'изменения июль вед стр-ра'!I238</f>
        <v>148.4</v>
      </c>
    </row>
    <row r="217" spans="1:9" s="79" customFormat="1" ht="25.5" x14ac:dyDescent="0.2">
      <c r="A217" s="87" t="s">
        <v>141</v>
      </c>
      <c r="B217" s="82" t="s">
        <v>19</v>
      </c>
      <c r="C217" s="82" t="s">
        <v>12</v>
      </c>
      <c r="D217" s="82" t="s">
        <v>123</v>
      </c>
      <c r="E217" s="82" t="s">
        <v>65</v>
      </c>
      <c r="F217" s="62">
        <f>'изменения июль вед стр-ра'!G239</f>
        <v>204467.80000000002</v>
      </c>
      <c r="G217" s="62">
        <f>'изменения июль вед стр-ра'!H239</f>
        <v>214790.80000000002</v>
      </c>
      <c r="H217" s="62">
        <f>'изменения июль вед стр-ра'!I239</f>
        <v>214790.80000000002</v>
      </c>
    </row>
    <row r="218" spans="1:9" s="79" customFormat="1" ht="53.25" customHeight="1" x14ac:dyDescent="0.2">
      <c r="A218" s="75" t="s">
        <v>344</v>
      </c>
      <c r="B218" s="77" t="s">
        <v>19</v>
      </c>
      <c r="C218" s="77" t="s">
        <v>12</v>
      </c>
      <c r="D218" s="77" t="s">
        <v>237</v>
      </c>
      <c r="E218" s="77"/>
      <c r="F218" s="78">
        <f>F221+F220+F219+F222</f>
        <v>201332.69999999998</v>
      </c>
      <c r="G218" s="78">
        <f>G221+G220+G219+G222</f>
        <v>176581.59999999998</v>
      </c>
      <c r="H218" s="78">
        <f>H221+H220+H219+H222</f>
        <v>168770</v>
      </c>
    </row>
    <row r="219" spans="1:9" s="79" customFormat="1" ht="39.75" customHeight="1" x14ac:dyDescent="0.2">
      <c r="A219" s="80" t="s">
        <v>66</v>
      </c>
      <c r="B219" s="82" t="s">
        <v>19</v>
      </c>
      <c r="C219" s="82" t="s">
        <v>12</v>
      </c>
      <c r="D219" s="82" t="s">
        <v>237</v>
      </c>
      <c r="E219" s="83" t="s">
        <v>67</v>
      </c>
      <c r="F219" s="78">
        <f>'изменения июль вед стр-ра'!G241</f>
        <v>24355.5</v>
      </c>
      <c r="G219" s="78">
        <f>'изменения июль вед стр-ра'!H241</f>
        <v>22781.9</v>
      </c>
      <c r="H219" s="78">
        <f>'изменения июль вед стр-ра'!I241</f>
        <v>22781.9</v>
      </c>
    </row>
    <row r="220" spans="1:9" s="21" customFormat="1" ht="25.5" x14ac:dyDescent="0.2">
      <c r="A220" s="28" t="s">
        <v>76</v>
      </c>
      <c r="B220" s="24" t="s">
        <v>19</v>
      </c>
      <c r="C220" s="24" t="s">
        <v>12</v>
      </c>
      <c r="D220" s="24" t="s">
        <v>237</v>
      </c>
      <c r="E220" s="27" t="s">
        <v>68</v>
      </c>
      <c r="F220" s="78">
        <f>'изменения июль вед стр-ра'!G242</f>
        <v>11641.2</v>
      </c>
      <c r="G220" s="78">
        <f>'изменения июль вед стр-ра'!H242</f>
        <v>9706.3000000000011</v>
      </c>
      <c r="H220" s="78">
        <f>'изменения июль вед стр-ра'!I242</f>
        <v>8796.7000000000007</v>
      </c>
      <c r="I220" s="117"/>
    </row>
    <row r="221" spans="1:9" s="21" customFormat="1" ht="25.5" x14ac:dyDescent="0.2">
      <c r="A221" s="28" t="s">
        <v>141</v>
      </c>
      <c r="B221" s="24" t="s">
        <v>19</v>
      </c>
      <c r="C221" s="24" t="s">
        <v>12</v>
      </c>
      <c r="D221" s="24" t="s">
        <v>237</v>
      </c>
      <c r="E221" s="24" t="s">
        <v>65</v>
      </c>
      <c r="F221" s="78">
        <f>'изменения июль вед стр-ра'!G243</f>
        <v>164966.19999999998</v>
      </c>
      <c r="G221" s="78">
        <f>'изменения июль вед стр-ра'!H243</f>
        <v>143502.9</v>
      </c>
      <c r="H221" s="78">
        <f>'изменения июль вед стр-ра'!I243</f>
        <v>136600.9</v>
      </c>
      <c r="I221" s="117"/>
    </row>
    <row r="222" spans="1:9" s="79" customFormat="1" x14ac:dyDescent="0.2">
      <c r="A222" s="87" t="s">
        <v>72</v>
      </c>
      <c r="B222" s="82" t="s">
        <v>19</v>
      </c>
      <c r="C222" s="82" t="s">
        <v>12</v>
      </c>
      <c r="D222" s="82" t="s">
        <v>237</v>
      </c>
      <c r="E222" s="82" t="s">
        <v>73</v>
      </c>
      <c r="F222" s="78">
        <f>'изменения июль вед стр-ра'!G244</f>
        <v>369.79999999999995</v>
      </c>
      <c r="G222" s="78">
        <f>'изменения июль вед стр-ра'!H244</f>
        <v>590.5</v>
      </c>
      <c r="H222" s="78">
        <f>'изменения июль вед стр-ра'!I244</f>
        <v>590.5</v>
      </c>
    </row>
    <row r="223" spans="1:9" s="79" customFormat="1" ht="25.5" x14ac:dyDescent="0.2">
      <c r="A223" s="18" t="s">
        <v>699</v>
      </c>
      <c r="B223" s="19" t="s">
        <v>19</v>
      </c>
      <c r="C223" s="19" t="s">
        <v>12</v>
      </c>
      <c r="D223" s="19" t="s">
        <v>717</v>
      </c>
      <c r="E223" s="19"/>
      <c r="F223" s="78">
        <f>F224</f>
        <v>264</v>
      </c>
      <c r="G223" s="78">
        <f t="shared" ref="G223:I223" si="37">G224</f>
        <v>0</v>
      </c>
      <c r="H223" s="78">
        <f t="shared" si="37"/>
        <v>0</v>
      </c>
      <c r="I223" s="78">
        <f t="shared" si="37"/>
        <v>0</v>
      </c>
    </row>
    <row r="224" spans="1:9" s="79" customFormat="1" ht="25.5" x14ac:dyDescent="0.2">
      <c r="A224" s="28" t="s">
        <v>141</v>
      </c>
      <c r="B224" s="24" t="s">
        <v>19</v>
      </c>
      <c r="C224" s="24" t="s">
        <v>12</v>
      </c>
      <c r="D224" s="24" t="s">
        <v>717</v>
      </c>
      <c r="E224" s="24" t="s">
        <v>65</v>
      </c>
      <c r="F224" s="78">
        <f>'изменения июль вед стр-ра'!G246</f>
        <v>264</v>
      </c>
      <c r="G224" s="78">
        <f>'изменения июль вед стр-ра'!H246</f>
        <v>0</v>
      </c>
      <c r="H224" s="78">
        <f>'изменения июль вед стр-ра'!I246</f>
        <v>0</v>
      </c>
    </row>
    <row r="225" spans="1:9" s="79" customFormat="1" x14ac:dyDescent="0.2">
      <c r="A225" s="70" t="s">
        <v>39</v>
      </c>
      <c r="B225" s="72" t="s">
        <v>19</v>
      </c>
      <c r="C225" s="72" t="s">
        <v>14</v>
      </c>
      <c r="D225" s="72"/>
      <c r="E225" s="72"/>
      <c r="F225" s="73">
        <f>F237+F241+F245+F247+F249+F253+F262+F259+F256+F226+F233+F229+F235+F231</f>
        <v>675145.23750000005</v>
      </c>
      <c r="G225" s="73">
        <f t="shared" ref="G225:H225" si="38">G237+G241+G245+G247+G249+G253+G262+G259+G256+G226+G233+G229+G235+G231</f>
        <v>517636.20000000007</v>
      </c>
      <c r="H225" s="73">
        <f t="shared" si="38"/>
        <v>484731.7</v>
      </c>
    </row>
    <row r="226" spans="1:9" s="79" customFormat="1" ht="25.5" x14ac:dyDescent="0.2">
      <c r="A226" s="89" t="s">
        <v>163</v>
      </c>
      <c r="B226" s="77" t="s">
        <v>19</v>
      </c>
      <c r="C226" s="77" t="s">
        <v>14</v>
      </c>
      <c r="D226" s="77" t="s">
        <v>162</v>
      </c>
      <c r="E226" s="90"/>
      <c r="F226" s="91">
        <f>F228+F227</f>
        <v>12421.895</v>
      </c>
      <c r="G226" s="91">
        <f t="shared" ref="G226:H226" si="39">G228+G227</f>
        <v>6744.9</v>
      </c>
      <c r="H226" s="91">
        <f t="shared" si="39"/>
        <v>6744.9</v>
      </c>
    </row>
    <row r="227" spans="1:9" s="79" customFormat="1" ht="25.5" x14ac:dyDescent="0.2">
      <c r="A227" s="28" t="s">
        <v>76</v>
      </c>
      <c r="B227" s="82" t="s">
        <v>19</v>
      </c>
      <c r="C227" s="82" t="s">
        <v>14</v>
      </c>
      <c r="D227" s="82" t="s">
        <v>162</v>
      </c>
      <c r="E227" s="82" t="s">
        <v>68</v>
      </c>
      <c r="F227" s="62">
        <f>'изменения июль вед стр-ра'!G253</f>
        <v>2968.8950000000004</v>
      </c>
      <c r="G227" s="62">
        <f>'изменения июль вед стр-ра'!H253</f>
        <v>2002.1</v>
      </c>
      <c r="H227" s="62">
        <f>'изменения июль вед стр-ра'!I253</f>
        <v>2002.1</v>
      </c>
    </row>
    <row r="228" spans="1:9" s="79" customFormat="1" ht="25.5" x14ac:dyDescent="0.2">
      <c r="A228" s="87" t="s">
        <v>141</v>
      </c>
      <c r="B228" s="82" t="s">
        <v>19</v>
      </c>
      <c r="C228" s="82" t="s">
        <v>14</v>
      </c>
      <c r="D228" s="82" t="s">
        <v>162</v>
      </c>
      <c r="E228" s="82" t="s">
        <v>65</v>
      </c>
      <c r="F228" s="62">
        <f>'изменения июль вед стр-ра'!G254</f>
        <v>9453</v>
      </c>
      <c r="G228" s="62">
        <f>'изменения июль вед стр-ра'!H254</f>
        <v>4742.7999999999993</v>
      </c>
      <c r="H228" s="62">
        <f>'изменения июль вед стр-ра'!I254</f>
        <v>4742.7999999999993</v>
      </c>
    </row>
    <row r="229" spans="1:9" s="9" customFormat="1" ht="25.5" x14ac:dyDescent="0.2">
      <c r="A229" s="18" t="s">
        <v>443</v>
      </c>
      <c r="B229" s="19" t="s">
        <v>19</v>
      </c>
      <c r="C229" s="19" t="s">
        <v>14</v>
      </c>
      <c r="D229" s="19" t="s">
        <v>691</v>
      </c>
      <c r="E229" s="19"/>
      <c r="F229" s="20">
        <f>F230</f>
        <v>1321.6100000000001</v>
      </c>
      <c r="G229" s="20">
        <f t="shared" ref="G229:H229" si="40">G230</f>
        <v>0</v>
      </c>
      <c r="H229" s="20">
        <f t="shared" si="40"/>
        <v>0</v>
      </c>
    </row>
    <row r="230" spans="1:9" s="9" customFormat="1" ht="25.5" x14ac:dyDescent="0.2">
      <c r="A230" s="28" t="s">
        <v>141</v>
      </c>
      <c r="B230" s="24" t="s">
        <v>19</v>
      </c>
      <c r="C230" s="24" t="s">
        <v>14</v>
      </c>
      <c r="D230" s="24" t="s">
        <v>691</v>
      </c>
      <c r="E230" s="24" t="s">
        <v>65</v>
      </c>
      <c r="F230" s="25">
        <f>'изменения июль вед стр-ра'!G249</f>
        <v>1321.6100000000001</v>
      </c>
      <c r="G230" s="25">
        <f>'изменения июль вед стр-ра'!H249</f>
        <v>0</v>
      </c>
      <c r="H230" s="25">
        <f>'изменения июль вед стр-ра'!I249</f>
        <v>0</v>
      </c>
    </row>
    <row r="231" spans="1:9" s="9" customFormat="1" ht="25.5" x14ac:dyDescent="0.2">
      <c r="A231" s="18" t="s">
        <v>443</v>
      </c>
      <c r="B231" s="19" t="s">
        <v>19</v>
      </c>
      <c r="C231" s="19" t="s">
        <v>14</v>
      </c>
      <c r="D231" s="19" t="s">
        <v>721</v>
      </c>
      <c r="E231" s="19"/>
      <c r="F231" s="25">
        <f>F232</f>
        <v>1250</v>
      </c>
      <c r="G231" s="25">
        <f t="shared" ref="G231:H231" si="41">G232</f>
        <v>0</v>
      </c>
      <c r="H231" s="25">
        <f t="shared" si="41"/>
        <v>0</v>
      </c>
    </row>
    <row r="232" spans="1:9" s="9" customFormat="1" ht="25.5" x14ac:dyDescent="0.2">
      <c r="A232" s="28" t="s">
        <v>141</v>
      </c>
      <c r="B232" s="24" t="s">
        <v>19</v>
      </c>
      <c r="C232" s="24" t="s">
        <v>14</v>
      </c>
      <c r="D232" s="24" t="s">
        <v>721</v>
      </c>
      <c r="E232" s="24" t="s">
        <v>65</v>
      </c>
      <c r="F232" s="25">
        <f>'изменения июль вед стр-ра'!G251</f>
        <v>1250</v>
      </c>
      <c r="G232" s="25">
        <f>'изменения июль вед стр-ра'!H251</f>
        <v>0</v>
      </c>
      <c r="H232" s="25">
        <f>'изменения июль вед стр-ра'!I251</f>
        <v>0</v>
      </c>
    </row>
    <row r="233" spans="1:9" ht="38.25" x14ac:dyDescent="0.2">
      <c r="A233" s="18" t="s">
        <v>685</v>
      </c>
      <c r="B233" s="19" t="s">
        <v>19</v>
      </c>
      <c r="C233" s="19" t="s">
        <v>14</v>
      </c>
      <c r="D233" s="19" t="s">
        <v>686</v>
      </c>
      <c r="E233" s="20"/>
      <c r="F233" s="20">
        <f>F234</f>
        <v>126558.6425</v>
      </c>
      <c r="G233" s="20">
        <f t="shared" ref="G233:H233" si="42">G234</f>
        <v>0</v>
      </c>
      <c r="H233" s="20">
        <f t="shared" si="42"/>
        <v>0</v>
      </c>
      <c r="I233" s="237"/>
    </row>
    <row r="234" spans="1:9" ht="25.5" x14ac:dyDescent="0.2">
      <c r="A234" s="28" t="s">
        <v>141</v>
      </c>
      <c r="B234" s="24" t="s">
        <v>19</v>
      </c>
      <c r="C234" s="24" t="s">
        <v>14</v>
      </c>
      <c r="D234" s="24" t="s">
        <v>686</v>
      </c>
      <c r="E234" s="25" t="s">
        <v>65</v>
      </c>
      <c r="F234" s="25">
        <f>'изменения июль вед стр-ра'!G256</f>
        <v>126558.6425</v>
      </c>
      <c r="G234" s="25">
        <f>'изменения июль вед стр-ра'!H256</f>
        <v>0</v>
      </c>
      <c r="H234" s="25">
        <f>'изменения июль вед стр-ра'!I256</f>
        <v>0</v>
      </c>
      <c r="I234" s="237"/>
    </row>
    <row r="235" spans="1:9" s="26" customFormat="1" ht="38.25" x14ac:dyDescent="0.2">
      <c r="A235" s="18" t="s">
        <v>685</v>
      </c>
      <c r="B235" s="19" t="s">
        <v>19</v>
      </c>
      <c r="C235" s="19" t="s">
        <v>14</v>
      </c>
      <c r="D235" s="19" t="s">
        <v>692</v>
      </c>
      <c r="E235" s="19"/>
      <c r="F235" s="20">
        <f>F236</f>
        <v>12187.400000000001</v>
      </c>
      <c r="G235" s="20">
        <f t="shared" ref="G235:H235" si="43">G236</f>
        <v>0</v>
      </c>
      <c r="H235" s="20">
        <f t="shared" si="43"/>
        <v>0</v>
      </c>
    </row>
    <row r="236" spans="1:9" s="26" customFormat="1" ht="25.5" x14ac:dyDescent="0.2">
      <c r="A236" s="28" t="s">
        <v>141</v>
      </c>
      <c r="B236" s="24" t="s">
        <v>19</v>
      </c>
      <c r="C236" s="24" t="s">
        <v>14</v>
      </c>
      <c r="D236" s="24" t="s">
        <v>692</v>
      </c>
      <c r="E236" s="24" t="s">
        <v>65</v>
      </c>
      <c r="F236" s="25">
        <f>'изменения июль вед стр-ра'!G258</f>
        <v>12187.400000000001</v>
      </c>
      <c r="G236" s="25">
        <f>'изменения июль вед стр-ра'!H258</f>
        <v>0</v>
      </c>
      <c r="H236" s="25">
        <f>'изменения июль вед стр-ра'!I258</f>
        <v>0</v>
      </c>
    </row>
    <row r="237" spans="1:9" s="21" customFormat="1" ht="25.5" x14ac:dyDescent="0.2">
      <c r="A237" s="18" t="s">
        <v>228</v>
      </c>
      <c r="B237" s="19" t="s">
        <v>19</v>
      </c>
      <c r="C237" s="19" t="s">
        <v>14</v>
      </c>
      <c r="D237" s="19" t="s">
        <v>121</v>
      </c>
      <c r="E237" s="19"/>
      <c r="F237" s="20">
        <f>F238+F239+F240</f>
        <v>48898.299999999996</v>
      </c>
      <c r="G237" s="20">
        <f>G238+G239+G240</f>
        <v>46674.7</v>
      </c>
      <c r="H237" s="20">
        <f>H238+H239+H240</f>
        <v>46674.7</v>
      </c>
    </row>
    <row r="238" spans="1:9" s="79" customFormat="1" ht="51" x14ac:dyDescent="0.2">
      <c r="A238" s="80" t="s">
        <v>66</v>
      </c>
      <c r="B238" s="82" t="s">
        <v>19</v>
      </c>
      <c r="C238" s="82" t="s">
        <v>14</v>
      </c>
      <c r="D238" s="82" t="s">
        <v>121</v>
      </c>
      <c r="E238" s="83" t="s">
        <v>67</v>
      </c>
      <c r="F238" s="62">
        <f>'изменения июль вед стр-ра'!G260</f>
        <v>34833.299999999996</v>
      </c>
      <c r="G238" s="62">
        <f>'изменения июль вед стр-ра'!H260</f>
        <v>34853.199999999997</v>
      </c>
      <c r="H238" s="62">
        <f>'изменения июль вед стр-ра'!I260</f>
        <v>34853.199999999997</v>
      </c>
    </row>
    <row r="239" spans="1:9" s="79" customFormat="1" ht="25.5" x14ac:dyDescent="0.2">
      <c r="A239" s="87" t="s">
        <v>76</v>
      </c>
      <c r="B239" s="82" t="s">
        <v>19</v>
      </c>
      <c r="C239" s="82" t="s">
        <v>14</v>
      </c>
      <c r="D239" s="82" t="s">
        <v>121</v>
      </c>
      <c r="E239" s="83" t="s">
        <v>68</v>
      </c>
      <c r="F239" s="62">
        <f>'изменения июль вед стр-ра'!G261</f>
        <v>12979.1</v>
      </c>
      <c r="G239" s="62">
        <f>'изменения июль вед стр-ра'!H261</f>
        <v>11046.2</v>
      </c>
      <c r="H239" s="62">
        <f>'изменения июль вед стр-ра'!I261</f>
        <v>11046.2</v>
      </c>
    </row>
    <row r="240" spans="1:9" s="21" customFormat="1" x14ac:dyDescent="0.2">
      <c r="A240" s="28" t="s">
        <v>72</v>
      </c>
      <c r="B240" s="24" t="s">
        <v>19</v>
      </c>
      <c r="C240" s="24" t="s">
        <v>14</v>
      </c>
      <c r="D240" s="24" t="s">
        <v>121</v>
      </c>
      <c r="E240" s="24" t="s">
        <v>73</v>
      </c>
      <c r="F240" s="62">
        <f>'изменения июль вед стр-ра'!G262</f>
        <v>1085.9000000000001</v>
      </c>
      <c r="G240" s="62">
        <f>'изменения июль вед стр-ра'!H262</f>
        <v>775.3</v>
      </c>
      <c r="H240" s="62">
        <f>'изменения июль вед стр-ра'!I262</f>
        <v>775.3</v>
      </c>
    </row>
    <row r="241" spans="1:9" s="21" customFormat="1" ht="63.75" x14ac:dyDescent="0.2">
      <c r="A241" s="18" t="s">
        <v>579</v>
      </c>
      <c r="B241" s="19" t="s">
        <v>19</v>
      </c>
      <c r="C241" s="19" t="s">
        <v>14</v>
      </c>
      <c r="D241" s="19" t="s">
        <v>119</v>
      </c>
      <c r="E241" s="19"/>
      <c r="F241" s="20">
        <f>F242+F243+F244</f>
        <v>391631.4</v>
      </c>
      <c r="G241" s="20">
        <f>G242+G243+G244</f>
        <v>400168.9</v>
      </c>
      <c r="H241" s="20">
        <f>H242+H243+H244</f>
        <v>400168.9</v>
      </c>
    </row>
    <row r="242" spans="1:9" s="79" customFormat="1" ht="51" x14ac:dyDescent="0.2">
      <c r="A242" s="80" t="s">
        <v>66</v>
      </c>
      <c r="B242" s="82" t="s">
        <v>19</v>
      </c>
      <c r="C242" s="82" t="s">
        <v>14</v>
      </c>
      <c r="D242" s="82" t="s">
        <v>119</v>
      </c>
      <c r="E242" s="83" t="s">
        <v>67</v>
      </c>
      <c r="F242" s="62">
        <f>'изменения июль вед стр-ра'!G264</f>
        <v>67627.399999999994</v>
      </c>
      <c r="G242" s="62">
        <f>'изменения июль вед стр-ра'!H264</f>
        <v>70933.8</v>
      </c>
      <c r="H242" s="62">
        <f>'изменения июль вед стр-ра'!I264</f>
        <v>70933.8</v>
      </c>
    </row>
    <row r="243" spans="1:9" s="79" customFormat="1" ht="25.5" x14ac:dyDescent="0.2">
      <c r="A243" s="87" t="s">
        <v>76</v>
      </c>
      <c r="B243" s="82" t="s">
        <v>19</v>
      </c>
      <c r="C243" s="82" t="s">
        <v>14</v>
      </c>
      <c r="D243" s="82" t="s">
        <v>119</v>
      </c>
      <c r="E243" s="83" t="s">
        <v>68</v>
      </c>
      <c r="F243" s="62">
        <f>'изменения июль вед стр-ра'!G265</f>
        <v>1777.3</v>
      </c>
      <c r="G243" s="62">
        <f>'изменения июль вед стр-ра'!H265</f>
        <v>1869.2</v>
      </c>
      <c r="H243" s="62">
        <f>'изменения июль вед стр-ра'!I265</f>
        <v>1869.2</v>
      </c>
    </row>
    <row r="244" spans="1:9" s="79" customFormat="1" ht="25.5" x14ac:dyDescent="0.2">
      <c r="A244" s="87" t="s">
        <v>141</v>
      </c>
      <c r="B244" s="82" t="s">
        <v>19</v>
      </c>
      <c r="C244" s="82" t="s">
        <v>14</v>
      </c>
      <c r="D244" s="82" t="s">
        <v>119</v>
      </c>
      <c r="E244" s="82" t="s">
        <v>65</v>
      </c>
      <c r="F244" s="62">
        <f>'изменения июль вед стр-ра'!G266</f>
        <v>322226.7</v>
      </c>
      <c r="G244" s="62">
        <f>'изменения июль вед стр-ра'!H266</f>
        <v>327365.90000000002</v>
      </c>
      <c r="H244" s="62">
        <f>'изменения июль вед стр-ра'!I266</f>
        <v>327365.90000000002</v>
      </c>
    </row>
    <row r="245" spans="1:9" s="21" customFormat="1" ht="38.25" x14ac:dyDescent="0.2">
      <c r="A245" s="18" t="s">
        <v>230</v>
      </c>
      <c r="B245" s="19" t="s">
        <v>19</v>
      </c>
      <c r="C245" s="19" t="s">
        <v>14</v>
      </c>
      <c r="D245" s="19" t="s">
        <v>120</v>
      </c>
      <c r="E245" s="19"/>
      <c r="F245" s="20">
        <f>F246</f>
        <v>3738</v>
      </c>
      <c r="G245" s="20">
        <f t="shared" ref="G245:H245" si="44">G246</f>
        <v>3738</v>
      </c>
      <c r="H245" s="20">
        <f t="shared" si="44"/>
        <v>3738</v>
      </c>
    </row>
    <row r="246" spans="1:9" s="21" customFormat="1" ht="25.5" x14ac:dyDescent="0.2">
      <c r="A246" s="28" t="s">
        <v>76</v>
      </c>
      <c r="B246" s="24" t="s">
        <v>19</v>
      </c>
      <c r="C246" s="24" t="s">
        <v>14</v>
      </c>
      <c r="D246" s="24" t="s">
        <v>120</v>
      </c>
      <c r="E246" s="27" t="s">
        <v>68</v>
      </c>
      <c r="F246" s="25">
        <f>'изменения июль вед стр-ра'!G268</f>
        <v>3738</v>
      </c>
      <c r="G246" s="25">
        <f>'изменения июль вед стр-ра'!H268</f>
        <v>3738</v>
      </c>
      <c r="H246" s="25">
        <f>'изменения июль вед стр-ра'!I268</f>
        <v>3738</v>
      </c>
    </row>
    <row r="247" spans="1:9" s="21" customFormat="1" ht="51" x14ac:dyDescent="0.2">
      <c r="A247" s="18" t="s">
        <v>344</v>
      </c>
      <c r="B247" s="19" t="s">
        <v>19</v>
      </c>
      <c r="C247" s="19" t="s">
        <v>14</v>
      </c>
      <c r="D247" s="19" t="s">
        <v>232</v>
      </c>
      <c r="E247" s="19"/>
      <c r="F247" s="20">
        <f>F248</f>
        <v>68271.09</v>
      </c>
      <c r="G247" s="20">
        <f>G248</f>
        <v>51697.999999999993</v>
      </c>
      <c r="H247" s="20">
        <f>H248</f>
        <v>19586.399999999994</v>
      </c>
      <c r="I247" s="117"/>
    </row>
    <row r="248" spans="1:9" s="21" customFormat="1" ht="25.5" x14ac:dyDescent="0.2">
      <c r="A248" s="28" t="s">
        <v>141</v>
      </c>
      <c r="B248" s="24" t="s">
        <v>19</v>
      </c>
      <c r="C248" s="24" t="s">
        <v>14</v>
      </c>
      <c r="D248" s="24" t="s">
        <v>232</v>
      </c>
      <c r="E248" s="24" t="s">
        <v>65</v>
      </c>
      <c r="F248" s="25">
        <f>'изменения июль вед стр-ра'!G270</f>
        <v>68271.09</v>
      </c>
      <c r="G248" s="25">
        <f>'изменения июль вед стр-ра'!H270</f>
        <v>51697.999999999993</v>
      </c>
      <c r="H248" s="25">
        <f>'изменения июль вед стр-ра'!I270</f>
        <v>19586.399999999994</v>
      </c>
      <c r="I248" s="117"/>
    </row>
    <row r="249" spans="1:9" s="79" customFormat="1" ht="51" x14ac:dyDescent="0.2">
      <c r="A249" s="75" t="s">
        <v>235</v>
      </c>
      <c r="B249" s="77" t="s">
        <v>19</v>
      </c>
      <c r="C249" s="77" t="s">
        <v>14</v>
      </c>
      <c r="D249" s="77" t="s">
        <v>234</v>
      </c>
      <c r="E249" s="77"/>
      <c r="F249" s="78">
        <f>F250+F251+F252</f>
        <v>6248.4000000000005</v>
      </c>
      <c r="G249" s="78">
        <f>G250+G251+G252</f>
        <v>6143.2000000000007</v>
      </c>
      <c r="H249" s="78">
        <f>H250+H251+H252</f>
        <v>5402.6</v>
      </c>
    </row>
    <row r="250" spans="1:9" s="79" customFormat="1" ht="51" x14ac:dyDescent="0.2">
      <c r="A250" s="80" t="s">
        <v>66</v>
      </c>
      <c r="B250" s="82" t="s">
        <v>19</v>
      </c>
      <c r="C250" s="82" t="s">
        <v>14</v>
      </c>
      <c r="D250" s="82" t="s">
        <v>234</v>
      </c>
      <c r="E250" s="83" t="s">
        <v>67</v>
      </c>
      <c r="F250" s="62">
        <f>'изменения июль вед стр-ра'!G272</f>
        <v>3.3</v>
      </c>
      <c r="G250" s="62">
        <f>'изменения июль вед стр-ра'!H272</f>
        <v>3.3</v>
      </c>
      <c r="H250" s="62">
        <f>'изменения июль вед стр-ра'!I272</f>
        <v>3.3</v>
      </c>
    </row>
    <row r="251" spans="1:9" s="21" customFormat="1" ht="25.5" x14ac:dyDescent="0.2">
      <c r="A251" s="28" t="s">
        <v>76</v>
      </c>
      <c r="B251" s="24" t="s">
        <v>19</v>
      </c>
      <c r="C251" s="24" t="s">
        <v>14</v>
      </c>
      <c r="D251" s="24" t="s">
        <v>234</v>
      </c>
      <c r="E251" s="27" t="s">
        <v>68</v>
      </c>
      <c r="F251" s="62">
        <f>'изменения июль вед стр-ра'!G273</f>
        <v>5775.3</v>
      </c>
      <c r="G251" s="62">
        <f>'изменения июль вед стр-ра'!H273</f>
        <v>4930.1000000000004</v>
      </c>
      <c r="H251" s="62">
        <f>'изменения июль вед стр-ра'!I273</f>
        <v>4189.5</v>
      </c>
      <c r="I251" s="117"/>
    </row>
    <row r="252" spans="1:9" s="21" customFormat="1" x14ac:dyDescent="0.2">
      <c r="A252" s="28" t="s">
        <v>72</v>
      </c>
      <c r="B252" s="24" t="s">
        <v>19</v>
      </c>
      <c r="C252" s="24" t="s">
        <v>14</v>
      </c>
      <c r="D252" s="24" t="s">
        <v>234</v>
      </c>
      <c r="E252" s="24" t="s">
        <v>73</v>
      </c>
      <c r="F252" s="62">
        <f>'изменения июль вед стр-ра'!G274</f>
        <v>469.79999999999995</v>
      </c>
      <c r="G252" s="62">
        <f>'изменения июль вед стр-ра'!H274</f>
        <v>1209.8</v>
      </c>
      <c r="H252" s="62">
        <f>'изменения июль вед стр-ра'!I274</f>
        <v>1209.8</v>
      </c>
      <c r="I252" s="117"/>
    </row>
    <row r="253" spans="1:9" s="21" customFormat="1" ht="51" x14ac:dyDescent="0.2">
      <c r="A253" s="18" t="s">
        <v>235</v>
      </c>
      <c r="B253" s="19" t="s">
        <v>19</v>
      </c>
      <c r="C253" s="19" t="s">
        <v>14</v>
      </c>
      <c r="D253" s="19" t="s">
        <v>238</v>
      </c>
      <c r="E253" s="19"/>
      <c r="F253" s="20">
        <f>F254+F255</f>
        <v>759.8</v>
      </c>
      <c r="G253" s="20">
        <f t="shared" ref="G253:H253" si="45">G254+G255</f>
        <v>759.8</v>
      </c>
      <c r="H253" s="20">
        <f t="shared" si="45"/>
        <v>707.5</v>
      </c>
    </row>
    <row r="254" spans="1:9" s="21" customFormat="1" ht="25.5" x14ac:dyDescent="0.2">
      <c r="A254" s="28" t="s">
        <v>76</v>
      </c>
      <c r="B254" s="24" t="s">
        <v>19</v>
      </c>
      <c r="C254" s="24" t="s">
        <v>14</v>
      </c>
      <c r="D254" s="24" t="s">
        <v>238</v>
      </c>
      <c r="E254" s="27" t="s">
        <v>68</v>
      </c>
      <c r="F254" s="25">
        <f>'изменения июль вед стр-ра'!G276</f>
        <v>747.8</v>
      </c>
      <c r="G254" s="25">
        <f>'изменения июль вед стр-ра'!H276</f>
        <v>759.8</v>
      </c>
      <c r="H254" s="25">
        <f>'изменения июль вед стр-ра'!I276</f>
        <v>707.5</v>
      </c>
    </row>
    <row r="255" spans="1:9" s="26" customFormat="1" ht="12" customHeight="1" x14ac:dyDescent="0.2">
      <c r="A255" s="28" t="s">
        <v>72</v>
      </c>
      <c r="B255" s="24" t="s">
        <v>19</v>
      </c>
      <c r="C255" s="24" t="s">
        <v>14</v>
      </c>
      <c r="D255" s="24" t="s">
        <v>238</v>
      </c>
      <c r="E255" s="27" t="s">
        <v>73</v>
      </c>
      <c r="F255" s="25">
        <f>'изменения июль вед стр-ра'!G277</f>
        <v>12</v>
      </c>
      <c r="G255" s="25">
        <f>'изменения июль вед стр-ра'!H277</f>
        <v>0</v>
      </c>
      <c r="H255" s="25">
        <f>'изменения июль вед стр-ра'!I277</f>
        <v>0</v>
      </c>
    </row>
    <row r="256" spans="1:9" s="21" customFormat="1" ht="25.5" x14ac:dyDescent="0.2">
      <c r="A256" s="18" t="s">
        <v>231</v>
      </c>
      <c r="B256" s="19" t="s">
        <v>19</v>
      </c>
      <c r="C256" s="19" t="s">
        <v>14</v>
      </c>
      <c r="D256" s="19" t="s">
        <v>137</v>
      </c>
      <c r="E256" s="19"/>
      <c r="F256" s="20">
        <f>F258+F257</f>
        <v>249.7</v>
      </c>
      <c r="G256" s="20">
        <f t="shared" ref="G256:H256" si="46">G258+G257</f>
        <v>249.7</v>
      </c>
      <c r="H256" s="20">
        <f t="shared" si="46"/>
        <v>249.7</v>
      </c>
    </row>
    <row r="257" spans="1:9" s="26" customFormat="1" ht="25.5" x14ac:dyDescent="0.2">
      <c r="A257" s="28" t="s">
        <v>76</v>
      </c>
      <c r="B257" s="24" t="s">
        <v>19</v>
      </c>
      <c r="C257" s="24" t="s">
        <v>14</v>
      </c>
      <c r="D257" s="24" t="s">
        <v>137</v>
      </c>
      <c r="E257" s="27" t="s">
        <v>68</v>
      </c>
      <c r="F257" s="25">
        <f>'изменения июль вед стр-ра'!G279</f>
        <v>57.7</v>
      </c>
      <c r="G257" s="25">
        <f>'изменения июль вед стр-ра'!H279</f>
        <v>57.7</v>
      </c>
      <c r="H257" s="25">
        <f>'изменения июль вед стр-ра'!I279</f>
        <v>57.7</v>
      </c>
      <c r="I257" s="25">
        <f>'изменения июль вед стр-ра'!J279</f>
        <v>0</v>
      </c>
    </row>
    <row r="258" spans="1:9" s="21" customFormat="1" ht="25.5" x14ac:dyDescent="0.2">
      <c r="A258" s="28" t="s">
        <v>141</v>
      </c>
      <c r="B258" s="24" t="s">
        <v>19</v>
      </c>
      <c r="C258" s="24" t="s">
        <v>14</v>
      </c>
      <c r="D258" s="24" t="s">
        <v>137</v>
      </c>
      <c r="E258" s="24" t="s">
        <v>65</v>
      </c>
      <c r="F258" s="25">
        <f>'изменения июль вед стр-ра'!G280</f>
        <v>192</v>
      </c>
      <c r="G258" s="25">
        <f>'изменения июль вед стр-ра'!H280</f>
        <v>192</v>
      </c>
      <c r="H258" s="25">
        <f>'изменения июль вед стр-ра'!I280</f>
        <v>192</v>
      </c>
      <c r="I258" s="25">
        <f>'изменения июль вед стр-ра'!J280</f>
        <v>0</v>
      </c>
    </row>
    <row r="259" spans="1:9" s="21" customFormat="1" ht="25.5" x14ac:dyDescent="0.2">
      <c r="A259" s="18" t="s">
        <v>236</v>
      </c>
      <c r="B259" s="19" t="s">
        <v>19</v>
      </c>
      <c r="C259" s="19" t="s">
        <v>14</v>
      </c>
      <c r="D259" s="19" t="s">
        <v>138</v>
      </c>
      <c r="E259" s="19"/>
      <c r="F259" s="20">
        <f>F261+F260</f>
        <v>1209</v>
      </c>
      <c r="G259" s="20">
        <f>G261+G260</f>
        <v>1209</v>
      </c>
      <c r="H259" s="20">
        <f>H261+H260</f>
        <v>1209</v>
      </c>
    </row>
    <row r="260" spans="1:9" s="9" customFormat="1" x14ac:dyDescent="0.2">
      <c r="A260" s="28" t="s">
        <v>69</v>
      </c>
      <c r="B260" s="24" t="s">
        <v>19</v>
      </c>
      <c r="C260" s="24" t="s">
        <v>14</v>
      </c>
      <c r="D260" s="19" t="s">
        <v>138</v>
      </c>
      <c r="E260" s="24" t="s">
        <v>70</v>
      </c>
      <c r="F260" s="25">
        <f>'изменения июль вед стр-ра'!G282</f>
        <v>30</v>
      </c>
      <c r="G260" s="25">
        <f>'изменения июль вед стр-ра'!H282</f>
        <v>30</v>
      </c>
      <c r="H260" s="25">
        <f>'изменения июль вед стр-ра'!I282</f>
        <v>30</v>
      </c>
    </row>
    <row r="261" spans="1:9" s="21" customFormat="1" ht="25.5" x14ac:dyDescent="0.2">
      <c r="A261" s="28" t="s">
        <v>141</v>
      </c>
      <c r="B261" s="24" t="s">
        <v>19</v>
      </c>
      <c r="C261" s="24" t="s">
        <v>14</v>
      </c>
      <c r="D261" s="19" t="s">
        <v>138</v>
      </c>
      <c r="E261" s="24" t="s">
        <v>65</v>
      </c>
      <c r="F261" s="25">
        <f>'изменения июль вед стр-ра'!G283</f>
        <v>1179</v>
      </c>
      <c r="G261" s="25">
        <f>'изменения июль вед стр-ра'!H283</f>
        <v>1179</v>
      </c>
      <c r="H261" s="25">
        <f>'изменения июль вед стр-ра'!I283</f>
        <v>1179</v>
      </c>
    </row>
    <row r="262" spans="1:9" s="79" customFormat="1" x14ac:dyDescent="0.2">
      <c r="A262" s="75" t="s">
        <v>347</v>
      </c>
      <c r="B262" s="77" t="s">
        <v>19</v>
      </c>
      <c r="C262" s="77" t="s">
        <v>14</v>
      </c>
      <c r="D262" s="77" t="s">
        <v>330</v>
      </c>
      <c r="E262" s="77"/>
      <c r="F262" s="78">
        <f>F264+F263</f>
        <v>400</v>
      </c>
      <c r="G262" s="78">
        <f>G264+G263</f>
        <v>250</v>
      </c>
      <c r="H262" s="78">
        <f>H264+H263</f>
        <v>250</v>
      </c>
    </row>
    <row r="263" spans="1:9" s="21" customFormat="1" x14ac:dyDescent="0.2">
      <c r="A263" s="28" t="s">
        <v>69</v>
      </c>
      <c r="B263" s="24" t="s">
        <v>19</v>
      </c>
      <c r="C263" s="24" t="s">
        <v>14</v>
      </c>
      <c r="D263" s="19" t="s">
        <v>330</v>
      </c>
      <c r="E263" s="24" t="s">
        <v>70</v>
      </c>
      <c r="F263" s="25">
        <f>'изменения июль вед стр-ра'!G285</f>
        <v>12</v>
      </c>
      <c r="G263" s="25">
        <f>'изменения июль вед стр-ра'!H285</f>
        <v>2</v>
      </c>
      <c r="H263" s="25">
        <f>'изменения июль вед стр-ра'!I285</f>
        <v>2</v>
      </c>
    </row>
    <row r="264" spans="1:9" s="79" customFormat="1" ht="25.5" x14ac:dyDescent="0.2">
      <c r="A264" s="87" t="s">
        <v>141</v>
      </c>
      <c r="B264" s="82" t="s">
        <v>19</v>
      </c>
      <c r="C264" s="82" t="s">
        <v>14</v>
      </c>
      <c r="D264" s="77" t="s">
        <v>330</v>
      </c>
      <c r="E264" s="82" t="s">
        <v>65</v>
      </c>
      <c r="F264" s="25">
        <f>'изменения июль вед стр-ра'!G286</f>
        <v>388</v>
      </c>
      <c r="G264" s="25">
        <f>'изменения июль вед стр-ра'!H286</f>
        <v>248</v>
      </c>
      <c r="H264" s="25">
        <f>'изменения июль вед стр-ра'!I286</f>
        <v>248</v>
      </c>
    </row>
    <row r="265" spans="1:9" s="21" customFormat="1" x14ac:dyDescent="0.2">
      <c r="A265" s="11" t="s">
        <v>331</v>
      </c>
      <c r="B265" s="8" t="s">
        <v>19</v>
      </c>
      <c r="C265" s="8" t="s">
        <v>16</v>
      </c>
      <c r="D265" s="8"/>
      <c r="E265" s="8"/>
      <c r="F265" s="4">
        <f>F272+F270+F268+F266+F275</f>
        <v>178335</v>
      </c>
      <c r="G265" s="4">
        <f t="shared" ref="G265:H265" si="47">G272+G270+G268+G266+G275</f>
        <v>163279.4</v>
      </c>
      <c r="H265" s="4">
        <f t="shared" si="47"/>
        <v>161130.6</v>
      </c>
      <c r="I265" s="117"/>
    </row>
    <row r="266" spans="1:9" s="21" customFormat="1" ht="25.5" x14ac:dyDescent="0.2">
      <c r="A266" s="17" t="s">
        <v>163</v>
      </c>
      <c r="B266" s="19" t="s">
        <v>19</v>
      </c>
      <c r="C266" s="19" t="s">
        <v>16</v>
      </c>
      <c r="D266" s="19" t="s">
        <v>162</v>
      </c>
      <c r="E266" s="5"/>
      <c r="F266" s="6">
        <f>F267</f>
        <v>4135</v>
      </c>
      <c r="G266" s="6">
        <f t="shared" ref="G266:H266" si="48">G267</f>
        <v>2375.6999999999998</v>
      </c>
      <c r="H266" s="6">
        <f t="shared" si="48"/>
        <v>2375.6999999999998</v>
      </c>
      <c r="I266" s="117"/>
    </row>
    <row r="267" spans="1:9" s="21" customFormat="1" ht="25.5" x14ac:dyDescent="0.2">
      <c r="A267" s="28" t="s">
        <v>141</v>
      </c>
      <c r="B267" s="24" t="s">
        <v>19</v>
      </c>
      <c r="C267" s="24" t="s">
        <v>16</v>
      </c>
      <c r="D267" s="24" t="s">
        <v>162</v>
      </c>
      <c r="E267" s="24" t="s">
        <v>65</v>
      </c>
      <c r="F267" s="25">
        <f>'изменения июль вед стр-ра'!G289+'изменения июль вед стр-ра'!G371</f>
        <v>4135</v>
      </c>
      <c r="G267" s="25">
        <f>'изменения июль вед стр-ра'!H289+'изменения июль вед стр-ра'!H371</f>
        <v>2375.6999999999998</v>
      </c>
      <c r="H267" s="25">
        <f>'изменения июль вед стр-ра'!I289+'изменения июль вед стр-ра'!I371</f>
        <v>2375.6999999999998</v>
      </c>
      <c r="I267" s="117"/>
    </row>
    <row r="268" spans="1:9" s="21" customFormat="1" x14ac:dyDescent="0.2">
      <c r="A268" s="18" t="s">
        <v>172</v>
      </c>
      <c r="B268" s="19" t="s">
        <v>19</v>
      </c>
      <c r="C268" s="19" t="s">
        <v>16</v>
      </c>
      <c r="D268" s="19" t="s">
        <v>171</v>
      </c>
      <c r="E268" s="19"/>
      <c r="F268" s="20">
        <f>F269</f>
        <v>0</v>
      </c>
      <c r="G268" s="20">
        <f t="shared" ref="G268:H268" si="49">G269</f>
        <v>8000</v>
      </c>
      <c r="H268" s="20">
        <f t="shared" si="49"/>
        <v>8812.6</v>
      </c>
      <c r="I268" s="117"/>
    </row>
    <row r="269" spans="1:9" s="26" customFormat="1" ht="23.25" customHeight="1" x14ac:dyDescent="0.2">
      <c r="A269" s="28" t="s">
        <v>83</v>
      </c>
      <c r="B269" s="24" t="s">
        <v>19</v>
      </c>
      <c r="C269" s="24" t="s">
        <v>16</v>
      </c>
      <c r="D269" s="24" t="s">
        <v>171</v>
      </c>
      <c r="E269" s="24" t="s">
        <v>71</v>
      </c>
      <c r="F269" s="25">
        <f>'изменения июль вед стр-ра'!G373</f>
        <v>0</v>
      </c>
      <c r="G269" s="25">
        <f>'изменения июль вед стр-ра'!H373</f>
        <v>8000</v>
      </c>
      <c r="H269" s="25">
        <f>'изменения июль вед стр-ра'!I373</f>
        <v>8812.6</v>
      </c>
      <c r="I269" s="118"/>
    </row>
    <row r="270" spans="1:9" s="21" customFormat="1" ht="25.5" x14ac:dyDescent="0.2">
      <c r="A270" s="18" t="s">
        <v>231</v>
      </c>
      <c r="B270" s="19" t="s">
        <v>19</v>
      </c>
      <c r="C270" s="19" t="s">
        <v>16</v>
      </c>
      <c r="D270" s="19" t="s">
        <v>137</v>
      </c>
      <c r="E270" s="19"/>
      <c r="F270" s="20">
        <f>F271</f>
        <v>115.3</v>
      </c>
      <c r="G270" s="20">
        <f t="shared" ref="G270:H270" si="50">G271</f>
        <v>115.3</v>
      </c>
      <c r="H270" s="20">
        <f t="shared" si="50"/>
        <v>115.3</v>
      </c>
    </row>
    <row r="271" spans="1:9" s="21" customFormat="1" ht="25.5" x14ac:dyDescent="0.2">
      <c r="A271" s="28" t="s">
        <v>141</v>
      </c>
      <c r="B271" s="24" t="s">
        <v>19</v>
      </c>
      <c r="C271" s="24" t="s">
        <v>16</v>
      </c>
      <c r="D271" s="24" t="s">
        <v>137</v>
      </c>
      <c r="E271" s="24" t="s">
        <v>65</v>
      </c>
      <c r="F271" s="25">
        <f>'изменения июль вед стр-ра'!G291</f>
        <v>115.3</v>
      </c>
      <c r="G271" s="25">
        <f>'изменения июль вед стр-ра'!H291</f>
        <v>115.3</v>
      </c>
      <c r="H271" s="25">
        <f>'изменения июль вед стр-ра'!I291</f>
        <v>115.3</v>
      </c>
    </row>
    <row r="272" spans="1:9" s="21" customFormat="1" ht="52.5" customHeight="1" x14ac:dyDescent="0.2">
      <c r="A272" s="18" t="s">
        <v>344</v>
      </c>
      <c r="B272" s="19" t="s">
        <v>19</v>
      </c>
      <c r="C272" s="19" t="s">
        <v>16</v>
      </c>
      <c r="D272" s="19" t="s">
        <v>233</v>
      </c>
      <c r="E272" s="19"/>
      <c r="F272" s="20">
        <f>F274+F273</f>
        <v>168005.5</v>
      </c>
      <c r="G272" s="20">
        <f t="shared" ref="G272:H272" si="51">G274+G273</f>
        <v>152788.4</v>
      </c>
      <c r="H272" s="20">
        <f t="shared" si="51"/>
        <v>149827</v>
      </c>
      <c r="I272" s="117"/>
    </row>
    <row r="273" spans="1:9" s="26" customFormat="1" x14ac:dyDescent="0.2">
      <c r="A273" s="28" t="s">
        <v>69</v>
      </c>
      <c r="B273" s="24" t="s">
        <v>19</v>
      </c>
      <c r="C273" s="24" t="s">
        <v>16</v>
      </c>
      <c r="D273" s="24" t="s">
        <v>233</v>
      </c>
      <c r="E273" s="27" t="s">
        <v>70</v>
      </c>
      <c r="F273" s="25">
        <f>'изменения июль вед стр-ра'!G375</f>
        <v>30</v>
      </c>
      <c r="G273" s="25">
        <f>'изменения июль вед стр-ра'!H375</f>
        <v>30</v>
      </c>
      <c r="H273" s="25">
        <f>'изменения июль вед стр-ра'!I375</f>
        <v>30</v>
      </c>
    </row>
    <row r="274" spans="1:9" s="21" customFormat="1" ht="25.5" x14ac:dyDescent="0.2">
      <c r="A274" s="28" t="s">
        <v>141</v>
      </c>
      <c r="B274" s="24" t="s">
        <v>19</v>
      </c>
      <c r="C274" s="24" t="s">
        <v>16</v>
      </c>
      <c r="D274" s="24" t="s">
        <v>233</v>
      </c>
      <c r="E274" s="24" t="s">
        <v>65</v>
      </c>
      <c r="F274" s="62">
        <f>'изменения июль вед стр-ра'!G376+'изменения июль вед стр-ра'!G293</f>
        <v>167975.5</v>
      </c>
      <c r="G274" s="62">
        <f>'изменения июль вед стр-ра'!H376+'изменения июль вед стр-ра'!H293</f>
        <v>152758.39999999999</v>
      </c>
      <c r="H274" s="62">
        <f>'изменения июль вед стр-ра'!I376+'изменения июль вед стр-ра'!I293</f>
        <v>149797</v>
      </c>
      <c r="I274" s="117"/>
    </row>
    <row r="275" spans="1:9" ht="25.5" x14ac:dyDescent="0.2">
      <c r="A275" s="18" t="s">
        <v>701</v>
      </c>
      <c r="B275" s="19" t="s">
        <v>19</v>
      </c>
      <c r="C275" s="19" t="s">
        <v>16</v>
      </c>
      <c r="D275" s="19" t="s">
        <v>702</v>
      </c>
      <c r="E275" s="19"/>
      <c r="F275" s="62">
        <f>F276</f>
        <v>6079.2</v>
      </c>
      <c r="G275" s="62">
        <f t="shared" ref="G275:H275" si="52">G276</f>
        <v>0</v>
      </c>
      <c r="H275" s="62">
        <f t="shared" si="52"/>
        <v>0</v>
      </c>
      <c r="I275" s="237"/>
    </row>
    <row r="276" spans="1:9" ht="25.5" x14ac:dyDescent="0.2">
      <c r="A276" s="28" t="s">
        <v>141</v>
      </c>
      <c r="B276" s="24" t="s">
        <v>19</v>
      </c>
      <c r="C276" s="24" t="s">
        <v>16</v>
      </c>
      <c r="D276" s="24" t="s">
        <v>702</v>
      </c>
      <c r="E276" s="24" t="s">
        <v>65</v>
      </c>
      <c r="F276" s="62">
        <f>'изменения июль вед стр-ра'!G295</f>
        <v>6079.2</v>
      </c>
      <c r="G276" s="62">
        <f>'изменения июль вед стр-ра'!H295</f>
        <v>0</v>
      </c>
      <c r="H276" s="62">
        <f>'изменения июль вед стр-ра'!I295</f>
        <v>0</v>
      </c>
      <c r="I276" s="237"/>
    </row>
    <row r="277" spans="1:9" s="21" customFormat="1" x14ac:dyDescent="0.2">
      <c r="A277" s="11" t="s">
        <v>40</v>
      </c>
      <c r="B277" s="8" t="s">
        <v>19</v>
      </c>
      <c r="C277" s="8" t="s">
        <v>19</v>
      </c>
      <c r="D277" s="8"/>
      <c r="E277" s="8"/>
      <c r="F277" s="4">
        <f>F280+F278+F282</f>
        <v>468.29999999999995</v>
      </c>
      <c r="G277" s="4">
        <f t="shared" ref="G277:H277" si="53">G280+G278+G282</f>
        <v>341.7</v>
      </c>
      <c r="H277" s="4">
        <f t="shared" si="53"/>
        <v>341.7</v>
      </c>
      <c r="I277" s="4">
        <f t="shared" ref="I277" si="54">I280+I278+I282</f>
        <v>0</v>
      </c>
    </row>
    <row r="278" spans="1:9" s="21" customFormat="1" x14ac:dyDescent="0.2">
      <c r="A278" s="18" t="s">
        <v>262</v>
      </c>
      <c r="B278" s="19" t="s">
        <v>19</v>
      </c>
      <c r="C278" s="19" t="s">
        <v>19</v>
      </c>
      <c r="D278" s="19" t="s">
        <v>139</v>
      </c>
      <c r="E278" s="19"/>
      <c r="F278" s="20">
        <f t="shared" ref="F278:H278" si="55">F279</f>
        <v>219.6</v>
      </c>
      <c r="G278" s="20">
        <f t="shared" si="55"/>
        <v>193</v>
      </c>
      <c r="H278" s="20">
        <f t="shared" si="55"/>
        <v>193</v>
      </c>
    </row>
    <row r="279" spans="1:9" s="21" customFormat="1" ht="51" x14ac:dyDescent="0.2">
      <c r="A279" s="23" t="s">
        <v>66</v>
      </c>
      <c r="B279" s="24" t="s">
        <v>19</v>
      </c>
      <c r="C279" s="24" t="s">
        <v>19</v>
      </c>
      <c r="D279" s="24" t="s">
        <v>139</v>
      </c>
      <c r="E279" s="27" t="s">
        <v>67</v>
      </c>
      <c r="F279" s="25">
        <f>'изменения июль вед стр-ра'!G421</f>
        <v>219.6</v>
      </c>
      <c r="G279" s="25">
        <f>'изменения июль вед стр-ра'!H421</f>
        <v>193</v>
      </c>
      <c r="H279" s="25">
        <f>'изменения июль вед стр-ра'!I421</f>
        <v>193</v>
      </c>
    </row>
    <row r="280" spans="1:9" s="21" customFormat="1" ht="25.5" x14ac:dyDescent="0.2">
      <c r="A280" s="18" t="s">
        <v>176</v>
      </c>
      <c r="B280" s="19" t="s">
        <v>19</v>
      </c>
      <c r="C280" s="19" t="s">
        <v>19</v>
      </c>
      <c r="D280" s="19" t="s">
        <v>175</v>
      </c>
      <c r="E280" s="19"/>
      <c r="F280" s="20">
        <f>F281</f>
        <v>216.7</v>
      </c>
      <c r="G280" s="20">
        <f>G281</f>
        <v>116.7</v>
      </c>
      <c r="H280" s="20">
        <f>H281</f>
        <v>116.7</v>
      </c>
    </row>
    <row r="281" spans="1:9" s="21" customFormat="1" ht="25.5" x14ac:dyDescent="0.2">
      <c r="A281" s="28" t="s">
        <v>76</v>
      </c>
      <c r="B281" s="24" t="s">
        <v>19</v>
      </c>
      <c r="C281" s="24" t="s">
        <v>19</v>
      </c>
      <c r="D281" s="24" t="s">
        <v>175</v>
      </c>
      <c r="E281" s="27" t="s">
        <v>68</v>
      </c>
      <c r="F281" s="25">
        <f>'изменения июль вед стр-ра'!G104</f>
        <v>216.7</v>
      </c>
      <c r="G281" s="25">
        <f>'изменения июль вед стр-ра'!H104</f>
        <v>116.7</v>
      </c>
      <c r="H281" s="25">
        <f>'изменения июль вед стр-ра'!I104</f>
        <v>116.7</v>
      </c>
    </row>
    <row r="282" spans="1:9" ht="25.5" x14ac:dyDescent="0.2">
      <c r="A282" s="18" t="s">
        <v>734</v>
      </c>
      <c r="B282" s="19" t="s">
        <v>19</v>
      </c>
      <c r="C282" s="19" t="s">
        <v>19</v>
      </c>
      <c r="D282" s="19" t="s">
        <v>733</v>
      </c>
      <c r="E282" s="19"/>
      <c r="F282" s="20">
        <f>F284+F283</f>
        <v>32</v>
      </c>
      <c r="G282" s="20">
        <f>G284+G283</f>
        <v>32</v>
      </c>
      <c r="H282" s="20">
        <f>H284+H283</f>
        <v>32</v>
      </c>
      <c r="I282" s="237"/>
    </row>
    <row r="283" spans="1:9" ht="51" x14ac:dyDescent="0.2">
      <c r="A283" s="23" t="s">
        <v>66</v>
      </c>
      <c r="B283" s="24" t="s">
        <v>19</v>
      </c>
      <c r="C283" s="24" t="s">
        <v>19</v>
      </c>
      <c r="D283" s="24" t="s">
        <v>733</v>
      </c>
      <c r="E283" s="27" t="s">
        <v>67</v>
      </c>
      <c r="F283" s="25">
        <f>'изменения июль вед стр-ра'!G418</f>
        <v>19.34</v>
      </c>
      <c r="G283" s="25">
        <f>'изменения июль вед стр-ра'!H418</f>
        <v>16.899999999999999</v>
      </c>
      <c r="H283" s="25">
        <f>'изменения июль вед стр-ра'!I418</f>
        <v>16.899999999999999</v>
      </c>
      <c r="I283" s="237"/>
    </row>
    <row r="284" spans="1:9" ht="25.5" x14ac:dyDescent="0.2">
      <c r="A284" s="28" t="s">
        <v>76</v>
      </c>
      <c r="B284" s="24" t="s">
        <v>19</v>
      </c>
      <c r="C284" s="24" t="s">
        <v>19</v>
      </c>
      <c r="D284" s="24" t="s">
        <v>733</v>
      </c>
      <c r="E284" s="27" t="s">
        <v>68</v>
      </c>
      <c r="F284" s="25">
        <f>'изменения июль вед стр-ра'!G419</f>
        <v>12.66</v>
      </c>
      <c r="G284" s="25">
        <f>'изменения июль вед стр-ра'!H419</f>
        <v>15.1</v>
      </c>
      <c r="H284" s="25">
        <f>'изменения июль вед стр-ра'!I419</f>
        <v>15.1</v>
      </c>
      <c r="I284" s="237"/>
    </row>
    <row r="285" spans="1:9" s="79" customFormat="1" x14ac:dyDescent="0.2">
      <c r="A285" s="70" t="s">
        <v>41</v>
      </c>
      <c r="B285" s="72" t="s">
        <v>19</v>
      </c>
      <c r="C285" s="72" t="s">
        <v>26</v>
      </c>
      <c r="D285" s="72"/>
      <c r="E285" s="72"/>
      <c r="F285" s="73">
        <f>F294+F297+F299+F302+F305+F309+F312+F314+F291+F286+F289</f>
        <v>81624.100000000006</v>
      </c>
      <c r="G285" s="73">
        <f t="shared" ref="G285:H285" si="56">G294+G297+G299+G302+G305+G309+G312+G314+G291+G286+G289</f>
        <v>74475.599999999991</v>
      </c>
      <c r="H285" s="73">
        <f t="shared" si="56"/>
        <v>73268</v>
      </c>
      <c r="I285" s="73">
        <f t="shared" ref="I285" si="57">I294+I297+I299+I302+I305+I309+I312+I314+I291+I286</f>
        <v>0</v>
      </c>
    </row>
    <row r="286" spans="1:9" s="79" customFormat="1" ht="25.5" x14ac:dyDescent="0.2">
      <c r="A286" s="89" t="s">
        <v>163</v>
      </c>
      <c r="B286" s="77" t="s">
        <v>19</v>
      </c>
      <c r="C286" s="77" t="s">
        <v>26</v>
      </c>
      <c r="D286" s="77" t="s">
        <v>162</v>
      </c>
      <c r="E286" s="90"/>
      <c r="F286" s="91">
        <f>F288+F287</f>
        <v>173.7</v>
      </c>
      <c r="G286" s="91">
        <f t="shared" ref="G286:H286" si="58">G288+G287</f>
        <v>173.7</v>
      </c>
      <c r="H286" s="91">
        <f t="shared" si="58"/>
        <v>173.7</v>
      </c>
    </row>
    <row r="287" spans="1:9" s="79" customFormat="1" ht="25.5" x14ac:dyDescent="0.2">
      <c r="A287" s="28" t="s">
        <v>76</v>
      </c>
      <c r="B287" s="82" t="s">
        <v>19</v>
      </c>
      <c r="C287" s="82" t="s">
        <v>26</v>
      </c>
      <c r="D287" s="82" t="s">
        <v>162</v>
      </c>
      <c r="E287" s="82" t="s">
        <v>68</v>
      </c>
      <c r="F287" s="62">
        <f>'изменения июль вед стр-ра'!G298</f>
        <v>110</v>
      </c>
      <c r="G287" s="62">
        <f>'изменения июль вед стр-ра'!H298</f>
        <v>110</v>
      </c>
      <c r="H287" s="62">
        <f>'изменения июль вед стр-ра'!I298</f>
        <v>110</v>
      </c>
    </row>
    <row r="288" spans="1:9" s="79" customFormat="1" ht="25.5" x14ac:dyDescent="0.2">
      <c r="A288" s="87" t="s">
        <v>141</v>
      </c>
      <c r="B288" s="82" t="s">
        <v>19</v>
      </c>
      <c r="C288" s="82" t="s">
        <v>26</v>
      </c>
      <c r="D288" s="82" t="s">
        <v>162</v>
      </c>
      <c r="E288" s="82" t="s">
        <v>65</v>
      </c>
      <c r="F288" s="62">
        <f>'изменения июль вед стр-ра'!G299</f>
        <v>63.7</v>
      </c>
      <c r="G288" s="62">
        <f>'изменения июль вед стр-ра'!H299</f>
        <v>63.7</v>
      </c>
      <c r="H288" s="62">
        <f>'изменения июль вед стр-ра'!I299</f>
        <v>63.7</v>
      </c>
    </row>
    <row r="289" spans="1:9" ht="25.5" x14ac:dyDescent="0.2">
      <c r="A289" s="18" t="s">
        <v>231</v>
      </c>
      <c r="B289" s="19" t="s">
        <v>19</v>
      </c>
      <c r="C289" s="19" t="s">
        <v>14</v>
      </c>
      <c r="D289" s="19" t="s">
        <v>137</v>
      </c>
      <c r="E289" s="19"/>
      <c r="F289" s="20">
        <f>F290</f>
        <v>100</v>
      </c>
      <c r="G289" s="20">
        <f t="shared" ref="G289:H289" si="59">G290</f>
        <v>0</v>
      </c>
      <c r="H289" s="20">
        <f t="shared" si="59"/>
        <v>0</v>
      </c>
      <c r="I289" s="237"/>
    </row>
    <row r="290" spans="1:9" ht="25.5" x14ac:dyDescent="0.2">
      <c r="A290" s="28" t="s">
        <v>141</v>
      </c>
      <c r="B290" s="24" t="s">
        <v>19</v>
      </c>
      <c r="C290" s="24" t="s">
        <v>14</v>
      </c>
      <c r="D290" s="24" t="s">
        <v>137</v>
      </c>
      <c r="E290" s="24" t="s">
        <v>65</v>
      </c>
      <c r="F290" s="25">
        <f>'изменения июль вед стр-ра'!G301</f>
        <v>100</v>
      </c>
      <c r="G290" s="25">
        <f>'изменения июль вед стр-ра'!H301</f>
        <v>0</v>
      </c>
      <c r="H290" s="25">
        <f>'изменения июль вед стр-ра'!I301</f>
        <v>0</v>
      </c>
      <c r="I290" s="25">
        <f>'изменения июль вед стр-ра'!J301</f>
        <v>0</v>
      </c>
    </row>
    <row r="291" spans="1:9" s="21" customFormat="1" ht="25.5" x14ac:dyDescent="0.2">
      <c r="A291" s="18" t="s">
        <v>188</v>
      </c>
      <c r="B291" s="19" t="s">
        <v>19</v>
      </c>
      <c r="C291" s="19" t="s">
        <v>26</v>
      </c>
      <c r="D291" s="19" t="s">
        <v>136</v>
      </c>
      <c r="E291" s="19"/>
      <c r="F291" s="20">
        <f>F293+F292</f>
        <v>4445</v>
      </c>
      <c r="G291" s="20">
        <f t="shared" ref="G291:H291" si="60">G293+G292</f>
        <v>4445</v>
      </c>
      <c r="H291" s="20">
        <f t="shared" si="60"/>
        <v>4445</v>
      </c>
    </row>
    <row r="292" spans="1:9" s="21" customFormat="1" ht="25.5" x14ac:dyDescent="0.2">
      <c r="A292" s="28" t="s">
        <v>76</v>
      </c>
      <c r="B292" s="24" t="s">
        <v>19</v>
      </c>
      <c r="C292" s="24" t="s">
        <v>26</v>
      </c>
      <c r="D292" s="24" t="s">
        <v>136</v>
      </c>
      <c r="E292" s="24" t="s">
        <v>68</v>
      </c>
      <c r="F292" s="25">
        <f>'изменения июль вед стр-ра'!G303</f>
        <v>113.8</v>
      </c>
      <c r="G292" s="25">
        <f>'изменения июль вед стр-ра'!H303</f>
        <v>80</v>
      </c>
      <c r="H292" s="25">
        <f>'изменения июль вед стр-ра'!I303</f>
        <v>80</v>
      </c>
    </row>
    <row r="293" spans="1:9" s="79" customFormat="1" ht="25.5" x14ac:dyDescent="0.2">
      <c r="A293" s="87" t="s">
        <v>141</v>
      </c>
      <c r="B293" s="82" t="s">
        <v>19</v>
      </c>
      <c r="C293" s="82" t="s">
        <v>26</v>
      </c>
      <c r="D293" s="82" t="s">
        <v>136</v>
      </c>
      <c r="E293" s="82" t="s">
        <v>65</v>
      </c>
      <c r="F293" s="62">
        <f>'изменения июль вед стр-ра'!G304+'изменения июль вед стр-ра'!G379</f>
        <v>4331.2</v>
      </c>
      <c r="G293" s="62">
        <f>'изменения июль вед стр-ра'!H304+'изменения июль вед стр-ра'!H379</f>
        <v>4365</v>
      </c>
      <c r="H293" s="62">
        <f>'изменения июль вед стр-ра'!I304+'изменения июль вед стр-ра'!I379</f>
        <v>4365</v>
      </c>
    </row>
    <row r="294" spans="1:9" s="21" customFormat="1" ht="102" x14ac:dyDescent="0.2">
      <c r="A294" s="18" t="s">
        <v>435</v>
      </c>
      <c r="B294" s="5" t="s">
        <v>19</v>
      </c>
      <c r="C294" s="5" t="s">
        <v>26</v>
      </c>
      <c r="D294" s="5" t="s">
        <v>122</v>
      </c>
      <c r="E294" s="19"/>
      <c r="F294" s="20">
        <f>F295+F296</f>
        <v>3115.1</v>
      </c>
      <c r="G294" s="20">
        <f>G295+G296</f>
        <v>3115.1</v>
      </c>
      <c r="H294" s="20">
        <f>H295+H296</f>
        <v>3115.1</v>
      </c>
    </row>
    <row r="295" spans="1:9" s="21" customFormat="1" ht="51" x14ac:dyDescent="0.2">
      <c r="A295" s="23" t="s">
        <v>66</v>
      </c>
      <c r="B295" s="24" t="s">
        <v>19</v>
      </c>
      <c r="C295" s="24" t="s">
        <v>26</v>
      </c>
      <c r="D295" s="24" t="s">
        <v>122</v>
      </c>
      <c r="E295" s="27" t="s">
        <v>67</v>
      </c>
      <c r="F295" s="25">
        <f>'изменения июль вед стр-ра'!G318</f>
        <v>2764.5</v>
      </c>
      <c r="G295" s="25">
        <f>'изменения июль вед стр-ра'!H318</f>
        <v>2764.5</v>
      </c>
      <c r="H295" s="25">
        <f>'изменения июль вед стр-ра'!I318</f>
        <v>2764.5</v>
      </c>
    </row>
    <row r="296" spans="1:9" s="21" customFormat="1" ht="25.5" x14ac:dyDescent="0.2">
      <c r="A296" s="28" t="s">
        <v>76</v>
      </c>
      <c r="B296" s="24" t="s">
        <v>19</v>
      </c>
      <c r="C296" s="24" t="s">
        <v>26</v>
      </c>
      <c r="D296" s="24" t="s">
        <v>122</v>
      </c>
      <c r="E296" s="27" t="s">
        <v>68</v>
      </c>
      <c r="F296" s="25">
        <f>'изменения июль вед стр-ра'!G319</f>
        <v>350.6</v>
      </c>
      <c r="G296" s="25">
        <f>'изменения июль вед стр-ра'!H319</f>
        <v>350.6</v>
      </c>
      <c r="H296" s="25">
        <f>'изменения июль вед стр-ра'!I319</f>
        <v>350.6</v>
      </c>
    </row>
    <row r="297" spans="1:9" s="21" customFormat="1" ht="25.5" x14ac:dyDescent="0.2">
      <c r="A297" s="18" t="s">
        <v>345</v>
      </c>
      <c r="B297" s="19" t="s">
        <v>19</v>
      </c>
      <c r="C297" s="19" t="s">
        <v>26</v>
      </c>
      <c r="D297" s="19" t="s">
        <v>240</v>
      </c>
      <c r="E297" s="19"/>
      <c r="F297" s="20">
        <f>F298</f>
        <v>0</v>
      </c>
      <c r="G297" s="20">
        <f t="shared" ref="G297:H297" si="61">G298</f>
        <v>100</v>
      </c>
      <c r="H297" s="20">
        <f t="shared" si="61"/>
        <v>100</v>
      </c>
    </row>
    <row r="298" spans="1:9" s="26" customFormat="1" ht="25.5" x14ac:dyDescent="0.2">
      <c r="A298" s="28" t="s">
        <v>141</v>
      </c>
      <c r="B298" s="24" t="s">
        <v>19</v>
      </c>
      <c r="C298" s="24" t="s">
        <v>26</v>
      </c>
      <c r="D298" s="24" t="s">
        <v>240</v>
      </c>
      <c r="E298" s="24" t="s">
        <v>65</v>
      </c>
      <c r="F298" s="25">
        <f>'изменения июль вед стр-ра'!G306</f>
        <v>0</v>
      </c>
      <c r="G298" s="25">
        <f>'изменения июль вед стр-ра'!H306</f>
        <v>100</v>
      </c>
      <c r="H298" s="25">
        <f>'изменения июль вед стр-ра'!I306</f>
        <v>100</v>
      </c>
    </row>
    <row r="299" spans="1:9" s="79" customFormat="1" ht="25.5" x14ac:dyDescent="0.2">
      <c r="A299" s="75" t="s">
        <v>345</v>
      </c>
      <c r="B299" s="77" t="s">
        <v>19</v>
      </c>
      <c r="C299" s="77" t="s">
        <v>26</v>
      </c>
      <c r="D299" s="77" t="s">
        <v>189</v>
      </c>
      <c r="E299" s="77"/>
      <c r="F299" s="78">
        <f>F301+F300</f>
        <v>403.7</v>
      </c>
      <c r="G299" s="78">
        <f t="shared" ref="G299:H299" si="62">G301+G300</f>
        <v>403.7</v>
      </c>
      <c r="H299" s="78">
        <f t="shared" si="62"/>
        <v>403.7</v>
      </c>
    </row>
    <row r="300" spans="1:9" s="21" customFormat="1" ht="25.5" x14ac:dyDescent="0.2">
      <c r="A300" s="28" t="s">
        <v>76</v>
      </c>
      <c r="B300" s="24" t="s">
        <v>19</v>
      </c>
      <c r="C300" s="24" t="s">
        <v>26</v>
      </c>
      <c r="D300" s="24" t="s">
        <v>189</v>
      </c>
      <c r="E300" s="24" t="s">
        <v>68</v>
      </c>
      <c r="F300" s="25">
        <f>'изменения июль вед стр-ра'!G308</f>
        <v>4</v>
      </c>
      <c r="G300" s="25">
        <f>'изменения июль вед стр-ра'!H308</f>
        <v>4</v>
      </c>
      <c r="H300" s="25">
        <f>'изменения июль вед стр-ра'!I308</f>
        <v>4</v>
      </c>
    </row>
    <row r="301" spans="1:9" s="79" customFormat="1" ht="25.5" x14ac:dyDescent="0.2">
      <c r="A301" s="87" t="s">
        <v>141</v>
      </c>
      <c r="B301" s="82" t="s">
        <v>19</v>
      </c>
      <c r="C301" s="82" t="s">
        <v>26</v>
      </c>
      <c r="D301" s="82" t="s">
        <v>189</v>
      </c>
      <c r="E301" s="82" t="s">
        <v>65</v>
      </c>
      <c r="F301" s="62">
        <f>'изменения июль вед стр-ра'!G309+'изменения июль вед стр-ра'!G381</f>
        <v>399.7</v>
      </c>
      <c r="G301" s="62">
        <f>'изменения июль вед стр-ра'!H309+'изменения июль вед стр-ра'!H381</f>
        <v>399.7</v>
      </c>
      <c r="H301" s="62">
        <f>'изменения июль вед стр-ра'!I309+'изменения июль вед стр-ра'!I381</f>
        <v>399.7</v>
      </c>
    </row>
    <row r="302" spans="1:9" s="21" customFormat="1" ht="38.25" x14ac:dyDescent="0.2">
      <c r="A302" s="18" t="s">
        <v>346</v>
      </c>
      <c r="B302" s="19" t="s">
        <v>19</v>
      </c>
      <c r="C302" s="19" t="s">
        <v>26</v>
      </c>
      <c r="D302" s="19" t="s">
        <v>241</v>
      </c>
      <c r="E302" s="19"/>
      <c r="F302" s="20">
        <f>F303+F304</f>
        <v>784.19999999999993</v>
      </c>
      <c r="G302" s="20">
        <f>G303+G304</f>
        <v>714.19999999999993</v>
      </c>
      <c r="H302" s="20">
        <f>H303+H304</f>
        <v>714.19999999999993</v>
      </c>
    </row>
    <row r="303" spans="1:9" s="21" customFormat="1" ht="51" x14ac:dyDescent="0.2">
      <c r="A303" s="30" t="s">
        <v>66</v>
      </c>
      <c r="B303" s="24" t="s">
        <v>19</v>
      </c>
      <c r="C303" s="24" t="s">
        <v>26</v>
      </c>
      <c r="D303" s="24" t="s">
        <v>241</v>
      </c>
      <c r="E303" s="27" t="s">
        <v>67</v>
      </c>
      <c r="F303" s="25">
        <f>'изменения июль вед стр-ра'!G311</f>
        <v>64.8</v>
      </c>
      <c r="G303" s="25">
        <f>'изменения июль вед стр-ра'!H311</f>
        <v>54.4</v>
      </c>
      <c r="H303" s="25">
        <f>'изменения июль вед стр-ра'!I311</f>
        <v>54.4</v>
      </c>
    </row>
    <row r="304" spans="1:9" s="21" customFormat="1" ht="25.5" x14ac:dyDescent="0.2">
      <c r="A304" s="28" t="s">
        <v>141</v>
      </c>
      <c r="B304" s="24" t="s">
        <v>19</v>
      </c>
      <c r="C304" s="24" t="s">
        <v>26</v>
      </c>
      <c r="D304" s="24" t="s">
        <v>241</v>
      </c>
      <c r="E304" s="24" t="s">
        <v>65</v>
      </c>
      <c r="F304" s="25">
        <f>'изменения июль вед стр-ра'!G312</f>
        <v>719.4</v>
      </c>
      <c r="G304" s="25">
        <f>'изменения июль вед стр-ра'!H312</f>
        <v>659.8</v>
      </c>
      <c r="H304" s="25">
        <f>'изменения июль вед стр-ра'!I312</f>
        <v>659.8</v>
      </c>
    </row>
    <row r="305" spans="1:9" s="79" customFormat="1" ht="25.5" x14ac:dyDescent="0.2">
      <c r="A305" s="75" t="s">
        <v>243</v>
      </c>
      <c r="B305" s="77" t="s">
        <v>19</v>
      </c>
      <c r="C305" s="77" t="s">
        <v>26</v>
      </c>
      <c r="D305" s="77" t="s">
        <v>242</v>
      </c>
      <c r="E305" s="77"/>
      <c r="F305" s="78">
        <f>F308+F307+F306</f>
        <v>643.4</v>
      </c>
      <c r="G305" s="78">
        <f t="shared" ref="G305:H305" si="63">G308+G307+G306</f>
        <v>643.4</v>
      </c>
      <c r="H305" s="78">
        <f t="shared" si="63"/>
        <v>643.4</v>
      </c>
    </row>
    <row r="306" spans="1:9" s="26" customFormat="1" ht="51" x14ac:dyDescent="0.2">
      <c r="A306" s="30" t="s">
        <v>66</v>
      </c>
      <c r="B306" s="24" t="s">
        <v>19</v>
      </c>
      <c r="C306" s="24" t="s">
        <v>26</v>
      </c>
      <c r="D306" s="24" t="s">
        <v>242</v>
      </c>
      <c r="E306" s="24" t="s">
        <v>67</v>
      </c>
      <c r="F306" s="25">
        <f>'изменения июль вед стр-ра'!G314</f>
        <v>22.6</v>
      </c>
      <c r="G306" s="25">
        <f>'изменения июль вед стр-ра'!H314</f>
        <v>22.6</v>
      </c>
      <c r="H306" s="25">
        <f>'изменения июль вед стр-ра'!I314</f>
        <v>22.6</v>
      </c>
      <c r="I306" s="118"/>
    </row>
    <row r="307" spans="1:9" s="84" customFormat="1" ht="25.5" x14ac:dyDescent="0.2">
      <c r="A307" s="87" t="s">
        <v>76</v>
      </c>
      <c r="B307" s="82" t="s">
        <v>19</v>
      </c>
      <c r="C307" s="82" t="s">
        <v>26</v>
      </c>
      <c r="D307" s="82" t="s">
        <v>242</v>
      </c>
      <c r="E307" s="82" t="s">
        <v>68</v>
      </c>
      <c r="F307" s="25">
        <f>'изменения июль вед стр-ра'!G315</f>
        <v>105</v>
      </c>
      <c r="G307" s="25">
        <f>'изменения июль вед стр-ра'!H315</f>
        <v>105</v>
      </c>
      <c r="H307" s="25">
        <f>'изменения июль вед стр-ра'!I315</f>
        <v>105</v>
      </c>
    </row>
    <row r="308" spans="1:9" s="21" customFormat="1" ht="25.5" x14ac:dyDescent="0.2">
      <c r="A308" s="28" t="s">
        <v>141</v>
      </c>
      <c r="B308" s="24" t="s">
        <v>19</v>
      </c>
      <c r="C308" s="24" t="s">
        <v>26</v>
      </c>
      <c r="D308" s="24" t="s">
        <v>242</v>
      </c>
      <c r="E308" s="24" t="s">
        <v>65</v>
      </c>
      <c r="F308" s="25">
        <f>'изменения июль вед стр-ра'!G316</f>
        <v>515.79999999999995</v>
      </c>
      <c r="G308" s="25">
        <f>'изменения июль вед стр-ра'!H316</f>
        <v>515.79999999999995</v>
      </c>
      <c r="H308" s="25">
        <f>'изменения июль вед стр-ра'!I316</f>
        <v>515.79999999999995</v>
      </c>
      <c r="I308" s="117"/>
    </row>
    <row r="309" spans="1:9" s="79" customFormat="1" ht="25.5" x14ac:dyDescent="0.2">
      <c r="A309" s="75" t="s">
        <v>348</v>
      </c>
      <c r="B309" s="77" t="s">
        <v>19</v>
      </c>
      <c r="C309" s="77" t="s">
        <v>26</v>
      </c>
      <c r="D309" s="77" t="s">
        <v>244</v>
      </c>
      <c r="E309" s="77"/>
      <c r="F309" s="78">
        <f>F310+F311</f>
        <v>4894.2</v>
      </c>
      <c r="G309" s="78">
        <f>G310+G311</f>
        <v>3681.4</v>
      </c>
      <c r="H309" s="78">
        <f>H310+H311</f>
        <v>3681.4</v>
      </c>
    </row>
    <row r="310" spans="1:9" s="21" customFormat="1" ht="51" x14ac:dyDescent="0.2">
      <c r="A310" s="30" t="s">
        <v>66</v>
      </c>
      <c r="B310" s="24" t="s">
        <v>19</v>
      </c>
      <c r="C310" s="24" t="s">
        <v>26</v>
      </c>
      <c r="D310" s="24" t="s">
        <v>244</v>
      </c>
      <c r="E310" s="27" t="s">
        <v>67</v>
      </c>
      <c r="F310" s="25">
        <f>'изменения июль вед стр-ра'!G321</f>
        <v>4864.2</v>
      </c>
      <c r="G310" s="25">
        <f>'изменения июль вед стр-ра'!H321</f>
        <v>3641.4</v>
      </c>
      <c r="H310" s="25">
        <f>'изменения июль вед стр-ра'!I321</f>
        <v>3641.4</v>
      </c>
    </row>
    <row r="311" spans="1:9" s="79" customFormat="1" ht="25.5" x14ac:dyDescent="0.2">
      <c r="A311" s="87" t="s">
        <v>76</v>
      </c>
      <c r="B311" s="82" t="s">
        <v>19</v>
      </c>
      <c r="C311" s="82" t="s">
        <v>26</v>
      </c>
      <c r="D311" s="82" t="s">
        <v>244</v>
      </c>
      <c r="E311" s="83" t="s">
        <v>68</v>
      </c>
      <c r="F311" s="25">
        <f>'изменения июль вед стр-ра'!G322</f>
        <v>30</v>
      </c>
      <c r="G311" s="25">
        <f>'изменения июль вед стр-ра'!H322</f>
        <v>40</v>
      </c>
      <c r="H311" s="25">
        <f>'изменения июль вед стр-ра'!I322</f>
        <v>40</v>
      </c>
    </row>
    <row r="312" spans="1:9" s="79" customFormat="1" ht="25.5" x14ac:dyDescent="0.2">
      <c r="A312" s="75" t="s">
        <v>348</v>
      </c>
      <c r="B312" s="77" t="s">
        <v>19</v>
      </c>
      <c r="C312" s="77" t="s">
        <v>26</v>
      </c>
      <c r="D312" s="77" t="s">
        <v>245</v>
      </c>
      <c r="E312" s="77"/>
      <c r="F312" s="78">
        <f>F313</f>
        <v>22445.200000000001</v>
      </c>
      <c r="G312" s="78">
        <f>G313</f>
        <v>20310.8</v>
      </c>
      <c r="H312" s="78">
        <f>H313</f>
        <v>19969.7</v>
      </c>
    </row>
    <row r="313" spans="1:9" s="21" customFormat="1" ht="25.5" x14ac:dyDescent="0.2">
      <c r="A313" s="28" t="s">
        <v>141</v>
      </c>
      <c r="B313" s="24" t="s">
        <v>19</v>
      </c>
      <c r="C313" s="24" t="s">
        <v>26</v>
      </c>
      <c r="D313" s="24" t="s">
        <v>245</v>
      </c>
      <c r="E313" s="24" t="s">
        <v>65</v>
      </c>
      <c r="F313" s="25">
        <f>'изменения июль вед стр-ра'!G324</f>
        <v>22445.200000000001</v>
      </c>
      <c r="G313" s="25">
        <f>'изменения июль вед стр-ра'!H324</f>
        <v>20310.8</v>
      </c>
      <c r="H313" s="25">
        <f>'изменения июль вед стр-ра'!I324</f>
        <v>19969.7</v>
      </c>
      <c r="I313" s="117"/>
    </row>
    <row r="314" spans="1:9" s="79" customFormat="1" ht="25.5" x14ac:dyDescent="0.2">
      <c r="A314" s="75" t="s">
        <v>348</v>
      </c>
      <c r="B314" s="77" t="s">
        <v>19</v>
      </c>
      <c r="C314" s="77" t="s">
        <v>26</v>
      </c>
      <c r="D314" s="77" t="s">
        <v>246</v>
      </c>
      <c r="E314" s="77"/>
      <c r="F314" s="78">
        <f>F315+F316+F317+F318</f>
        <v>44619.600000000006</v>
      </c>
      <c r="G314" s="78">
        <f>G315+G316+G317+G318</f>
        <v>40888.300000000003</v>
      </c>
      <c r="H314" s="78">
        <f>H315+H316+H317+H318</f>
        <v>40021.800000000003</v>
      </c>
    </row>
    <row r="315" spans="1:9" s="21" customFormat="1" ht="51" x14ac:dyDescent="0.2">
      <c r="A315" s="30" t="s">
        <v>66</v>
      </c>
      <c r="B315" s="24" t="s">
        <v>19</v>
      </c>
      <c r="C315" s="24" t="s">
        <v>26</v>
      </c>
      <c r="D315" s="24" t="s">
        <v>246</v>
      </c>
      <c r="E315" s="27" t="s">
        <v>67</v>
      </c>
      <c r="F315" s="25">
        <f>'изменения июль вед стр-ра'!G326</f>
        <v>22446</v>
      </c>
      <c r="G315" s="25">
        <f>'изменения июль вед стр-ра'!H326</f>
        <v>20676.400000000001</v>
      </c>
      <c r="H315" s="25">
        <f>'изменения июль вед стр-ра'!I326</f>
        <v>20676.400000000001</v>
      </c>
    </row>
    <row r="316" spans="1:9" s="79" customFormat="1" ht="25.5" x14ac:dyDescent="0.2">
      <c r="A316" s="87" t="s">
        <v>76</v>
      </c>
      <c r="B316" s="82" t="s">
        <v>19</v>
      </c>
      <c r="C316" s="82" t="s">
        <v>26</v>
      </c>
      <c r="D316" s="82" t="s">
        <v>246</v>
      </c>
      <c r="E316" s="83" t="s">
        <v>68</v>
      </c>
      <c r="F316" s="25">
        <f>'изменения июль вед стр-ра'!G327</f>
        <v>3618</v>
      </c>
      <c r="G316" s="25">
        <f>'изменения июль вед стр-ра'!H327</f>
        <v>2835.6</v>
      </c>
      <c r="H316" s="25">
        <f>'изменения июль вед стр-ра'!I327</f>
        <v>2240.8000000000002</v>
      </c>
    </row>
    <row r="317" spans="1:9" s="79" customFormat="1" ht="25.5" x14ac:dyDescent="0.2">
      <c r="A317" s="87" t="s">
        <v>141</v>
      </c>
      <c r="B317" s="82" t="s">
        <v>19</v>
      </c>
      <c r="C317" s="82" t="s">
        <v>26</v>
      </c>
      <c r="D317" s="82" t="s">
        <v>246</v>
      </c>
      <c r="E317" s="82" t="s">
        <v>65</v>
      </c>
      <c r="F317" s="25">
        <f>'изменения июль вед стр-ра'!G328</f>
        <v>18484.100000000002</v>
      </c>
      <c r="G317" s="25">
        <f>'изменения июль вед стр-ра'!H328</f>
        <v>17304.800000000003</v>
      </c>
      <c r="H317" s="25">
        <f>'изменения июль вед стр-ра'!I328</f>
        <v>17033.099999999999</v>
      </c>
    </row>
    <row r="318" spans="1:9" s="79" customFormat="1" x14ac:dyDescent="0.2">
      <c r="A318" s="87" t="s">
        <v>72</v>
      </c>
      <c r="B318" s="82" t="s">
        <v>19</v>
      </c>
      <c r="C318" s="82" t="s">
        <v>26</v>
      </c>
      <c r="D318" s="82" t="s">
        <v>246</v>
      </c>
      <c r="E318" s="82" t="s">
        <v>73</v>
      </c>
      <c r="F318" s="25">
        <f>'изменения июль вед стр-ра'!G329</f>
        <v>71.5</v>
      </c>
      <c r="G318" s="25">
        <f>'изменения июль вед стр-ра'!H329</f>
        <v>71.5</v>
      </c>
      <c r="H318" s="25">
        <f>'изменения июль вед стр-ра'!I329</f>
        <v>71.5</v>
      </c>
    </row>
    <row r="319" spans="1:9" s="21" customFormat="1" ht="15.75" x14ac:dyDescent="0.25">
      <c r="A319" s="144" t="s">
        <v>664</v>
      </c>
      <c r="B319" s="143" t="s">
        <v>43</v>
      </c>
      <c r="C319" s="143" t="s">
        <v>463</v>
      </c>
      <c r="D319" s="143"/>
      <c r="E319" s="143"/>
      <c r="F319" s="206">
        <f>F320+F339</f>
        <v>130609.5</v>
      </c>
      <c r="G319" s="206">
        <f>G320+G339</f>
        <v>89213.7</v>
      </c>
      <c r="H319" s="206">
        <f>H320+H339</f>
        <v>86997.3</v>
      </c>
    </row>
    <row r="320" spans="1:9" s="74" customFormat="1" x14ac:dyDescent="0.2">
      <c r="A320" s="70" t="s">
        <v>44</v>
      </c>
      <c r="B320" s="72" t="s">
        <v>43</v>
      </c>
      <c r="C320" s="72" t="s">
        <v>12</v>
      </c>
      <c r="D320" s="72"/>
      <c r="E320" s="72"/>
      <c r="F320" s="73">
        <f>F331+F334+F336+F323+F327+F321+F329+F325</f>
        <v>107091.2</v>
      </c>
      <c r="G320" s="73">
        <f t="shared" ref="G320:H320" si="64">G331+G334+G336+G323+G327+G321+G329+G325</f>
        <v>69362.3</v>
      </c>
      <c r="H320" s="73">
        <f t="shared" si="64"/>
        <v>67145.900000000009</v>
      </c>
      <c r="I320" s="73" t="e">
        <f>I331+I334+I336+I323+I327+#REF!+I321</f>
        <v>#REF!</v>
      </c>
    </row>
    <row r="321" spans="1:9" s="12" customFormat="1" ht="25.5" x14ac:dyDescent="0.2">
      <c r="A321" s="17" t="s">
        <v>163</v>
      </c>
      <c r="B321" s="19" t="s">
        <v>43</v>
      </c>
      <c r="C321" s="19" t="s">
        <v>12</v>
      </c>
      <c r="D321" s="19" t="s">
        <v>162</v>
      </c>
      <c r="E321" s="5"/>
      <c r="F321" s="6">
        <f>F322</f>
        <v>2258.3000000000002</v>
      </c>
      <c r="G321" s="6">
        <f>G322</f>
        <v>2295.8000000000002</v>
      </c>
      <c r="H321" s="6">
        <f>H322</f>
        <v>2295.8000000000002</v>
      </c>
    </row>
    <row r="322" spans="1:9" s="26" customFormat="1" ht="25.5" x14ac:dyDescent="0.2">
      <c r="A322" s="28" t="s">
        <v>141</v>
      </c>
      <c r="B322" s="24" t="s">
        <v>43</v>
      </c>
      <c r="C322" s="24" t="s">
        <v>12</v>
      </c>
      <c r="D322" s="24" t="s">
        <v>162</v>
      </c>
      <c r="E322" s="24" t="s">
        <v>65</v>
      </c>
      <c r="F322" s="25">
        <f>'изменения июль вед стр-ра'!G385</f>
        <v>2258.3000000000002</v>
      </c>
      <c r="G322" s="25">
        <f>'изменения июль вед стр-ра'!H385</f>
        <v>2295.8000000000002</v>
      </c>
      <c r="H322" s="25">
        <f>'изменения июль вед стр-ра'!I385</f>
        <v>2295.8000000000002</v>
      </c>
    </row>
    <row r="323" spans="1:9" s="79" customFormat="1" x14ac:dyDescent="0.2">
      <c r="A323" s="75" t="s">
        <v>174</v>
      </c>
      <c r="B323" s="77" t="s">
        <v>43</v>
      </c>
      <c r="C323" s="77" t="s">
        <v>12</v>
      </c>
      <c r="D323" s="82" t="s">
        <v>173</v>
      </c>
      <c r="E323" s="77"/>
      <c r="F323" s="78">
        <f>F324</f>
        <v>7111.2999999999993</v>
      </c>
      <c r="G323" s="78">
        <f t="shared" ref="G323:H323" si="65">G324</f>
        <v>0</v>
      </c>
      <c r="H323" s="78">
        <f t="shared" si="65"/>
        <v>0</v>
      </c>
    </row>
    <row r="324" spans="1:9" s="84" customFormat="1" ht="25.5" x14ac:dyDescent="0.2">
      <c r="A324" s="87" t="s">
        <v>76</v>
      </c>
      <c r="B324" s="82" t="s">
        <v>43</v>
      </c>
      <c r="C324" s="82" t="s">
        <v>12</v>
      </c>
      <c r="D324" s="82" t="s">
        <v>173</v>
      </c>
      <c r="E324" s="82" t="s">
        <v>68</v>
      </c>
      <c r="F324" s="62">
        <f>'изменения июль вед стр-ра'!G387</f>
        <v>7111.2999999999993</v>
      </c>
      <c r="G324" s="62">
        <f>'изменения июль вед стр-ра'!H387</f>
        <v>0</v>
      </c>
      <c r="H324" s="62">
        <f>'изменения июль вед стр-ра'!I387</f>
        <v>0</v>
      </c>
      <c r="I324" s="62">
        <f>'изменения июль вед стр-ра'!J387</f>
        <v>0</v>
      </c>
    </row>
    <row r="325" spans="1:9" x14ac:dyDescent="0.2">
      <c r="A325" s="18" t="s">
        <v>723</v>
      </c>
      <c r="B325" s="19" t="s">
        <v>43</v>
      </c>
      <c r="C325" s="19" t="s">
        <v>12</v>
      </c>
      <c r="D325" s="19" t="s">
        <v>724</v>
      </c>
      <c r="E325" s="19"/>
      <c r="F325" s="20">
        <f>F326</f>
        <v>5600</v>
      </c>
      <c r="G325" s="20">
        <f t="shared" ref="G325:H325" si="66">G326</f>
        <v>0</v>
      </c>
      <c r="H325" s="20">
        <f t="shared" si="66"/>
        <v>0</v>
      </c>
      <c r="I325" s="237"/>
    </row>
    <row r="326" spans="1:9" ht="25.5" x14ac:dyDescent="0.2">
      <c r="A326" s="28" t="s">
        <v>141</v>
      </c>
      <c r="B326" s="24" t="s">
        <v>43</v>
      </c>
      <c r="C326" s="24" t="s">
        <v>12</v>
      </c>
      <c r="D326" s="24" t="s">
        <v>724</v>
      </c>
      <c r="E326" s="24" t="s">
        <v>65</v>
      </c>
      <c r="F326" s="25">
        <f>'изменения июль вед стр-ра'!G389</f>
        <v>5600</v>
      </c>
      <c r="G326" s="25">
        <f>'изменения июль вед стр-ра'!H389</f>
        <v>0</v>
      </c>
      <c r="H326" s="25">
        <f>'изменения июль вед стр-ра'!I389</f>
        <v>0</v>
      </c>
      <c r="I326" s="237"/>
    </row>
    <row r="327" spans="1:9" s="21" customFormat="1" ht="38.25" x14ac:dyDescent="0.2">
      <c r="A327" s="18" t="s">
        <v>370</v>
      </c>
      <c r="B327" s="19" t="s">
        <v>43</v>
      </c>
      <c r="C327" s="19" t="s">
        <v>12</v>
      </c>
      <c r="D327" s="19" t="s">
        <v>371</v>
      </c>
      <c r="E327" s="19"/>
      <c r="F327" s="20">
        <f>F328</f>
        <v>4464</v>
      </c>
      <c r="G327" s="20">
        <f>G328</f>
        <v>4564</v>
      </c>
      <c r="H327" s="20">
        <f>H328</f>
        <v>4564</v>
      </c>
    </row>
    <row r="328" spans="1:9" s="21" customFormat="1" ht="25.5" x14ac:dyDescent="0.2">
      <c r="A328" s="28" t="s">
        <v>141</v>
      </c>
      <c r="B328" s="24" t="s">
        <v>43</v>
      </c>
      <c r="C328" s="24" t="s">
        <v>12</v>
      </c>
      <c r="D328" s="24" t="s">
        <v>371</v>
      </c>
      <c r="E328" s="24" t="s">
        <v>65</v>
      </c>
      <c r="F328" s="25">
        <f>'изменения июль вед стр-ра'!G391</f>
        <v>4464</v>
      </c>
      <c r="G328" s="25">
        <f>'изменения июль вед стр-ра'!H391</f>
        <v>4564</v>
      </c>
      <c r="H328" s="25">
        <f>'изменения июль вед стр-ра'!I391</f>
        <v>4564</v>
      </c>
    </row>
    <row r="329" spans="1:9" s="21" customFormat="1" ht="25.5" x14ac:dyDescent="0.2">
      <c r="A329" s="28" t="s">
        <v>380</v>
      </c>
      <c r="B329" s="24" t="s">
        <v>43</v>
      </c>
      <c r="C329" s="24" t="s">
        <v>12</v>
      </c>
      <c r="D329" s="24" t="s">
        <v>379</v>
      </c>
      <c r="E329" s="25"/>
      <c r="F329" s="25">
        <f>F330</f>
        <v>140</v>
      </c>
      <c r="G329" s="25">
        <f t="shared" ref="G329:I329" si="67">G330</f>
        <v>0</v>
      </c>
      <c r="H329" s="25">
        <f t="shared" si="67"/>
        <v>0</v>
      </c>
      <c r="I329" s="25">
        <f t="shared" si="67"/>
        <v>0</v>
      </c>
    </row>
    <row r="330" spans="1:9" s="21" customFormat="1" ht="25.5" x14ac:dyDescent="0.2">
      <c r="A330" s="28" t="s">
        <v>141</v>
      </c>
      <c r="B330" s="24" t="s">
        <v>43</v>
      </c>
      <c r="C330" s="24" t="s">
        <v>12</v>
      </c>
      <c r="D330" s="24" t="s">
        <v>379</v>
      </c>
      <c r="E330" s="25" t="s">
        <v>65</v>
      </c>
      <c r="F330" s="25">
        <f>'изменения июль вед стр-ра'!G393</f>
        <v>140</v>
      </c>
      <c r="G330" s="25">
        <f>'изменения июль вед стр-ра'!H393</f>
        <v>0</v>
      </c>
      <c r="H330" s="25">
        <f>'изменения июль вед стр-ра'!I393</f>
        <v>0</v>
      </c>
    </row>
    <row r="331" spans="1:9" s="21" customFormat="1" x14ac:dyDescent="0.2">
      <c r="A331" s="18" t="s">
        <v>256</v>
      </c>
      <c r="B331" s="19" t="s">
        <v>43</v>
      </c>
      <c r="C331" s="19" t="s">
        <v>12</v>
      </c>
      <c r="D331" s="19" t="s">
        <v>255</v>
      </c>
      <c r="E331" s="19"/>
      <c r="F331" s="20">
        <f>F333+F332</f>
        <v>62258.399999999994</v>
      </c>
      <c r="G331" s="20">
        <f>G333+G332</f>
        <v>41649.699999999997</v>
      </c>
      <c r="H331" s="20">
        <f>H333+H332</f>
        <v>39724.700000000004</v>
      </c>
      <c r="I331" s="117"/>
    </row>
    <row r="332" spans="1:9" s="26" customFormat="1" x14ac:dyDescent="0.2">
      <c r="A332" s="28" t="s">
        <v>69</v>
      </c>
      <c r="B332" s="24" t="s">
        <v>43</v>
      </c>
      <c r="C332" s="24" t="s">
        <v>12</v>
      </c>
      <c r="D332" s="24" t="s">
        <v>255</v>
      </c>
      <c r="E332" s="27" t="s">
        <v>70</v>
      </c>
      <c r="F332" s="25">
        <f>'изменения июль вед стр-ра'!G395</f>
        <v>15</v>
      </c>
      <c r="G332" s="25">
        <f>'изменения июль вед стр-ра'!H395</f>
        <v>15</v>
      </c>
      <c r="H332" s="25">
        <f>'изменения июль вед стр-ра'!I395</f>
        <v>15</v>
      </c>
    </row>
    <row r="333" spans="1:9" s="26" customFormat="1" ht="25.5" x14ac:dyDescent="0.2">
      <c r="A333" s="28" t="s">
        <v>141</v>
      </c>
      <c r="B333" s="24" t="s">
        <v>43</v>
      </c>
      <c r="C333" s="24" t="s">
        <v>12</v>
      </c>
      <c r="D333" s="24" t="s">
        <v>255</v>
      </c>
      <c r="E333" s="24" t="s">
        <v>65</v>
      </c>
      <c r="F333" s="25">
        <f>'изменения июль вед стр-ра'!G396</f>
        <v>62243.399999999994</v>
      </c>
      <c r="G333" s="25">
        <f>'изменения июль вед стр-ра'!H396</f>
        <v>41634.699999999997</v>
      </c>
      <c r="H333" s="25">
        <f>'изменения июль вед стр-ра'!I396</f>
        <v>39709.700000000004</v>
      </c>
      <c r="I333" s="118"/>
    </row>
    <row r="334" spans="1:9" s="21" customFormat="1" x14ac:dyDescent="0.2">
      <c r="A334" s="18" t="s">
        <v>258</v>
      </c>
      <c r="B334" s="19" t="s">
        <v>43</v>
      </c>
      <c r="C334" s="19" t="s">
        <v>12</v>
      </c>
      <c r="D334" s="19" t="s">
        <v>257</v>
      </c>
      <c r="E334" s="19"/>
      <c r="F334" s="20">
        <f>F335</f>
        <v>4567.9000000000005</v>
      </c>
      <c r="G334" s="20">
        <f>G335</f>
        <v>3721.4</v>
      </c>
      <c r="H334" s="20">
        <f>H335</f>
        <v>3673.4</v>
      </c>
      <c r="I334" s="117"/>
    </row>
    <row r="335" spans="1:9" s="26" customFormat="1" ht="25.5" x14ac:dyDescent="0.2">
      <c r="A335" s="28" t="s">
        <v>141</v>
      </c>
      <c r="B335" s="24" t="s">
        <v>43</v>
      </c>
      <c r="C335" s="24" t="s">
        <v>12</v>
      </c>
      <c r="D335" s="24" t="s">
        <v>257</v>
      </c>
      <c r="E335" s="24" t="s">
        <v>65</v>
      </c>
      <c r="F335" s="25">
        <f>'изменения июль вед стр-ра'!G398</f>
        <v>4567.9000000000005</v>
      </c>
      <c r="G335" s="25">
        <f>'изменения июль вед стр-ра'!H398</f>
        <v>3721.4</v>
      </c>
      <c r="H335" s="25">
        <f>'изменения июль вед стр-ра'!I398</f>
        <v>3673.4</v>
      </c>
      <c r="I335" s="118"/>
    </row>
    <row r="336" spans="1:9" s="21" customFormat="1" x14ac:dyDescent="0.2">
      <c r="A336" s="18" t="s">
        <v>260</v>
      </c>
      <c r="B336" s="19" t="s">
        <v>43</v>
      </c>
      <c r="C336" s="19" t="s">
        <v>12</v>
      </c>
      <c r="D336" s="19" t="s">
        <v>259</v>
      </c>
      <c r="E336" s="19"/>
      <c r="F336" s="20">
        <f>F338+F337</f>
        <v>20691.3</v>
      </c>
      <c r="G336" s="20">
        <f>G338+G337</f>
        <v>17131.400000000001</v>
      </c>
      <c r="H336" s="20">
        <f>H338+H337</f>
        <v>16888</v>
      </c>
      <c r="I336" s="117"/>
    </row>
    <row r="337" spans="1:9" s="26" customFormat="1" x14ac:dyDescent="0.2">
      <c r="A337" s="28" t="s">
        <v>69</v>
      </c>
      <c r="B337" s="24" t="s">
        <v>43</v>
      </c>
      <c r="C337" s="24" t="s">
        <v>12</v>
      </c>
      <c r="D337" s="24" t="s">
        <v>259</v>
      </c>
      <c r="E337" s="27" t="s">
        <v>70</v>
      </c>
      <c r="F337" s="25">
        <f>'изменения июль вед стр-ра'!G400</f>
        <v>15</v>
      </c>
      <c r="G337" s="25">
        <f>'изменения июль вед стр-ра'!H400</f>
        <v>15</v>
      </c>
      <c r="H337" s="25">
        <f>'изменения июль вед стр-ра'!I400</f>
        <v>15</v>
      </c>
    </row>
    <row r="338" spans="1:9" s="26" customFormat="1" ht="25.5" x14ac:dyDescent="0.2">
      <c r="A338" s="28" t="s">
        <v>141</v>
      </c>
      <c r="B338" s="24" t="s">
        <v>43</v>
      </c>
      <c r="C338" s="24" t="s">
        <v>12</v>
      </c>
      <c r="D338" s="24" t="s">
        <v>259</v>
      </c>
      <c r="E338" s="24" t="s">
        <v>65</v>
      </c>
      <c r="F338" s="25">
        <f>'изменения июль вед стр-ра'!G401</f>
        <v>20676.3</v>
      </c>
      <c r="G338" s="25">
        <f>'изменения июль вед стр-ра'!H401</f>
        <v>17116.400000000001</v>
      </c>
      <c r="H338" s="25">
        <f>'изменения июль вед стр-ра'!I401</f>
        <v>16873</v>
      </c>
      <c r="I338" s="118"/>
    </row>
    <row r="339" spans="1:9" s="74" customFormat="1" ht="16.5" customHeight="1" x14ac:dyDescent="0.2">
      <c r="A339" s="70" t="s">
        <v>25</v>
      </c>
      <c r="B339" s="72" t="s">
        <v>43</v>
      </c>
      <c r="C339" s="72" t="s">
        <v>18</v>
      </c>
      <c r="D339" s="72"/>
      <c r="E339" s="72"/>
      <c r="F339" s="73">
        <f>F340+F344</f>
        <v>23518.3</v>
      </c>
      <c r="G339" s="73">
        <f>G340+G344</f>
        <v>19851.399999999998</v>
      </c>
      <c r="H339" s="73">
        <f>H340+H344</f>
        <v>19851.399999999998</v>
      </c>
    </row>
    <row r="340" spans="1:9" s="79" customFormat="1" x14ac:dyDescent="0.2">
      <c r="A340" s="75" t="s">
        <v>349</v>
      </c>
      <c r="B340" s="77" t="s">
        <v>43</v>
      </c>
      <c r="C340" s="77" t="s">
        <v>18</v>
      </c>
      <c r="D340" s="77" t="s">
        <v>261</v>
      </c>
      <c r="E340" s="77"/>
      <c r="F340" s="78">
        <f>F341+F342+F343</f>
        <v>1398.5</v>
      </c>
      <c r="G340" s="78">
        <f>G341+G342+G343</f>
        <v>1057.5</v>
      </c>
      <c r="H340" s="78">
        <f>H341+H342+H343</f>
        <v>1057.5</v>
      </c>
    </row>
    <row r="341" spans="1:9" s="84" customFormat="1" ht="51.75" customHeight="1" x14ac:dyDescent="0.2">
      <c r="A341" s="85" t="s">
        <v>66</v>
      </c>
      <c r="B341" s="82" t="s">
        <v>43</v>
      </c>
      <c r="C341" s="82" t="s">
        <v>18</v>
      </c>
      <c r="D341" s="82" t="s">
        <v>261</v>
      </c>
      <c r="E341" s="83" t="s">
        <v>67</v>
      </c>
      <c r="F341" s="62">
        <f>'изменения июль вед стр-ра'!G404</f>
        <v>1303.8</v>
      </c>
      <c r="G341" s="62">
        <f>'изменения июль вед стр-ра'!H404</f>
        <v>968.5</v>
      </c>
      <c r="H341" s="62">
        <f>'изменения июль вед стр-ра'!I404</f>
        <v>968.5</v>
      </c>
    </row>
    <row r="342" spans="1:9" s="84" customFormat="1" ht="25.5" x14ac:dyDescent="0.2">
      <c r="A342" s="87" t="s">
        <v>76</v>
      </c>
      <c r="B342" s="82" t="s">
        <v>43</v>
      </c>
      <c r="C342" s="82" t="s">
        <v>18</v>
      </c>
      <c r="D342" s="82" t="s">
        <v>261</v>
      </c>
      <c r="E342" s="83" t="s">
        <v>68</v>
      </c>
      <c r="F342" s="62">
        <f>'изменения июль вед стр-ра'!G405</f>
        <v>83.3</v>
      </c>
      <c r="G342" s="62">
        <f>'изменения июль вед стр-ра'!H405</f>
        <v>80.5</v>
      </c>
      <c r="H342" s="62">
        <f>'изменения июль вед стр-ра'!I405</f>
        <v>80.5</v>
      </c>
    </row>
    <row r="343" spans="1:9" s="26" customFormat="1" x14ac:dyDescent="0.2">
      <c r="A343" s="28" t="s">
        <v>72</v>
      </c>
      <c r="B343" s="24" t="s">
        <v>43</v>
      </c>
      <c r="C343" s="24" t="s">
        <v>18</v>
      </c>
      <c r="D343" s="24" t="s">
        <v>261</v>
      </c>
      <c r="E343" s="24" t="s">
        <v>73</v>
      </c>
      <c r="F343" s="62">
        <f>'изменения июль вед стр-ра'!G406</f>
        <v>11.4</v>
      </c>
      <c r="G343" s="62">
        <f>'изменения июль вед стр-ра'!H406</f>
        <v>8.5</v>
      </c>
      <c r="H343" s="62">
        <f>'изменения июль вед стр-ра'!I406</f>
        <v>8.5</v>
      </c>
    </row>
    <row r="344" spans="1:9" s="79" customFormat="1" x14ac:dyDescent="0.2">
      <c r="A344" s="75" t="s">
        <v>349</v>
      </c>
      <c r="B344" s="77" t="s">
        <v>43</v>
      </c>
      <c r="C344" s="77" t="s">
        <v>18</v>
      </c>
      <c r="D344" s="77" t="s">
        <v>426</v>
      </c>
      <c r="E344" s="77"/>
      <c r="F344" s="78">
        <f>F345+F346</f>
        <v>22119.8</v>
      </c>
      <c r="G344" s="78">
        <f t="shared" ref="G344:H344" si="68">G345+G346</f>
        <v>18793.899999999998</v>
      </c>
      <c r="H344" s="78">
        <f t="shared" si="68"/>
        <v>18793.899999999998</v>
      </c>
    </row>
    <row r="345" spans="1:9" s="84" customFormat="1" ht="52.5" customHeight="1" x14ac:dyDescent="0.2">
      <c r="A345" s="85" t="s">
        <v>66</v>
      </c>
      <c r="B345" s="82" t="s">
        <v>43</v>
      </c>
      <c r="C345" s="82" t="s">
        <v>18</v>
      </c>
      <c r="D345" s="82" t="s">
        <v>426</v>
      </c>
      <c r="E345" s="83" t="s">
        <v>67</v>
      </c>
      <c r="F345" s="62">
        <f>'изменения июль вед стр-ра'!G408</f>
        <v>21630.1</v>
      </c>
      <c r="G345" s="62">
        <f>'изменения июль вед стр-ра'!H408</f>
        <v>18319.599999999999</v>
      </c>
      <c r="H345" s="62">
        <f>'изменения июль вед стр-ра'!I408</f>
        <v>18319.599999999999</v>
      </c>
    </row>
    <row r="346" spans="1:9" s="84" customFormat="1" ht="25.5" x14ac:dyDescent="0.2">
      <c r="A346" s="87" t="s">
        <v>76</v>
      </c>
      <c r="B346" s="82" t="s">
        <v>43</v>
      </c>
      <c r="C346" s="82" t="s">
        <v>18</v>
      </c>
      <c r="D346" s="82" t="s">
        <v>426</v>
      </c>
      <c r="E346" s="83" t="s">
        <v>68</v>
      </c>
      <c r="F346" s="62">
        <f>'изменения июль вед стр-ра'!G409</f>
        <v>489.7</v>
      </c>
      <c r="G346" s="62">
        <f>'изменения июль вед стр-ра'!H409</f>
        <v>474.3</v>
      </c>
      <c r="H346" s="62">
        <f>'изменения июль вед стр-ра'!I409</f>
        <v>474.3</v>
      </c>
    </row>
    <row r="347" spans="1:9" s="21" customFormat="1" ht="15.75" x14ac:dyDescent="0.25">
      <c r="A347" s="144" t="s">
        <v>52</v>
      </c>
      <c r="B347" s="143" t="s">
        <v>51</v>
      </c>
      <c r="C347" s="143" t="s">
        <v>463</v>
      </c>
      <c r="D347" s="143"/>
      <c r="E347" s="143"/>
      <c r="F347" s="206">
        <f>F348+F352+F363+F451+F488</f>
        <v>1153523.6949</v>
      </c>
      <c r="G347" s="206">
        <f>G348+G352+G363+G451+G488</f>
        <v>1158778.7000000002</v>
      </c>
      <c r="H347" s="206">
        <f>H348+H352+H363+H451+H488</f>
        <v>1091415.2</v>
      </c>
    </row>
    <row r="348" spans="1:9" s="79" customFormat="1" x14ac:dyDescent="0.2">
      <c r="A348" s="70" t="s">
        <v>53</v>
      </c>
      <c r="B348" s="72" t="s">
        <v>51</v>
      </c>
      <c r="C348" s="72" t="s">
        <v>12</v>
      </c>
      <c r="D348" s="72"/>
      <c r="E348" s="72"/>
      <c r="F348" s="73">
        <f>F349</f>
        <v>7375.7</v>
      </c>
      <c r="G348" s="73">
        <f>G349</f>
        <v>7375.7</v>
      </c>
      <c r="H348" s="73">
        <f>H349</f>
        <v>7375.7</v>
      </c>
    </row>
    <row r="349" spans="1:9" s="79" customFormat="1" ht="76.5" x14ac:dyDescent="0.2">
      <c r="A349" s="75" t="s">
        <v>263</v>
      </c>
      <c r="B349" s="77" t="s">
        <v>51</v>
      </c>
      <c r="C349" s="77" t="s">
        <v>12</v>
      </c>
      <c r="D349" s="77" t="s">
        <v>264</v>
      </c>
      <c r="E349" s="77"/>
      <c r="F349" s="78">
        <f>F351+F350</f>
        <v>7375.7</v>
      </c>
      <c r="G349" s="78">
        <f>G351+G350</f>
        <v>7375.7</v>
      </c>
      <c r="H349" s="78">
        <f>H351+H350</f>
        <v>7375.7</v>
      </c>
    </row>
    <row r="350" spans="1:9" s="79" customFormat="1" ht="25.5" x14ac:dyDescent="0.2">
      <c r="A350" s="87" t="s">
        <v>76</v>
      </c>
      <c r="B350" s="82" t="s">
        <v>51</v>
      </c>
      <c r="C350" s="82" t="s">
        <v>12</v>
      </c>
      <c r="D350" s="82" t="s">
        <v>264</v>
      </c>
      <c r="E350" s="83" t="s">
        <v>68</v>
      </c>
      <c r="F350" s="62">
        <f>'изменения июль вед стр-ра'!G425</f>
        <v>36.700000000000003</v>
      </c>
      <c r="G350" s="62">
        <f>'изменения июль вед стр-ра'!H425</f>
        <v>36.700000000000003</v>
      </c>
      <c r="H350" s="62">
        <f>'изменения июль вед стр-ра'!I425</f>
        <v>36.700000000000003</v>
      </c>
    </row>
    <row r="351" spans="1:9" s="79" customFormat="1" x14ac:dyDescent="0.2">
      <c r="A351" s="87" t="s">
        <v>69</v>
      </c>
      <c r="B351" s="82" t="s">
        <v>51</v>
      </c>
      <c r="C351" s="82" t="s">
        <v>12</v>
      </c>
      <c r="D351" s="82" t="s">
        <v>264</v>
      </c>
      <c r="E351" s="82" t="s">
        <v>70</v>
      </c>
      <c r="F351" s="62">
        <f>'изменения июль вед стр-ра'!G426</f>
        <v>7339</v>
      </c>
      <c r="G351" s="62">
        <f>'изменения июль вед стр-ра'!H426</f>
        <v>7339</v>
      </c>
      <c r="H351" s="62">
        <f>'изменения июль вед стр-ра'!I426</f>
        <v>7339</v>
      </c>
    </row>
    <row r="352" spans="1:9" s="79" customFormat="1" x14ac:dyDescent="0.2">
      <c r="A352" s="70" t="s">
        <v>54</v>
      </c>
      <c r="B352" s="72" t="s">
        <v>51</v>
      </c>
      <c r="C352" s="72" t="s">
        <v>14</v>
      </c>
      <c r="D352" s="72"/>
      <c r="E352" s="72"/>
      <c r="F352" s="73">
        <f>F353+F355+F361+F359</f>
        <v>172416.59999999998</v>
      </c>
      <c r="G352" s="73">
        <f t="shared" ref="G352:H352" si="69">G353+G355+G361+G359</f>
        <v>170188.5</v>
      </c>
      <c r="H352" s="73">
        <f t="shared" si="69"/>
        <v>170188.5</v>
      </c>
    </row>
    <row r="353" spans="1:9" s="79" customFormat="1" ht="51" x14ac:dyDescent="0.2">
      <c r="A353" s="75" t="s">
        <v>265</v>
      </c>
      <c r="B353" s="77" t="s">
        <v>51</v>
      </c>
      <c r="C353" s="77" t="s">
        <v>14</v>
      </c>
      <c r="D353" s="77" t="s">
        <v>97</v>
      </c>
      <c r="E353" s="77"/>
      <c r="F353" s="78">
        <f>F354</f>
        <v>121813.3</v>
      </c>
      <c r="G353" s="78">
        <f>G354</f>
        <v>121742.5</v>
      </c>
      <c r="H353" s="78">
        <f>H354</f>
        <v>121742.5</v>
      </c>
    </row>
    <row r="354" spans="1:9" s="79" customFormat="1" ht="25.5" x14ac:dyDescent="0.2">
      <c r="A354" s="87" t="s">
        <v>141</v>
      </c>
      <c r="B354" s="82" t="s">
        <v>51</v>
      </c>
      <c r="C354" s="82" t="s">
        <v>14</v>
      </c>
      <c r="D354" s="82" t="s">
        <v>98</v>
      </c>
      <c r="E354" s="82" t="s">
        <v>65</v>
      </c>
      <c r="F354" s="62">
        <f>'изменения июль вед стр-ра'!G429</f>
        <v>121813.3</v>
      </c>
      <c r="G354" s="62">
        <f>'изменения июль вед стр-ра'!H429</f>
        <v>121742.5</v>
      </c>
      <c r="H354" s="62">
        <f>'изменения июль вед стр-ра'!I429</f>
        <v>121742.5</v>
      </c>
    </row>
    <row r="355" spans="1:9" s="79" customFormat="1" ht="63.75" x14ac:dyDescent="0.2">
      <c r="A355" s="75" t="s">
        <v>266</v>
      </c>
      <c r="B355" s="77" t="s">
        <v>51</v>
      </c>
      <c r="C355" s="77" t="s">
        <v>14</v>
      </c>
      <c r="D355" s="77" t="s">
        <v>100</v>
      </c>
      <c r="E355" s="77"/>
      <c r="F355" s="78">
        <f>F356+F357+F358</f>
        <v>50550</v>
      </c>
      <c r="G355" s="78">
        <f t="shared" ref="G355:H355" si="70">G356+G357+G358</f>
        <v>48414</v>
      </c>
      <c r="H355" s="78">
        <f t="shared" si="70"/>
        <v>48414</v>
      </c>
    </row>
    <row r="356" spans="1:9" s="79" customFormat="1" ht="51" x14ac:dyDescent="0.2">
      <c r="A356" s="80" t="s">
        <v>66</v>
      </c>
      <c r="B356" s="82" t="s">
        <v>51</v>
      </c>
      <c r="C356" s="82" t="s">
        <v>14</v>
      </c>
      <c r="D356" s="82" t="s">
        <v>100</v>
      </c>
      <c r="E356" s="83" t="s">
        <v>67</v>
      </c>
      <c r="F356" s="62">
        <f>'изменения июль вед стр-ра'!G431</f>
        <v>42333.894260000001</v>
      </c>
      <c r="G356" s="62">
        <f>'изменения июль вед стр-ра'!H431</f>
        <v>42333.5</v>
      </c>
      <c r="H356" s="62">
        <f>'изменения июль вед стр-ра'!I431</f>
        <v>42333.5</v>
      </c>
    </row>
    <row r="357" spans="1:9" s="79" customFormat="1" ht="25.5" x14ac:dyDescent="0.2">
      <c r="A357" s="87" t="s">
        <v>76</v>
      </c>
      <c r="B357" s="82" t="s">
        <v>51</v>
      </c>
      <c r="C357" s="82" t="s">
        <v>14</v>
      </c>
      <c r="D357" s="82" t="s">
        <v>100</v>
      </c>
      <c r="E357" s="83" t="s">
        <v>68</v>
      </c>
      <c r="F357" s="62">
        <f>'изменения июль вед стр-ра'!G432</f>
        <v>7921.10574</v>
      </c>
      <c r="G357" s="62">
        <f>'изменения июль вед стр-ра'!H432</f>
        <v>5785.5</v>
      </c>
      <c r="H357" s="62">
        <f>'изменения июль вед стр-ра'!I432</f>
        <v>5785.5</v>
      </c>
    </row>
    <row r="358" spans="1:9" s="79" customFormat="1" x14ac:dyDescent="0.2">
      <c r="A358" s="87" t="s">
        <v>72</v>
      </c>
      <c r="B358" s="82" t="s">
        <v>51</v>
      </c>
      <c r="C358" s="82" t="s">
        <v>14</v>
      </c>
      <c r="D358" s="82" t="s">
        <v>100</v>
      </c>
      <c r="E358" s="82" t="s">
        <v>73</v>
      </c>
      <c r="F358" s="62">
        <f>'изменения июль вед стр-ра'!G433</f>
        <v>295</v>
      </c>
      <c r="G358" s="62">
        <f>'изменения июль вед стр-ра'!H433</f>
        <v>295</v>
      </c>
      <c r="H358" s="62">
        <f>'изменения июль вед стр-ра'!I433</f>
        <v>295</v>
      </c>
    </row>
    <row r="359" spans="1:9" s="79" customFormat="1" ht="25.5" x14ac:dyDescent="0.2">
      <c r="A359" s="18" t="s">
        <v>267</v>
      </c>
      <c r="B359" s="19" t="s">
        <v>51</v>
      </c>
      <c r="C359" s="19" t="s">
        <v>14</v>
      </c>
      <c r="D359" s="19" t="s">
        <v>340</v>
      </c>
      <c r="E359" s="19"/>
      <c r="F359" s="25">
        <f>F360</f>
        <v>21.3</v>
      </c>
      <c r="G359" s="25">
        <f t="shared" ref="G359:H359" si="71">G360</f>
        <v>0</v>
      </c>
      <c r="H359" s="25">
        <f t="shared" si="71"/>
        <v>0</v>
      </c>
    </row>
    <row r="360" spans="1:9" s="79" customFormat="1" ht="25.5" x14ac:dyDescent="0.2">
      <c r="A360" s="28" t="s">
        <v>76</v>
      </c>
      <c r="B360" s="24" t="s">
        <v>51</v>
      </c>
      <c r="C360" s="24" t="s">
        <v>14</v>
      </c>
      <c r="D360" s="24" t="s">
        <v>340</v>
      </c>
      <c r="E360" s="27" t="s">
        <v>68</v>
      </c>
      <c r="F360" s="25">
        <f>'изменения июль вед стр-ра'!G435</f>
        <v>21.3</v>
      </c>
      <c r="G360" s="25">
        <f>'изменения июль вед стр-ра'!H435</f>
        <v>0</v>
      </c>
      <c r="H360" s="25">
        <f>'изменения июль вед стр-ра'!I435</f>
        <v>0</v>
      </c>
    </row>
    <row r="361" spans="1:9" s="21" customFormat="1" ht="75" customHeight="1" x14ac:dyDescent="0.2">
      <c r="A361" s="18" t="s">
        <v>273</v>
      </c>
      <c r="B361" s="19" t="s">
        <v>51</v>
      </c>
      <c r="C361" s="19" t="s">
        <v>14</v>
      </c>
      <c r="D361" s="19" t="s">
        <v>118</v>
      </c>
      <c r="E361" s="19"/>
      <c r="F361" s="20">
        <f>F362</f>
        <v>32</v>
      </c>
      <c r="G361" s="20">
        <f t="shared" ref="G361:H361" si="72">G362</f>
        <v>32</v>
      </c>
      <c r="H361" s="20">
        <f t="shared" si="72"/>
        <v>32</v>
      </c>
    </row>
    <row r="362" spans="1:9" s="84" customFormat="1" ht="51.75" customHeight="1" x14ac:dyDescent="0.2">
      <c r="A362" s="80" t="s">
        <v>66</v>
      </c>
      <c r="B362" s="82" t="s">
        <v>51</v>
      </c>
      <c r="C362" s="82" t="s">
        <v>14</v>
      </c>
      <c r="D362" s="82" t="s">
        <v>118</v>
      </c>
      <c r="E362" s="82" t="s">
        <v>67</v>
      </c>
      <c r="F362" s="62">
        <f>'изменения июль вед стр-ра'!G437</f>
        <v>32</v>
      </c>
      <c r="G362" s="62">
        <f>'изменения июль вед стр-ра'!H437</f>
        <v>32</v>
      </c>
      <c r="H362" s="62">
        <f>'изменения июль вед стр-ра'!I437</f>
        <v>32</v>
      </c>
    </row>
    <row r="363" spans="1:9" s="79" customFormat="1" x14ac:dyDescent="0.2">
      <c r="A363" s="70" t="s">
        <v>55</v>
      </c>
      <c r="B363" s="72" t="s">
        <v>51</v>
      </c>
      <c r="C363" s="72" t="s">
        <v>16</v>
      </c>
      <c r="D363" s="72"/>
      <c r="E363" s="72"/>
      <c r="F363" s="73">
        <f>F375+F385+F390+F388+F395+F400+F403+F406+F409+F412+F415+F364+F368+F418+F421+F424+F427+F430+F432+F435+F438+F441+F444+F447+F397+F392+F371+F379+F383+F377+F381+F373</f>
        <v>657059.6949</v>
      </c>
      <c r="G363" s="73">
        <f t="shared" ref="G363:H363" si="73">G375+G385+G390+G388+G395+G400+G403+G406+G409+G412+G415+G364+G368+G418+G421+G424+G427+G430+G432+G435+G438+G441+G444+G447+G397+G392+G371+G379+G383+G377+G381+G373</f>
        <v>718487.50000000012</v>
      </c>
      <c r="H363" s="73">
        <f t="shared" si="73"/>
        <v>649228.10000000009</v>
      </c>
      <c r="I363" s="73" t="e">
        <f>I375+#REF!+I385+#REF!+I390+I388+I395+I400+I403+I406+I409+I412+I415+I364+I418+I421+I424+I427+I430+#REF!+I432+I435+I438+I441+I444+I447+I397+I392+I371+I379+I383+I377+I381+I373</f>
        <v>#REF!</v>
      </c>
    </row>
    <row r="364" spans="1:9" s="21" customFormat="1" ht="51" x14ac:dyDescent="0.2">
      <c r="A364" s="18" t="s">
        <v>252</v>
      </c>
      <c r="B364" s="19" t="s">
        <v>51</v>
      </c>
      <c r="C364" s="19" t="s">
        <v>16</v>
      </c>
      <c r="D364" s="19" t="s">
        <v>454</v>
      </c>
      <c r="E364" s="19"/>
      <c r="F364" s="20">
        <f>F366+F367+F365</f>
        <v>20432</v>
      </c>
      <c r="G364" s="20">
        <f>G366+G367+G365</f>
        <v>20432</v>
      </c>
      <c r="H364" s="20">
        <f>H366+H367+H365</f>
        <v>20432</v>
      </c>
    </row>
    <row r="365" spans="1:9" s="21" customFormat="1" ht="25.5" x14ac:dyDescent="0.2">
      <c r="A365" s="28" t="s">
        <v>76</v>
      </c>
      <c r="B365" s="24" t="s">
        <v>51</v>
      </c>
      <c r="C365" s="24" t="s">
        <v>16</v>
      </c>
      <c r="D365" s="24" t="s">
        <v>454</v>
      </c>
      <c r="E365" s="27" t="s">
        <v>68</v>
      </c>
      <c r="F365" s="25">
        <f>'изменения июль вед стр-ра'!G440</f>
        <v>63.9</v>
      </c>
      <c r="G365" s="25">
        <f>'изменения июль вед стр-ра'!H440</f>
        <v>63.9</v>
      </c>
      <c r="H365" s="25">
        <f>'изменения июль вед стр-ра'!I440</f>
        <v>63.9</v>
      </c>
    </row>
    <row r="366" spans="1:9" s="21" customFormat="1" x14ac:dyDescent="0.2">
      <c r="A366" s="28" t="s">
        <v>69</v>
      </c>
      <c r="B366" s="24" t="s">
        <v>51</v>
      </c>
      <c r="C366" s="24" t="s">
        <v>16</v>
      </c>
      <c r="D366" s="24" t="s">
        <v>454</v>
      </c>
      <c r="E366" s="24" t="s">
        <v>70</v>
      </c>
      <c r="F366" s="25">
        <f>'изменения июль вед стр-ра'!G441</f>
        <v>12703.3</v>
      </c>
      <c r="G366" s="25">
        <f>'изменения июль вед стр-ра'!H441</f>
        <v>12703.3</v>
      </c>
      <c r="H366" s="25">
        <f>'изменения июль вед стр-ра'!I441</f>
        <v>12703.3</v>
      </c>
    </row>
    <row r="367" spans="1:9" s="21" customFormat="1" ht="25.5" x14ac:dyDescent="0.2">
      <c r="A367" s="28" t="s">
        <v>141</v>
      </c>
      <c r="B367" s="24" t="s">
        <v>51</v>
      </c>
      <c r="C367" s="24" t="s">
        <v>16</v>
      </c>
      <c r="D367" s="24" t="s">
        <v>454</v>
      </c>
      <c r="E367" s="24" t="s">
        <v>65</v>
      </c>
      <c r="F367" s="25">
        <v>7664.8</v>
      </c>
      <c r="G367" s="25">
        <v>7664.8</v>
      </c>
      <c r="H367" s="25">
        <v>7664.8</v>
      </c>
    </row>
    <row r="368" spans="1:9" s="79" customFormat="1" ht="51" x14ac:dyDescent="0.2">
      <c r="A368" s="75" t="s">
        <v>274</v>
      </c>
      <c r="B368" s="77" t="s">
        <v>51</v>
      </c>
      <c r="C368" s="77" t="s">
        <v>16</v>
      </c>
      <c r="D368" s="77" t="s">
        <v>455</v>
      </c>
      <c r="E368" s="77"/>
      <c r="F368" s="78">
        <f>F370+F369</f>
        <v>9129</v>
      </c>
      <c r="G368" s="78">
        <f>G370+G369</f>
        <v>9129</v>
      </c>
      <c r="H368" s="78">
        <f>H370+H369</f>
        <v>9129</v>
      </c>
    </row>
    <row r="369" spans="1:8" s="79" customFormat="1" ht="25.5" x14ac:dyDescent="0.2">
      <c r="A369" s="87" t="s">
        <v>76</v>
      </c>
      <c r="B369" s="82" t="s">
        <v>51</v>
      </c>
      <c r="C369" s="82" t="s">
        <v>16</v>
      </c>
      <c r="D369" s="82" t="s">
        <v>455</v>
      </c>
      <c r="E369" s="83" t="s">
        <v>68</v>
      </c>
      <c r="F369" s="62">
        <f>'изменения июль вед стр-ра'!G443</f>
        <v>3.3</v>
      </c>
      <c r="G369" s="62">
        <f>'изменения июль вед стр-ра'!H443</f>
        <v>3.3</v>
      </c>
      <c r="H369" s="62">
        <f>'изменения июль вед стр-ра'!I443</f>
        <v>3.3</v>
      </c>
    </row>
    <row r="370" spans="1:8" s="79" customFormat="1" x14ac:dyDescent="0.2">
      <c r="A370" s="87" t="s">
        <v>69</v>
      </c>
      <c r="B370" s="82" t="s">
        <v>51</v>
      </c>
      <c r="C370" s="82" t="s">
        <v>16</v>
      </c>
      <c r="D370" s="82" t="s">
        <v>455</v>
      </c>
      <c r="E370" s="82" t="s">
        <v>70</v>
      </c>
      <c r="F370" s="62">
        <f>'изменения июль вед стр-ра'!G444</f>
        <v>9125.7000000000007</v>
      </c>
      <c r="G370" s="62">
        <f>'изменения июль вед стр-ра'!H444</f>
        <v>9125.7000000000007</v>
      </c>
      <c r="H370" s="62">
        <f>'изменения июль вед стр-ра'!I444</f>
        <v>9125.7000000000007</v>
      </c>
    </row>
    <row r="371" spans="1:8" s="21" customFormat="1" ht="51" x14ac:dyDescent="0.2">
      <c r="A371" s="18" t="s">
        <v>373</v>
      </c>
      <c r="B371" s="19" t="s">
        <v>51</v>
      </c>
      <c r="C371" s="19" t="s">
        <v>16</v>
      </c>
      <c r="D371" s="19" t="s">
        <v>372</v>
      </c>
      <c r="E371" s="19"/>
      <c r="F371" s="20">
        <f>F372</f>
        <v>1329.3999999999999</v>
      </c>
      <c r="G371" s="20">
        <f>G372</f>
        <v>1330</v>
      </c>
      <c r="H371" s="20">
        <f>H372</f>
        <v>701.7</v>
      </c>
    </row>
    <row r="372" spans="1:8" s="21" customFormat="1" ht="25.5" x14ac:dyDescent="0.2">
      <c r="A372" s="28" t="s">
        <v>83</v>
      </c>
      <c r="B372" s="24" t="s">
        <v>51</v>
      </c>
      <c r="C372" s="24" t="s">
        <v>16</v>
      </c>
      <c r="D372" s="24" t="s">
        <v>372</v>
      </c>
      <c r="E372" s="24" t="s">
        <v>71</v>
      </c>
      <c r="F372" s="25">
        <f>'изменения июль вед стр-ра'!G108</f>
        <v>1329.3999999999999</v>
      </c>
      <c r="G372" s="25">
        <f>'изменения июль вед стр-ра'!H108</f>
        <v>1330</v>
      </c>
      <c r="H372" s="25">
        <f>'изменения июль вед стр-ра'!I108</f>
        <v>701.7</v>
      </c>
    </row>
    <row r="373" spans="1:8" s="21" customFormat="1" ht="76.5" x14ac:dyDescent="0.2">
      <c r="A373" s="18" t="s">
        <v>414</v>
      </c>
      <c r="B373" s="19" t="s">
        <v>51</v>
      </c>
      <c r="C373" s="19" t="s">
        <v>16</v>
      </c>
      <c r="D373" s="19" t="s">
        <v>413</v>
      </c>
      <c r="E373" s="19"/>
      <c r="F373" s="20">
        <f>F374</f>
        <v>2515.8000000000002</v>
      </c>
      <c r="G373" s="20">
        <f t="shared" ref="G373:H373" si="74">G374</f>
        <v>0</v>
      </c>
      <c r="H373" s="20">
        <f t="shared" si="74"/>
        <v>0</v>
      </c>
    </row>
    <row r="374" spans="1:8" s="21" customFormat="1" x14ac:dyDescent="0.2">
      <c r="A374" s="59" t="s">
        <v>69</v>
      </c>
      <c r="B374" s="24" t="s">
        <v>51</v>
      </c>
      <c r="C374" s="24" t="s">
        <v>16</v>
      </c>
      <c r="D374" s="24" t="s">
        <v>413</v>
      </c>
      <c r="E374" s="24" t="s">
        <v>70</v>
      </c>
      <c r="F374" s="20">
        <f>'изменения июль вед стр-ра'!G110</f>
        <v>2515.8000000000002</v>
      </c>
      <c r="G374" s="20">
        <f>'изменения июль вед стр-ра'!H110</f>
        <v>0</v>
      </c>
      <c r="H374" s="20">
        <f>'изменения июль вед стр-ра'!I110</f>
        <v>0</v>
      </c>
    </row>
    <row r="375" spans="1:8" s="21" customFormat="1" ht="63.75" x14ac:dyDescent="0.2">
      <c r="A375" s="18" t="s">
        <v>606</v>
      </c>
      <c r="B375" s="19" t="s">
        <v>51</v>
      </c>
      <c r="C375" s="19" t="s">
        <v>16</v>
      </c>
      <c r="D375" s="19" t="s">
        <v>89</v>
      </c>
      <c r="E375" s="19"/>
      <c r="F375" s="20">
        <f>F376</f>
        <v>3773.7</v>
      </c>
      <c r="G375" s="20">
        <f t="shared" ref="G375:H375" si="75">G376</f>
        <v>2527.5</v>
      </c>
      <c r="H375" s="20">
        <f t="shared" si="75"/>
        <v>1262.5</v>
      </c>
    </row>
    <row r="376" spans="1:8" s="21" customFormat="1" x14ac:dyDescent="0.2">
      <c r="A376" s="28" t="s">
        <v>69</v>
      </c>
      <c r="B376" s="19" t="s">
        <v>51</v>
      </c>
      <c r="C376" s="19" t="s">
        <v>16</v>
      </c>
      <c r="D376" s="19" t="s">
        <v>89</v>
      </c>
      <c r="E376" s="19" t="s">
        <v>70</v>
      </c>
      <c r="F376" s="20">
        <f>'изменения июль вед стр-ра'!G112</f>
        <v>3773.7</v>
      </c>
      <c r="G376" s="20">
        <f>'изменения июль вед стр-ра'!H112</f>
        <v>2527.5</v>
      </c>
      <c r="H376" s="20">
        <f>'изменения июль вед стр-ра'!I112</f>
        <v>1262.5</v>
      </c>
    </row>
    <row r="377" spans="1:8" s="21" customFormat="1" ht="25.5" x14ac:dyDescent="0.2">
      <c r="A377" s="18" t="s">
        <v>351</v>
      </c>
      <c r="B377" s="19" t="s">
        <v>51</v>
      </c>
      <c r="C377" s="19" t="s">
        <v>16</v>
      </c>
      <c r="D377" s="19" t="s">
        <v>350</v>
      </c>
      <c r="E377" s="19"/>
      <c r="F377" s="20">
        <f>F378</f>
        <v>25414.9</v>
      </c>
      <c r="G377" s="20">
        <f>G378</f>
        <v>21142.799999999999</v>
      </c>
      <c r="H377" s="20">
        <f>H378</f>
        <v>21142.799999999999</v>
      </c>
    </row>
    <row r="378" spans="1:8" s="26" customFormat="1" ht="25.5" x14ac:dyDescent="0.2">
      <c r="A378" s="28" t="s">
        <v>83</v>
      </c>
      <c r="B378" s="24" t="s">
        <v>51</v>
      </c>
      <c r="C378" s="24" t="s">
        <v>16</v>
      </c>
      <c r="D378" s="24" t="s">
        <v>350</v>
      </c>
      <c r="E378" s="24" t="s">
        <v>71</v>
      </c>
      <c r="F378" s="25">
        <f>'изменения июль вед стр-ра'!G114</f>
        <v>25414.9</v>
      </c>
      <c r="G378" s="25">
        <f>'изменения июль вед стр-ра'!H114</f>
        <v>21142.799999999999</v>
      </c>
      <c r="H378" s="25">
        <f>'изменения июль вед стр-ра'!I114</f>
        <v>21142.799999999999</v>
      </c>
    </row>
    <row r="379" spans="1:8" s="21" customFormat="1" ht="38.25" x14ac:dyDescent="0.2">
      <c r="A379" s="18" t="s">
        <v>341</v>
      </c>
      <c r="B379" s="19" t="s">
        <v>51</v>
      </c>
      <c r="C379" s="19" t="s">
        <v>16</v>
      </c>
      <c r="D379" s="19" t="s">
        <v>170</v>
      </c>
      <c r="E379" s="19"/>
      <c r="F379" s="20">
        <f>F380</f>
        <v>4158.1000000000004</v>
      </c>
      <c r="G379" s="20">
        <f>G380</f>
        <v>0</v>
      </c>
      <c r="H379" s="20">
        <f>H380</f>
        <v>0</v>
      </c>
    </row>
    <row r="380" spans="1:8" s="26" customFormat="1" ht="25.5" x14ac:dyDescent="0.2">
      <c r="A380" s="28" t="s">
        <v>83</v>
      </c>
      <c r="B380" s="24" t="s">
        <v>51</v>
      </c>
      <c r="C380" s="24" t="s">
        <v>16</v>
      </c>
      <c r="D380" s="24" t="s">
        <v>170</v>
      </c>
      <c r="E380" s="24" t="s">
        <v>71</v>
      </c>
      <c r="F380" s="25">
        <f>'изменения июль вед стр-ра'!G116+'изменения июль вед стр-ра'!G199</f>
        <v>4158.1000000000004</v>
      </c>
      <c r="G380" s="25">
        <f>'изменения июль вед стр-ра'!H116+'изменения июль вед стр-ра'!H199</f>
        <v>0</v>
      </c>
      <c r="H380" s="25">
        <f>'изменения июль вед стр-ра'!I116+'изменения июль вед стр-ра'!I199</f>
        <v>0</v>
      </c>
    </row>
    <row r="381" spans="1:8" s="79" customFormat="1" x14ac:dyDescent="0.2">
      <c r="A381" s="75" t="s">
        <v>386</v>
      </c>
      <c r="B381" s="77" t="s">
        <v>51</v>
      </c>
      <c r="C381" s="77" t="s">
        <v>16</v>
      </c>
      <c r="D381" s="77" t="s">
        <v>385</v>
      </c>
      <c r="E381" s="77"/>
      <c r="F381" s="78">
        <f>F382</f>
        <v>5168.35563</v>
      </c>
      <c r="G381" s="78">
        <f>G382</f>
        <v>1966.3</v>
      </c>
      <c r="H381" s="78">
        <f>H382</f>
        <v>1966.3</v>
      </c>
    </row>
    <row r="382" spans="1:8" s="84" customFormat="1" x14ac:dyDescent="0.2">
      <c r="A382" s="104" t="s">
        <v>69</v>
      </c>
      <c r="B382" s="82" t="s">
        <v>51</v>
      </c>
      <c r="C382" s="82" t="s">
        <v>16</v>
      </c>
      <c r="D382" s="82" t="s">
        <v>385</v>
      </c>
      <c r="E382" s="105">
        <v>300</v>
      </c>
      <c r="F382" s="62">
        <f>'изменения июль вед стр-ра'!G118</f>
        <v>5168.35563</v>
      </c>
      <c r="G382" s="62">
        <f>'изменения июль вед стр-ра'!H118</f>
        <v>1966.3</v>
      </c>
      <c r="H382" s="62">
        <f>'изменения июль вед стр-ра'!I118</f>
        <v>1966.3</v>
      </c>
    </row>
    <row r="383" spans="1:8" s="79" customFormat="1" ht="25.5" x14ac:dyDescent="0.2">
      <c r="A383" s="75" t="s">
        <v>169</v>
      </c>
      <c r="B383" s="77" t="s">
        <v>51</v>
      </c>
      <c r="C383" s="77" t="s">
        <v>16</v>
      </c>
      <c r="D383" s="77" t="s">
        <v>90</v>
      </c>
      <c r="E383" s="77"/>
      <c r="F383" s="78">
        <f>F384</f>
        <v>262958.3</v>
      </c>
      <c r="G383" s="78">
        <f>G384</f>
        <v>340671.4</v>
      </c>
      <c r="H383" s="78">
        <f>H384</f>
        <v>272908.5</v>
      </c>
    </row>
    <row r="384" spans="1:8" s="84" customFormat="1" x14ac:dyDescent="0.2">
      <c r="A384" s="87" t="s">
        <v>69</v>
      </c>
      <c r="B384" s="82" t="s">
        <v>51</v>
      </c>
      <c r="C384" s="82" t="s">
        <v>16</v>
      </c>
      <c r="D384" s="82" t="s">
        <v>90</v>
      </c>
      <c r="E384" s="82" t="s">
        <v>70</v>
      </c>
      <c r="F384" s="62">
        <f>'изменения июль вед стр-ра'!G120</f>
        <v>262958.3</v>
      </c>
      <c r="G384" s="62">
        <f>'изменения июль вед стр-ра'!H120</f>
        <v>340671.4</v>
      </c>
      <c r="H384" s="62">
        <f>'изменения июль вед стр-ра'!I120</f>
        <v>272908.5</v>
      </c>
    </row>
    <row r="385" spans="1:9" s="21" customFormat="1" ht="25.5" x14ac:dyDescent="0.2">
      <c r="A385" s="18" t="s">
        <v>359</v>
      </c>
      <c r="B385" s="19" t="s">
        <v>51</v>
      </c>
      <c r="C385" s="19" t="s">
        <v>16</v>
      </c>
      <c r="D385" s="19" t="s">
        <v>85</v>
      </c>
      <c r="E385" s="19"/>
      <c r="F385" s="20">
        <f>F386+F387</f>
        <v>1600</v>
      </c>
      <c r="G385" s="20">
        <f t="shared" ref="G385:H385" si="76">G386+G387</f>
        <v>1600</v>
      </c>
      <c r="H385" s="20">
        <f t="shared" si="76"/>
        <v>1600</v>
      </c>
    </row>
    <row r="386" spans="1:9" s="21" customFormat="1" x14ac:dyDescent="0.2">
      <c r="A386" s="59" t="s">
        <v>69</v>
      </c>
      <c r="B386" s="24" t="s">
        <v>51</v>
      </c>
      <c r="C386" s="24" t="s">
        <v>16</v>
      </c>
      <c r="D386" s="24" t="s">
        <v>85</v>
      </c>
      <c r="E386" s="24" t="s">
        <v>70</v>
      </c>
      <c r="F386" s="25">
        <f>'изменения июль вед стр-ра'!G333+'изменения июль вед стр-ра'!G413</f>
        <v>230.7</v>
      </c>
      <c r="G386" s="25">
        <f>'изменения июль вед стр-ра'!H333+'изменения июль вед стр-ра'!H413</f>
        <v>230.7</v>
      </c>
      <c r="H386" s="25">
        <f>'изменения июль вед стр-ра'!I333+'изменения июль вед стр-ра'!I413</f>
        <v>230.7</v>
      </c>
    </row>
    <row r="387" spans="1:9" s="21" customFormat="1" ht="25.5" x14ac:dyDescent="0.2">
      <c r="A387" s="28" t="s">
        <v>141</v>
      </c>
      <c r="B387" s="24" t="s">
        <v>51</v>
      </c>
      <c r="C387" s="24" t="s">
        <v>16</v>
      </c>
      <c r="D387" s="24" t="s">
        <v>85</v>
      </c>
      <c r="E387" s="24" t="s">
        <v>65</v>
      </c>
      <c r="F387" s="25">
        <f>'изменения июль вед стр-ра'!G334</f>
        <v>1369.3</v>
      </c>
      <c r="G387" s="25">
        <f>'изменения июль вед стр-ра'!H334</f>
        <v>1369.3</v>
      </c>
      <c r="H387" s="25">
        <f>'изменения июль вед стр-ра'!I334</f>
        <v>1369.3</v>
      </c>
    </row>
    <row r="388" spans="1:9" s="21" customFormat="1" ht="38.25" x14ac:dyDescent="0.2">
      <c r="A388" s="18" t="s">
        <v>247</v>
      </c>
      <c r="B388" s="19" t="s">
        <v>51</v>
      </c>
      <c r="C388" s="19" t="s">
        <v>16</v>
      </c>
      <c r="D388" s="19" t="s">
        <v>126</v>
      </c>
      <c r="E388" s="19"/>
      <c r="F388" s="20">
        <f>F389</f>
        <v>207</v>
      </c>
      <c r="G388" s="20">
        <f>G389</f>
        <v>207</v>
      </c>
      <c r="H388" s="20">
        <f>H389</f>
        <v>207</v>
      </c>
    </row>
    <row r="389" spans="1:9" s="21" customFormat="1" x14ac:dyDescent="0.2">
      <c r="A389" s="59" t="s">
        <v>69</v>
      </c>
      <c r="B389" s="24" t="s">
        <v>51</v>
      </c>
      <c r="C389" s="24" t="s">
        <v>16</v>
      </c>
      <c r="D389" s="24" t="s">
        <v>126</v>
      </c>
      <c r="E389" s="29">
        <v>300</v>
      </c>
      <c r="F389" s="25">
        <f>'изменения июль вед стр-ра'!G336</f>
        <v>207</v>
      </c>
      <c r="G389" s="25">
        <f>'изменения июль вед стр-ра'!H336</f>
        <v>207</v>
      </c>
      <c r="H389" s="25">
        <f>'изменения июль вед стр-ра'!I336</f>
        <v>207</v>
      </c>
    </row>
    <row r="390" spans="1:9" s="21" customFormat="1" ht="38.25" x14ac:dyDescent="0.2">
      <c r="A390" s="47" t="s">
        <v>249</v>
      </c>
      <c r="B390" s="19" t="s">
        <v>51</v>
      </c>
      <c r="C390" s="19" t="s">
        <v>16</v>
      </c>
      <c r="D390" s="19" t="s">
        <v>124</v>
      </c>
      <c r="E390" s="19"/>
      <c r="F390" s="20">
        <f>F391</f>
        <v>570</v>
      </c>
      <c r="G390" s="20">
        <f>G391</f>
        <v>570</v>
      </c>
      <c r="H390" s="20">
        <f>H391</f>
        <v>570</v>
      </c>
    </row>
    <row r="391" spans="1:9" s="21" customFormat="1" x14ac:dyDescent="0.2">
      <c r="A391" s="59" t="s">
        <v>69</v>
      </c>
      <c r="B391" s="24" t="s">
        <v>51</v>
      </c>
      <c r="C391" s="24" t="s">
        <v>16</v>
      </c>
      <c r="D391" s="24" t="s">
        <v>124</v>
      </c>
      <c r="E391" s="24" t="s">
        <v>70</v>
      </c>
      <c r="F391" s="25">
        <f>'изменения июль вед стр-ра'!G338</f>
        <v>570</v>
      </c>
      <c r="G391" s="25">
        <f>'изменения июль вед стр-ра'!H338</f>
        <v>570</v>
      </c>
      <c r="H391" s="25">
        <f>'изменения июль вед стр-ра'!I338</f>
        <v>570</v>
      </c>
    </row>
    <row r="392" spans="1:9" s="79" customFormat="1" ht="25.5" x14ac:dyDescent="0.2">
      <c r="A392" s="106" t="s">
        <v>250</v>
      </c>
      <c r="B392" s="77" t="s">
        <v>51</v>
      </c>
      <c r="C392" s="77" t="s">
        <v>16</v>
      </c>
      <c r="D392" s="77" t="s">
        <v>132</v>
      </c>
      <c r="E392" s="77"/>
      <c r="F392" s="78">
        <f>F394+F393</f>
        <v>2112.6</v>
      </c>
      <c r="G392" s="78">
        <f>G394+G393</f>
        <v>636</v>
      </c>
      <c r="H392" s="78">
        <f>H394+H393</f>
        <v>636</v>
      </c>
    </row>
    <row r="393" spans="1:9" s="79" customFormat="1" ht="25.5" x14ac:dyDescent="0.2">
      <c r="A393" s="87" t="s">
        <v>76</v>
      </c>
      <c r="B393" s="82" t="s">
        <v>51</v>
      </c>
      <c r="C393" s="82" t="s">
        <v>16</v>
      </c>
      <c r="D393" s="82" t="s">
        <v>132</v>
      </c>
      <c r="E393" s="83" t="s">
        <v>68</v>
      </c>
      <c r="F393" s="62">
        <f>'изменения июль вед стр-ра'!G340</f>
        <v>476.59999999999997</v>
      </c>
      <c r="G393" s="62">
        <f>'изменения июль вед стр-ра'!H340</f>
        <v>118.8</v>
      </c>
      <c r="H393" s="62">
        <f>'изменения июль вед стр-ра'!I340</f>
        <v>118.8</v>
      </c>
      <c r="I393" s="62">
        <f>'изменения июль вед стр-ра'!J340</f>
        <v>0</v>
      </c>
    </row>
    <row r="394" spans="1:9" s="79" customFormat="1" ht="25.5" x14ac:dyDescent="0.2">
      <c r="A394" s="87" t="s">
        <v>141</v>
      </c>
      <c r="B394" s="82" t="s">
        <v>51</v>
      </c>
      <c r="C394" s="82" t="s">
        <v>16</v>
      </c>
      <c r="D394" s="82" t="s">
        <v>132</v>
      </c>
      <c r="E394" s="82" t="s">
        <v>65</v>
      </c>
      <c r="F394" s="62">
        <f>'изменения июль вед стр-ра'!G341</f>
        <v>1636</v>
      </c>
      <c r="G394" s="62">
        <f>'изменения июль вед стр-ра'!H341</f>
        <v>517.20000000000005</v>
      </c>
      <c r="H394" s="62">
        <f>'изменения июль вед стр-ра'!I341</f>
        <v>517.20000000000005</v>
      </c>
      <c r="I394" s="62">
        <f>'изменения июль вед стр-ра'!J341</f>
        <v>0</v>
      </c>
    </row>
    <row r="395" spans="1:9" s="21" customFormat="1" ht="63.75" x14ac:dyDescent="0.2">
      <c r="A395" s="18" t="s">
        <v>665</v>
      </c>
      <c r="B395" s="19" t="s">
        <v>51</v>
      </c>
      <c r="C395" s="19" t="s">
        <v>16</v>
      </c>
      <c r="D395" s="19" t="s">
        <v>127</v>
      </c>
      <c r="E395" s="19"/>
      <c r="F395" s="20">
        <f>F396</f>
        <v>600</v>
      </c>
      <c r="G395" s="20">
        <f>G396</f>
        <v>1000</v>
      </c>
      <c r="H395" s="20">
        <f>H396</f>
        <v>1000</v>
      </c>
    </row>
    <row r="396" spans="1:9" s="79" customFormat="1" x14ac:dyDescent="0.2">
      <c r="A396" s="87" t="s">
        <v>69</v>
      </c>
      <c r="B396" s="82" t="s">
        <v>51</v>
      </c>
      <c r="C396" s="82" t="s">
        <v>16</v>
      </c>
      <c r="D396" s="82" t="s">
        <v>127</v>
      </c>
      <c r="E396" s="82" t="s">
        <v>70</v>
      </c>
      <c r="F396" s="62">
        <f>'изменения июль вед стр-ра'!G343</f>
        <v>600</v>
      </c>
      <c r="G396" s="62">
        <f>'изменения июль вед стр-ра'!H343</f>
        <v>1000</v>
      </c>
      <c r="H396" s="62">
        <f>'изменения июль вед стр-ра'!I343</f>
        <v>1000</v>
      </c>
    </row>
    <row r="397" spans="1:9" s="21" customFormat="1" ht="38.25" x14ac:dyDescent="0.2">
      <c r="A397" s="18" t="s">
        <v>268</v>
      </c>
      <c r="B397" s="19" t="s">
        <v>51</v>
      </c>
      <c r="C397" s="19" t="s">
        <v>16</v>
      </c>
      <c r="D397" s="19" t="s">
        <v>117</v>
      </c>
      <c r="E397" s="19"/>
      <c r="F397" s="20">
        <f>F399+F398</f>
        <v>469.7</v>
      </c>
      <c r="G397" s="20">
        <f>G399+G398</f>
        <v>548.90000000000009</v>
      </c>
      <c r="H397" s="20">
        <f>H399+H398</f>
        <v>582.69999999999993</v>
      </c>
    </row>
    <row r="398" spans="1:9" s="21" customFormat="1" ht="25.5" x14ac:dyDescent="0.2">
      <c r="A398" s="28" t="s">
        <v>76</v>
      </c>
      <c r="B398" s="24" t="s">
        <v>51</v>
      </c>
      <c r="C398" s="24" t="s">
        <v>16</v>
      </c>
      <c r="D398" s="24" t="s">
        <v>117</v>
      </c>
      <c r="E398" s="27" t="s">
        <v>68</v>
      </c>
      <c r="F398" s="25">
        <f>'изменения июль вед стр-ра'!G446</f>
        <v>2.5</v>
      </c>
      <c r="G398" s="25">
        <f>'изменения июль вед стр-ра'!H446</f>
        <v>2.7</v>
      </c>
      <c r="H398" s="25">
        <f>'изменения июль вед стр-ра'!I446</f>
        <v>2.9</v>
      </c>
    </row>
    <row r="399" spans="1:9" s="79" customFormat="1" x14ac:dyDescent="0.2">
      <c r="A399" s="87" t="s">
        <v>69</v>
      </c>
      <c r="B399" s="82" t="s">
        <v>51</v>
      </c>
      <c r="C399" s="82" t="s">
        <v>16</v>
      </c>
      <c r="D399" s="82" t="s">
        <v>117</v>
      </c>
      <c r="E399" s="82" t="s">
        <v>70</v>
      </c>
      <c r="F399" s="25">
        <f>'изменения июль вед стр-ра'!G447</f>
        <v>467.2</v>
      </c>
      <c r="G399" s="25">
        <f>'изменения июль вед стр-ра'!H447</f>
        <v>546.20000000000005</v>
      </c>
      <c r="H399" s="25">
        <f>'изменения июль вед стр-ра'!I447</f>
        <v>579.79999999999995</v>
      </c>
    </row>
    <row r="400" spans="1:9" s="79" customFormat="1" ht="38.25" x14ac:dyDescent="0.2">
      <c r="A400" s="75" t="s">
        <v>269</v>
      </c>
      <c r="B400" s="77" t="s">
        <v>51</v>
      </c>
      <c r="C400" s="77" t="s">
        <v>16</v>
      </c>
      <c r="D400" s="77" t="s">
        <v>102</v>
      </c>
      <c r="E400" s="77"/>
      <c r="F400" s="78">
        <f>F402+F401</f>
        <v>9410.2392699999982</v>
      </c>
      <c r="G400" s="78">
        <f>G402+G401</f>
        <v>9084</v>
      </c>
      <c r="H400" s="78">
        <f>H402+H401</f>
        <v>9447</v>
      </c>
    </row>
    <row r="401" spans="1:8" s="79" customFormat="1" ht="25.5" x14ac:dyDescent="0.2">
      <c r="A401" s="87" t="s">
        <v>76</v>
      </c>
      <c r="B401" s="82" t="s">
        <v>51</v>
      </c>
      <c r="C401" s="82" t="s">
        <v>16</v>
      </c>
      <c r="D401" s="82" t="s">
        <v>102</v>
      </c>
      <c r="E401" s="83" t="s">
        <v>68</v>
      </c>
      <c r="F401" s="62">
        <f>'изменения июль вед стр-ра'!G449</f>
        <v>46.183709999999998</v>
      </c>
      <c r="G401" s="62">
        <f>'изменения июль вед стр-ра'!H449</f>
        <v>45.4</v>
      </c>
      <c r="H401" s="62">
        <f>'изменения июль вед стр-ра'!I449</f>
        <v>47.2</v>
      </c>
    </row>
    <row r="402" spans="1:8" s="79" customFormat="1" x14ac:dyDescent="0.2">
      <c r="A402" s="87" t="s">
        <v>69</v>
      </c>
      <c r="B402" s="82" t="s">
        <v>51</v>
      </c>
      <c r="C402" s="82" t="s">
        <v>16</v>
      </c>
      <c r="D402" s="82" t="s">
        <v>102</v>
      </c>
      <c r="E402" s="82" t="s">
        <v>70</v>
      </c>
      <c r="F402" s="62">
        <f>'изменения июль вед стр-ра'!G450</f>
        <v>9364.0555599999989</v>
      </c>
      <c r="G402" s="62">
        <f>'изменения июль вед стр-ра'!H450</f>
        <v>9038.6</v>
      </c>
      <c r="H402" s="62">
        <f>'изменения июль вед стр-ра'!I450</f>
        <v>9399.7999999999993</v>
      </c>
    </row>
    <row r="403" spans="1:8" s="21" customFormat="1" ht="25.5" x14ac:dyDescent="0.2">
      <c r="A403" s="18" t="s">
        <v>270</v>
      </c>
      <c r="B403" s="19" t="s">
        <v>51</v>
      </c>
      <c r="C403" s="19" t="s">
        <v>16</v>
      </c>
      <c r="D403" s="19" t="s">
        <v>104</v>
      </c>
      <c r="E403" s="19"/>
      <c r="F403" s="20">
        <f>F405+F404</f>
        <v>53744</v>
      </c>
      <c r="G403" s="20">
        <f>G405+G404</f>
        <v>53744</v>
      </c>
      <c r="H403" s="20">
        <f>H405+H404</f>
        <v>53744</v>
      </c>
    </row>
    <row r="404" spans="1:8" s="21" customFormat="1" ht="25.5" x14ac:dyDescent="0.2">
      <c r="A404" s="28" t="s">
        <v>76</v>
      </c>
      <c r="B404" s="24" t="s">
        <v>51</v>
      </c>
      <c r="C404" s="24" t="s">
        <v>16</v>
      </c>
      <c r="D404" s="24" t="s">
        <v>104</v>
      </c>
      <c r="E404" s="27" t="s">
        <v>68</v>
      </c>
      <c r="F404" s="25">
        <f>'изменения июль вед стр-ра'!G452</f>
        <v>711</v>
      </c>
      <c r="G404" s="25">
        <f>'изменения июль вед стр-ра'!H452</f>
        <v>711</v>
      </c>
      <c r="H404" s="25">
        <f>'изменения июль вед стр-ра'!I452</f>
        <v>711</v>
      </c>
    </row>
    <row r="405" spans="1:8" s="21" customFormat="1" x14ac:dyDescent="0.2">
      <c r="A405" s="28" t="s">
        <v>69</v>
      </c>
      <c r="B405" s="24" t="s">
        <v>51</v>
      </c>
      <c r="C405" s="24" t="s">
        <v>16</v>
      </c>
      <c r="D405" s="24" t="s">
        <v>104</v>
      </c>
      <c r="E405" s="24" t="s">
        <v>70</v>
      </c>
      <c r="F405" s="25">
        <f>'изменения июль вед стр-ра'!G453</f>
        <v>53033</v>
      </c>
      <c r="G405" s="25">
        <f>'изменения июль вед стр-ра'!H453</f>
        <v>53033</v>
      </c>
      <c r="H405" s="25">
        <f>'изменения июль вед стр-ра'!I453</f>
        <v>53033</v>
      </c>
    </row>
    <row r="406" spans="1:8" s="21" customFormat="1" ht="76.5" x14ac:dyDescent="0.2">
      <c r="A406" s="18" t="s">
        <v>271</v>
      </c>
      <c r="B406" s="19" t="s">
        <v>51</v>
      </c>
      <c r="C406" s="19" t="s">
        <v>16</v>
      </c>
      <c r="D406" s="19" t="s">
        <v>103</v>
      </c>
      <c r="E406" s="19"/>
      <c r="F406" s="20">
        <f>F407+F408</f>
        <v>1.0000000000000004</v>
      </c>
      <c r="G406" s="20">
        <f>G407+G408</f>
        <v>6</v>
      </c>
      <c r="H406" s="20">
        <f>H407+H408</f>
        <v>6</v>
      </c>
    </row>
    <row r="407" spans="1:8" s="79" customFormat="1" ht="25.5" x14ac:dyDescent="0.2">
      <c r="A407" s="87" t="s">
        <v>76</v>
      </c>
      <c r="B407" s="82" t="s">
        <v>51</v>
      </c>
      <c r="C407" s="82" t="s">
        <v>16</v>
      </c>
      <c r="D407" s="82" t="s">
        <v>103</v>
      </c>
      <c r="E407" s="83" t="s">
        <v>68</v>
      </c>
      <c r="F407" s="62">
        <f>'изменения июль вед стр-ра'!G455</f>
        <v>0.1</v>
      </c>
      <c r="G407" s="62">
        <f>'изменения июль вед стр-ра'!H455</f>
        <v>0.1</v>
      </c>
      <c r="H407" s="62">
        <f>'изменения июль вед стр-ра'!I455</f>
        <v>0.1</v>
      </c>
    </row>
    <row r="408" spans="1:8" s="79" customFormat="1" x14ac:dyDescent="0.2">
      <c r="A408" s="87" t="s">
        <v>69</v>
      </c>
      <c r="B408" s="82" t="s">
        <v>51</v>
      </c>
      <c r="C408" s="82" t="s">
        <v>16</v>
      </c>
      <c r="D408" s="82" t="s">
        <v>103</v>
      </c>
      <c r="E408" s="82" t="s">
        <v>70</v>
      </c>
      <c r="F408" s="62">
        <f>'изменения июль вед стр-ра'!G456</f>
        <v>0.90000000000000036</v>
      </c>
      <c r="G408" s="62">
        <f>'изменения июль вед стр-ра'!H456</f>
        <v>5.9</v>
      </c>
      <c r="H408" s="62">
        <f>'изменения июль вед стр-ра'!I456</f>
        <v>5.9</v>
      </c>
    </row>
    <row r="409" spans="1:8" s="21" customFormat="1" ht="63.75" x14ac:dyDescent="0.2">
      <c r="A409" s="18" t="s">
        <v>180</v>
      </c>
      <c r="B409" s="19" t="s">
        <v>51</v>
      </c>
      <c r="C409" s="19" t="s">
        <v>16</v>
      </c>
      <c r="D409" s="19" t="s">
        <v>92</v>
      </c>
      <c r="E409" s="19"/>
      <c r="F409" s="20">
        <f>F411+F410</f>
        <v>26410</v>
      </c>
      <c r="G409" s="20">
        <f t="shared" ref="G409:H409" si="77">G411+G410</f>
        <v>26410</v>
      </c>
      <c r="H409" s="20">
        <f t="shared" si="77"/>
        <v>26410</v>
      </c>
    </row>
    <row r="410" spans="1:8" s="21" customFormat="1" ht="25.5" x14ac:dyDescent="0.2">
      <c r="A410" s="28" t="s">
        <v>76</v>
      </c>
      <c r="B410" s="24" t="s">
        <v>51</v>
      </c>
      <c r="C410" s="24" t="s">
        <v>16</v>
      </c>
      <c r="D410" s="24" t="s">
        <v>92</v>
      </c>
      <c r="E410" s="27" t="s">
        <v>68</v>
      </c>
      <c r="F410" s="25">
        <f>'изменения июль вед стр-ра'!G458</f>
        <v>260.3</v>
      </c>
      <c r="G410" s="25">
        <f>'изменения июль вед стр-ра'!H458</f>
        <v>260.3</v>
      </c>
      <c r="H410" s="25">
        <f>'изменения июль вед стр-ра'!I458</f>
        <v>260.3</v>
      </c>
    </row>
    <row r="411" spans="1:8" s="21" customFormat="1" x14ac:dyDescent="0.2">
      <c r="A411" s="28" t="s">
        <v>69</v>
      </c>
      <c r="B411" s="24" t="s">
        <v>51</v>
      </c>
      <c r="C411" s="24" t="s">
        <v>16</v>
      </c>
      <c r="D411" s="24" t="s">
        <v>92</v>
      </c>
      <c r="E411" s="24" t="s">
        <v>70</v>
      </c>
      <c r="F411" s="25">
        <f>'изменения июль вед стр-ра'!G459</f>
        <v>26149.7</v>
      </c>
      <c r="G411" s="25">
        <f>'изменения июль вед стр-ра'!H459</f>
        <v>26149.7</v>
      </c>
      <c r="H411" s="25">
        <f>'изменения июль вед стр-ра'!I459</f>
        <v>26149.7</v>
      </c>
    </row>
    <row r="412" spans="1:8" s="21" customFormat="1" ht="127.5" x14ac:dyDescent="0.2">
      <c r="A412" s="18" t="s">
        <v>332</v>
      </c>
      <c r="B412" s="19" t="s">
        <v>51</v>
      </c>
      <c r="C412" s="19" t="s">
        <v>16</v>
      </c>
      <c r="D412" s="19" t="s">
        <v>93</v>
      </c>
      <c r="E412" s="19"/>
      <c r="F412" s="20">
        <f>F414+F413</f>
        <v>1523</v>
      </c>
      <c r="G412" s="20">
        <f t="shared" ref="G412:H412" si="78">G414+G413</f>
        <v>1523</v>
      </c>
      <c r="H412" s="20">
        <f t="shared" si="78"/>
        <v>1523</v>
      </c>
    </row>
    <row r="413" spans="1:8" s="21" customFormat="1" ht="26.25" customHeight="1" x14ac:dyDescent="0.2">
      <c r="A413" s="28" t="s">
        <v>76</v>
      </c>
      <c r="B413" s="24" t="s">
        <v>51</v>
      </c>
      <c r="C413" s="24" t="s">
        <v>16</v>
      </c>
      <c r="D413" s="24" t="s">
        <v>93</v>
      </c>
      <c r="E413" s="27" t="s">
        <v>68</v>
      </c>
      <c r="F413" s="25">
        <f>'изменения июль вед стр-ра'!G461</f>
        <v>29.6</v>
      </c>
      <c r="G413" s="25">
        <f>'изменения июль вед стр-ра'!H461</f>
        <v>29.6</v>
      </c>
      <c r="H413" s="25">
        <f>'изменения июль вед стр-ра'!I461</f>
        <v>29.6</v>
      </c>
    </row>
    <row r="414" spans="1:8" s="79" customFormat="1" x14ac:dyDescent="0.2">
      <c r="A414" s="87" t="s">
        <v>69</v>
      </c>
      <c r="B414" s="82" t="s">
        <v>51</v>
      </c>
      <c r="C414" s="82" t="s">
        <v>16</v>
      </c>
      <c r="D414" s="82" t="s">
        <v>93</v>
      </c>
      <c r="E414" s="82" t="s">
        <v>70</v>
      </c>
      <c r="F414" s="25">
        <f>'изменения июль вед стр-ра'!G462</f>
        <v>1493.4</v>
      </c>
      <c r="G414" s="25">
        <f>'изменения июль вед стр-ра'!H462</f>
        <v>1493.4</v>
      </c>
      <c r="H414" s="25">
        <f>'изменения июль вед стр-ра'!I462</f>
        <v>1493.4</v>
      </c>
    </row>
    <row r="415" spans="1:8" s="21" customFormat="1" ht="76.5" x14ac:dyDescent="0.2">
      <c r="A415" s="18" t="s">
        <v>456</v>
      </c>
      <c r="B415" s="19" t="s">
        <v>51</v>
      </c>
      <c r="C415" s="19" t="s">
        <v>16</v>
      </c>
      <c r="D415" s="19" t="s">
        <v>94</v>
      </c>
      <c r="E415" s="19"/>
      <c r="F415" s="62">
        <f>SUM(F416:F417)</f>
        <v>8604</v>
      </c>
      <c r="G415" s="62">
        <f t="shared" ref="G415:H415" si="79">SUM(G416:G417)</f>
        <v>8604</v>
      </c>
      <c r="H415" s="62">
        <f t="shared" si="79"/>
        <v>8604</v>
      </c>
    </row>
    <row r="416" spans="1:8" s="21" customFormat="1" ht="25.5" x14ac:dyDescent="0.2">
      <c r="A416" s="28" t="s">
        <v>76</v>
      </c>
      <c r="B416" s="24" t="s">
        <v>51</v>
      </c>
      <c r="C416" s="24" t="s">
        <v>16</v>
      </c>
      <c r="D416" s="24" t="s">
        <v>94</v>
      </c>
      <c r="E416" s="27" t="s">
        <v>68</v>
      </c>
      <c r="F416" s="25">
        <f>'изменения июль вед стр-ра'!G464</f>
        <v>107.3</v>
      </c>
      <c r="G416" s="25">
        <f>'изменения июль вед стр-ра'!H464</f>
        <v>107.3</v>
      </c>
      <c r="H416" s="25">
        <f>'изменения июль вед стр-ра'!I464</f>
        <v>107.3</v>
      </c>
    </row>
    <row r="417" spans="1:8" s="79" customFormat="1" x14ac:dyDescent="0.2">
      <c r="A417" s="87" t="s">
        <v>69</v>
      </c>
      <c r="B417" s="82" t="s">
        <v>51</v>
      </c>
      <c r="C417" s="82" t="s">
        <v>16</v>
      </c>
      <c r="D417" s="82" t="s">
        <v>94</v>
      </c>
      <c r="E417" s="82" t="s">
        <v>70</v>
      </c>
      <c r="F417" s="25">
        <f>'изменения июль вед стр-ра'!G465</f>
        <v>8496.7000000000007</v>
      </c>
      <c r="G417" s="25">
        <f>'изменения июль вед стр-ра'!H465</f>
        <v>8496.7000000000007</v>
      </c>
      <c r="H417" s="25">
        <f>'изменения июль вед стр-ра'!I465</f>
        <v>8496.7000000000007</v>
      </c>
    </row>
    <row r="418" spans="1:8" s="21" customFormat="1" ht="51" x14ac:dyDescent="0.2">
      <c r="A418" s="18" t="s">
        <v>182</v>
      </c>
      <c r="B418" s="19" t="s">
        <v>51</v>
      </c>
      <c r="C418" s="19" t="s">
        <v>16</v>
      </c>
      <c r="D418" s="19" t="s">
        <v>95</v>
      </c>
      <c r="E418" s="19"/>
      <c r="F418" s="20">
        <f>F420+F419</f>
        <v>527.6</v>
      </c>
      <c r="G418" s="20">
        <f t="shared" ref="G418:H418" si="80">G420+G419</f>
        <v>502.59999999999997</v>
      </c>
      <c r="H418" s="20">
        <f t="shared" si="80"/>
        <v>502.59999999999997</v>
      </c>
    </row>
    <row r="419" spans="1:8" s="21" customFormat="1" ht="25.5" x14ac:dyDescent="0.2">
      <c r="A419" s="28" t="s">
        <v>76</v>
      </c>
      <c r="B419" s="24" t="s">
        <v>51</v>
      </c>
      <c r="C419" s="24" t="s">
        <v>16</v>
      </c>
      <c r="D419" s="24" t="s">
        <v>95</v>
      </c>
      <c r="E419" s="27" t="s">
        <v>68</v>
      </c>
      <c r="F419" s="25">
        <f>'изменения июль вед стр-ра'!G467</f>
        <v>5.4</v>
      </c>
      <c r="G419" s="25">
        <f>'изменения июль вед стр-ра'!H467</f>
        <v>4.9000000000000004</v>
      </c>
      <c r="H419" s="25">
        <f>'изменения июль вед стр-ра'!I467</f>
        <v>4.9000000000000004</v>
      </c>
    </row>
    <row r="420" spans="1:8" s="79" customFormat="1" x14ac:dyDescent="0.2">
      <c r="A420" s="87" t="s">
        <v>69</v>
      </c>
      <c r="B420" s="82" t="s">
        <v>51</v>
      </c>
      <c r="C420" s="82" t="s">
        <v>16</v>
      </c>
      <c r="D420" s="82" t="s">
        <v>95</v>
      </c>
      <c r="E420" s="82" t="s">
        <v>70</v>
      </c>
      <c r="F420" s="25">
        <f>'изменения июль вед стр-ра'!G468</f>
        <v>522.20000000000005</v>
      </c>
      <c r="G420" s="25">
        <f>'изменения июль вед стр-ра'!H468</f>
        <v>497.7</v>
      </c>
      <c r="H420" s="25">
        <f>'изменения июль вед стр-ра'!I468</f>
        <v>497.7</v>
      </c>
    </row>
    <row r="421" spans="1:8" s="21" customFormat="1" ht="51" x14ac:dyDescent="0.2">
      <c r="A421" s="18" t="s">
        <v>333</v>
      </c>
      <c r="B421" s="19" t="s">
        <v>51</v>
      </c>
      <c r="C421" s="19" t="s">
        <v>16</v>
      </c>
      <c r="D421" s="19" t="s">
        <v>111</v>
      </c>
      <c r="E421" s="19"/>
      <c r="F421" s="20">
        <f>F423+F422</f>
        <v>9.9</v>
      </c>
      <c r="G421" s="20">
        <f>G423+G422</f>
        <v>9.9</v>
      </c>
      <c r="H421" s="20">
        <f>H423+H422</f>
        <v>9.9</v>
      </c>
    </row>
    <row r="422" spans="1:8" s="21" customFormat="1" ht="25.5" x14ac:dyDescent="0.2">
      <c r="A422" s="28" t="s">
        <v>76</v>
      </c>
      <c r="B422" s="24" t="s">
        <v>51</v>
      </c>
      <c r="C422" s="24" t="s">
        <v>16</v>
      </c>
      <c r="D422" s="24" t="s">
        <v>111</v>
      </c>
      <c r="E422" s="27" t="s">
        <v>68</v>
      </c>
      <c r="F422" s="25">
        <f>'изменения июль вед стр-ра'!G470</f>
        <v>0.1</v>
      </c>
      <c r="G422" s="25">
        <f>'изменения июль вед стр-ра'!H470</f>
        <v>0.1</v>
      </c>
      <c r="H422" s="25">
        <f>'изменения июль вед стр-ра'!I470</f>
        <v>0.1</v>
      </c>
    </row>
    <row r="423" spans="1:8" s="21" customFormat="1" x14ac:dyDescent="0.2">
      <c r="A423" s="28" t="s">
        <v>69</v>
      </c>
      <c r="B423" s="24" t="s">
        <v>51</v>
      </c>
      <c r="C423" s="24" t="s">
        <v>16</v>
      </c>
      <c r="D423" s="24" t="s">
        <v>111</v>
      </c>
      <c r="E423" s="24" t="s">
        <v>70</v>
      </c>
      <c r="F423" s="25">
        <f>'изменения июль вед стр-ра'!G471</f>
        <v>9.8000000000000007</v>
      </c>
      <c r="G423" s="25">
        <f>'изменения июль вед стр-ра'!H471</f>
        <v>9.8000000000000007</v>
      </c>
      <c r="H423" s="25">
        <f>'изменения июль вед стр-ра'!I471</f>
        <v>9.8000000000000007</v>
      </c>
    </row>
    <row r="424" spans="1:8" s="21" customFormat="1" ht="51" x14ac:dyDescent="0.2">
      <c r="A424" s="18" t="s">
        <v>183</v>
      </c>
      <c r="B424" s="19" t="s">
        <v>51</v>
      </c>
      <c r="C424" s="19" t="s">
        <v>16</v>
      </c>
      <c r="D424" s="19" t="s">
        <v>96</v>
      </c>
      <c r="E424" s="19"/>
      <c r="F424" s="20">
        <f>F426+F425</f>
        <v>409.9</v>
      </c>
      <c r="G424" s="20">
        <f t="shared" ref="G424:H424" si="81">G426+G425</f>
        <v>409.9</v>
      </c>
      <c r="H424" s="20">
        <f t="shared" si="81"/>
        <v>409.9</v>
      </c>
    </row>
    <row r="425" spans="1:8" s="21" customFormat="1" ht="25.5" x14ac:dyDescent="0.2">
      <c r="A425" s="28" t="s">
        <v>76</v>
      </c>
      <c r="B425" s="24" t="s">
        <v>51</v>
      </c>
      <c r="C425" s="24" t="s">
        <v>16</v>
      </c>
      <c r="D425" s="24" t="s">
        <v>96</v>
      </c>
      <c r="E425" s="27" t="s">
        <v>68</v>
      </c>
      <c r="F425" s="25">
        <f>'изменения июль вед стр-ра'!G473</f>
        <v>5.5</v>
      </c>
      <c r="G425" s="25">
        <f>'изменения июль вед стр-ра'!H473</f>
        <v>5.5</v>
      </c>
      <c r="H425" s="25">
        <f>'изменения июль вед стр-ра'!I473</f>
        <v>5.5</v>
      </c>
    </row>
    <row r="426" spans="1:8" s="79" customFormat="1" x14ac:dyDescent="0.2">
      <c r="A426" s="87" t="s">
        <v>69</v>
      </c>
      <c r="B426" s="82" t="s">
        <v>51</v>
      </c>
      <c r="C426" s="82" t="s">
        <v>16</v>
      </c>
      <c r="D426" s="82" t="s">
        <v>96</v>
      </c>
      <c r="E426" s="82" t="s">
        <v>70</v>
      </c>
      <c r="F426" s="25">
        <f>'изменения июль вед стр-ра'!G474</f>
        <v>404.4</v>
      </c>
      <c r="G426" s="25">
        <f>'изменения июль вед стр-ра'!H474</f>
        <v>404.4</v>
      </c>
      <c r="H426" s="25">
        <f>'изменения июль вед стр-ра'!I474</f>
        <v>404.4</v>
      </c>
    </row>
    <row r="427" spans="1:8" s="21" customFormat="1" ht="25.5" x14ac:dyDescent="0.2">
      <c r="A427" s="18" t="s">
        <v>272</v>
      </c>
      <c r="B427" s="19" t="s">
        <v>51</v>
      </c>
      <c r="C427" s="19" t="s">
        <v>16</v>
      </c>
      <c r="D427" s="19" t="s">
        <v>106</v>
      </c>
      <c r="E427" s="19"/>
      <c r="F427" s="20">
        <f>F429+F428</f>
        <v>94204</v>
      </c>
      <c r="G427" s="20">
        <f>G429+G428</f>
        <v>94204</v>
      </c>
      <c r="H427" s="20">
        <f>H429+H428</f>
        <v>94204</v>
      </c>
    </row>
    <row r="428" spans="1:8" s="21" customFormat="1" ht="25.5" x14ac:dyDescent="0.2">
      <c r="A428" s="28" t="s">
        <v>76</v>
      </c>
      <c r="B428" s="24" t="s">
        <v>51</v>
      </c>
      <c r="C428" s="24" t="s">
        <v>16</v>
      </c>
      <c r="D428" s="24" t="s">
        <v>106</v>
      </c>
      <c r="E428" s="27" t="s">
        <v>68</v>
      </c>
      <c r="F428" s="25">
        <f>'изменения июль вед стр-ра'!G476</f>
        <v>545</v>
      </c>
      <c r="G428" s="25">
        <f>'изменения июль вед стр-ра'!H476</f>
        <v>545</v>
      </c>
      <c r="H428" s="25">
        <f>'изменения июль вед стр-ра'!I476</f>
        <v>545</v>
      </c>
    </row>
    <row r="429" spans="1:8" s="79" customFormat="1" x14ac:dyDescent="0.2">
      <c r="A429" s="87" t="s">
        <v>69</v>
      </c>
      <c r="B429" s="82" t="s">
        <v>51</v>
      </c>
      <c r="C429" s="82" t="s">
        <v>16</v>
      </c>
      <c r="D429" s="82" t="s">
        <v>106</v>
      </c>
      <c r="E429" s="82" t="s">
        <v>70</v>
      </c>
      <c r="F429" s="25">
        <f>'изменения июль вед стр-ра'!G477</f>
        <v>93659</v>
      </c>
      <c r="G429" s="25">
        <f>'изменения июль вед стр-ра'!H477</f>
        <v>93659</v>
      </c>
      <c r="H429" s="25">
        <f>'изменения июль вед стр-ра'!I477</f>
        <v>93659</v>
      </c>
    </row>
    <row r="430" spans="1:8" s="21" customFormat="1" ht="114.75" x14ac:dyDescent="0.2">
      <c r="A430" s="18" t="s">
        <v>334</v>
      </c>
      <c r="B430" s="19" t="s">
        <v>51</v>
      </c>
      <c r="C430" s="19" t="s">
        <v>16</v>
      </c>
      <c r="D430" s="19" t="s">
        <v>112</v>
      </c>
      <c r="E430" s="19"/>
      <c r="F430" s="20">
        <f>F431</f>
        <v>1.2</v>
      </c>
      <c r="G430" s="20">
        <f>G431</f>
        <v>1.2</v>
      </c>
      <c r="H430" s="20">
        <f>H431</f>
        <v>1.2</v>
      </c>
    </row>
    <row r="431" spans="1:8" s="21" customFormat="1" x14ac:dyDescent="0.2">
      <c r="A431" s="59" t="s">
        <v>69</v>
      </c>
      <c r="B431" s="24" t="s">
        <v>51</v>
      </c>
      <c r="C431" s="24" t="s">
        <v>16</v>
      </c>
      <c r="D431" s="24" t="s">
        <v>112</v>
      </c>
      <c r="E431" s="24" t="s">
        <v>70</v>
      </c>
      <c r="F431" s="25">
        <f>'изменения июль вед стр-ра'!G479</f>
        <v>1.2</v>
      </c>
      <c r="G431" s="25">
        <f>'изменения июль вед стр-ра'!H479</f>
        <v>1.2</v>
      </c>
      <c r="H431" s="25">
        <f>'изменения июль вед стр-ра'!I479</f>
        <v>1.2</v>
      </c>
    </row>
    <row r="432" spans="1:8" s="79" customFormat="1" ht="38.25" x14ac:dyDescent="0.2">
      <c r="A432" s="75" t="s">
        <v>335</v>
      </c>
      <c r="B432" s="77" t="s">
        <v>51</v>
      </c>
      <c r="C432" s="77" t="s">
        <v>16</v>
      </c>
      <c r="D432" s="77" t="s">
        <v>115</v>
      </c>
      <c r="E432" s="77"/>
      <c r="F432" s="78">
        <f>F434+F433</f>
        <v>19480</v>
      </c>
      <c r="G432" s="78">
        <f>G434+G433</f>
        <v>19730</v>
      </c>
      <c r="H432" s="78">
        <f>H434+H433</f>
        <v>19730</v>
      </c>
    </row>
    <row r="433" spans="1:9" s="21" customFormat="1" ht="25.5" x14ac:dyDescent="0.2">
      <c r="A433" s="28" t="s">
        <v>76</v>
      </c>
      <c r="B433" s="24" t="s">
        <v>51</v>
      </c>
      <c r="C433" s="24" t="s">
        <v>16</v>
      </c>
      <c r="D433" s="24" t="s">
        <v>115</v>
      </c>
      <c r="E433" s="27" t="s">
        <v>68</v>
      </c>
      <c r="F433" s="25">
        <f>'изменения июль вед стр-ра'!G481</f>
        <v>287</v>
      </c>
      <c r="G433" s="25">
        <f>'изменения июль вед стр-ра'!H481</f>
        <v>287</v>
      </c>
      <c r="H433" s="25">
        <f>'изменения июль вед стр-ра'!I481</f>
        <v>287</v>
      </c>
      <c r="I433" s="25">
        <f>'изменения июль вед стр-ра'!J481</f>
        <v>0</v>
      </c>
    </row>
    <row r="434" spans="1:9" s="79" customFormat="1" x14ac:dyDescent="0.2">
      <c r="A434" s="87" t="s">
        <v>69</v>
      </c>
      <c r="B434" s="82" t="s">
        <v>51</v>
      </c>
      <c r="C434" s="82" t="s">
        <v>16</v>
      </c>
      <c r="D434" s="82" t="s">
        <v>115</v>
      </c>
      <c r="E434" s="82" t="s">
        <v>70</v>
      </c>
      <c r="F434" s="25">
        <f>'изменения июль вед стр-ра'!G482</f>
        <v>19193</v>
      </c>
      <c r="G434" s="25">
        <f>'изменения июль вед стр-ра'!H482</f>
        <v>19443</v>
      </c>
      <c r="H434" s="25">
        <f>'изменения июль вед стр-ра'!I482</f>
        <v>19443</v>
      </c>
      <c r="I434" s="25">
        <f>'изменения июль вед стр-ра'!J482</f>
        <v>0</v>
      </c>
    </row>
    <row r="435" spans="1:9" s="21" customFormat="1" ht="51" x14ac:dyDescent="0.2">
      <c r="A435" s="18" t="s">
        <v>275</v>
      </c>
      <c r="B435" s="19" t="s">
        <v>51</v>
      </c>
      <c r="C435" s="19" t="s">
        <v>16</v>
      </c>
      <c r="D435" s="19" t="s">
        <v>110</v>
      </c>
      <c r="E435" s="19"/>
      <c r="F435" s="20">
        <f>F437+F436</f>
        <v>86</v>
      </c>
      <c r="G435" s="20">
        <f>G437+G436</f>
        <v>86</v>
      </c>
      <c r="H435" s="20">
        <f>H437+H436</f>
        <v>86</v>
      </c>
    </row>
    <row r="436" spans="1:9" s="21" customFormat="1" ht="25.5" x14ac:dyDescent="0.2">
      <c r="A436" s="28" t="s">
        <v>76</v>
      </c>
      <c r="B436" s="24" t="s">
        <v>51</v>
      </c>
      <c r="C436" s="24" t="s">
        <v>16</v>
      </c>
      <c r="D436" s="24" t="s">
        <v>110</v>
      </c>
      <c r="E436" s="27" t="s">
        <v>68</v>
      </c>
      <c r="F436" s="25">
        <f>'изменения июль вед стр-ра'!G484</f>
        <v>1.3</v>
      </c>
      <c r="G436" s="25">
        <f>'изменения июль вед стр-ра'!H484</f>
        <v>1.3</v>
      </c>
      <c r="H436" s="25">
        <f>'изменения июль вед стр-ра'!I484</f>
        <v>1.3</v>
      </c>
    </row>
    <row r="437" spans="1:9" s="21" customFormat="1" x14ac:dyDescent="0.2">
      <c r="A437" s="28" t="s">
        <v>69</v>
      </c>
      <c r="B437" s="24" t="s">
        <v>51</v>
      </c>
      <c r="C437" s="24" t="s">
        <v>16</v>
      </c>
      <c r="D437" s="24" t="s">
        <v>110</v>
      </c>
      <c r="E437" s="24" t="s">
        <v>70</v>
      </c>
      <c r="F437" s="25">
        <f>'изменения июль вед стр-ра'!G485</f>
        <v>84.7</v>
      </c>
      <c r="G437" s="25">
        <f>'изменения июль вед стр-ра'!H485</f>
        <v>84.7</v>
      </c>
      <c r="H437" s="25">
        <f>'изменения июль вед стр-ра'!I485</f>
        <v>84.7</v>
      </c>
    </row>
    <row r="438" spans="1:9" s="21" customFormat="1" ht="63.75" x14ac:dyDescent="0.2">
      <c r="A438" s="18" t="s">
        <v>342</v>
      </c>
      <c r="B438" s="19" t="s">
        <v>51</v>
      </c>
      <c r="C438" s="19" t="s">
        <v>16</v>
      </c>
      <c r="D438" s="19" t="s">
        <v>113</v>
      </c>
      <c r="E438" s="19"/>
      <c r="F438" s="20">
        <f>F440+F439</f>
        <v>1133</v>
      </c>
      <c r="G438" s="20">
        <f>G440+G439</f>
        <v>1153</v>
      </c>
      <c r="H438" s="20">
        <f>H440+H439</f>
        <v>1153</v>
      </c>
    </row>
    <row r="439" spans="1:9" s="21" customFormat="1" ht="25.5" x14ac:dyDescent="0.2">
      <c r="A439" s="28" t="s">
        <v>76</v>
      </c>
      <c r="B439" s="24" t="s">
        <v>51</v>
      </c>
      <c r="C439" s="24" t="s">
        <v>16</v>
      </c>
      <c r="D439" s="24" t="s">
        <v>113</v>
      </c>
      <c r="E439" s="27" t="s">
        <v>68</v>
      </c>
      <c r="F439" s="25">
        <f>'изменения июль вед стр-ра'!G487</f>
        <v>6.5</v>
      </c>
      <c r="G439" s="25">
        <f>'изменения июль вед стр-ра'!H487</f>
        <v>6.5</v>
      </c>
      <c r="H439" s="25">
        <f>'изменения июль вед стр-ра'!I487</f>
        <v>6.5</v>
      </c>
    </row>
    <row r="440" spans="1:9" s="21" customFormat="1" x14ac:dyDescent="0.2">
      <c r="A440" s="28" t="s">
        <v>69</v>
      </c>
      <c r="B440" s="24" t="s">
        <v>51</v>
      </c>
      <c r="C440" s="24" t="s">
        <v>16</v>
      </c>
      <c r="D440" s="24" t="s">
        <v>113</v>
      </c>
      <c r="E440" s="24" t="s">
        <v>70</v>
      </c>
      <c r="F440" s="25">
        <f>'изменения июль вед стр-ра'!G488</f>
        <v>1126.5</v>
      </c>
      <c r="G440" s="25">
        <f>'изменения июль вед стр-ра'!H488</f>
        <v>1146.5</v>
      </c>
      <c r="H440" s="25">
        <f>'изменения июль вед стр-ра'!I488</f>
        <v>1146.5</v>
      </c>
    </row>
    <row r="441" spans="1:9" s="79" customFormat="1" ht="38.25" x14ac:dyDescent="0.2">
      <c r="A441" s="75" t="s">
        <v>276</v>
      </c>
      <c r="B441" s="77" t="s">
        <v>51</v>
      </c>
      <c r="C441" s="77" t="s">
        <v>16</v>
      </c>
      <c r="D441" s="77" t="s">
        <v>114</v>
      </c>
      <c r="E441" s="77"/>
      <c r="F441" s="78">
        <f>F443+F442</f>
        <v>411.00000000000006</v>
      </c>
      <c r="G441" s="78">
        <f>G443+G442</f>
        <v>392</v>
      </c>
      <c r="H441" s="78">
        <f>H443+H442</f>
        <v>392</v>
      </c>
    </row>
    <row r="442" spans="1:9" s="79" customFormat="1" ht="25.5" x14ac:dyDescent="0.2">
      <c r="A442" s="87" t="s">
        <v>76</v>
      </c>
      <c r="B442" s="82" t="s">
        <v>51</v>
      </c>
      <c r="C442" s="82" t="s">
        <v>16</v>
      </c>
      <c r="D442" s="82" t="s">
        <v>114</v>
      </c>
      <c r="E442" s="83" t="s">
        <v>68</v>
      </c>
      <c r="F442" s="62">
        <f>'изменения июль вед стр-ра'!G490</f>
        <v>7.8000000000000007</v>
      </c>
      <c r="G442" s="62">
        <f>'изменения июль вед стр-ра'!H490</f>
        <v>7.4</v>
      </c>
      <c r="H442" s="62">
        <f>'изменения июль вед стр-ра'!I490</f>
        <v>7.4</v>
      </c>
    </row>
    <row r="443" spans="1:9" s="79" customFormat="1" x14ac:dyDescent="0.2">
      <c r="A443" s="87" t="s">
        <v>69</v>
      </c>
      <c r="B443" s="82" t="s">
        <v>51</v>
      </c>
      <c r="C443" s="82" t="s">
        <v>16</v>
      </c>
      <c r="D443" s="82" t="s">
        <v>114</v>
      </c>
      <c r="E443" s="82" t="s">
        <v>70</v>
      </c>
      <c r="F443" s="62">
        <f>'изменения июль вед стр-ра'!G491</f>
        <v>403.20000000000005</v>
      </c>
      <c r="G443" s="62">
        <f>'изменения июль вед стр-ра'!H491</f>
        <v>384.6</v>
      </c>
      <c r="H443" s="62">
        <f>'изменения июль вед стр-ра'!I491</f>
        <v>384.6</v>
      </c>
    </row>
    <row r="444" spans="1:9" s="21" customFormat="1" ht="89.25" x14ac:dyDescent="0.2">
      <c r="A444" s="18" t="s">
        <v>457</v>
      </c>
      <c r="B444" s="19" t="s">
        <v>51</v>
      </c>
      <c r="C444" s="19" t="s">
        <v>16</v>
      </c>
      <c r="D444" s="19" t="s">
        <v>116</v>
      </c>
      <c r="E444" s="19"/>
      <c r="F444" s="20">
        <f>F446+F445</f>
        <v>99211</v>
      </c>
      <c r="G444" s="20">
        <f>G446+G445</f>
        <v>99211</v>
      </c>
      <c r="H444" s="20">
        <f>H446+H445</f>
        <v>99211</v>
      </c>
    </row>
    <row r="445" spans="1:9" s="21" customFormat="1" ht="25.5" x14ac:dyDescent="0.2">
      <c r="A445" s="28" t="s">
        <v>76</v>
      </c>
      <c r="B445" s="24" t="s">
        <v>51</v>
      </c>
      <c r="C445" s="24" t="s">
        <v>16</v>
      </c>
      <c r="D445" s="24" t="s">
        <v>116</v>
      </c>
      <c r="E445" s="27" t="s">
        <v>68</v>
      </c>
      <c r="F445" s="25">
        <f>'изменения июль вед стр-ра'!G493</f>
        <v>931</v>
      </c>
      <c r="G445" s="25">
        <f>'изменения июль вед стр-ра'!H493</f>
        <v>931</v>
      </c>
      <c r="H445" s="25">
        <f>'изменения июль вед стр-ра'!I493</f>
        <v>931</v>
      </c>
    </row>
    <row r="446" spans="1:9" s="79" customFormat="1" x14ac:dyDescent="0.2">
      <c r="A446" s="87" t="s">
        <v>69</v>
      </c>
      <c r="B446" s="82" t="s">
        <v>51</v>
      </c>
      <c r="C446" s="82" t="s">
        <v>16</v>
      </c>
      <c r="D446" s="82" t="s">
        <v>116</v>
      </c>
      <c r="E446" s="82" t="s">
        <v>70</v>
      </c>
      <c r="F446" s="25">
        <f>'изменения июль вед стр-ра'!G494</f>
        <v>98280</v>
      </c>
      <c r="G446" s="25">
        <f>'изменения июль вед стр-ра'!H494</f>
        <v>98280</v>
      </c>
      <c r="H446" s="25">
        <f>'изменения июль вед стр-ра'!I494</f>
        <v>98280</v>
      </c>
    </row>
    <row r="447" spans="1:9" s="79" customFormat="1" ht="56.25" customHeight="1" x14ac:dyDescent="0.2">
      <c r="A447" s="75" t="s">
        <v>452</v>
      </c>
      <c r="B447" s="77" t="s">
        <v>51</v>
      </c>
      <c r="C447" s="77" t="s">
        <v>16</v>
      </c>
      <c r="D447" s="77" t="s">
        <v>91</v>
      </c>
      <c r="E447" s="77"/>
      <c r="F447" s="78">
        <f>F450+F448+F449</f>
        <v>1455</v>
      </c>
      <c r="G447" s="78">
        <f t="shared" ref="G447:H447" si="82">G450+G448+G449</f>
        <v>1656</v>
      </c>
      <c r="H447" s="78">
        <f t="shared" si="82"/>
        <v>1656</v>
      </c>
    </row>
    <row r="448" spans="1:9" s="79" customFormat="1" ht="25.5" x14ac:dyDescent="0.2">
      <c r="A448" s="87" t="s">
        <v>76</v>
      </c>
      <c r="B448" s="82" t="s">
        <v>51</v>
      </c>
      <c r="C448" s="82" t="s">
        <v>16</v>
      </c>
      <c r="D448" s="82" t="s">
        <v>91</v>
      </c>
      <c r="E448" s="83" t="s">
        <v>68</v>
      </c>
      <c r="F448" s="62">
        <f>'изменения июль вед стр-ра'!G496</f>
        <v>25</v>
      </c>
      <c r="G448" s="62">
        <f>'изменения июль вед стр-ра'!H496</f>
        <v>25</v>
      </c>
      <c r="H448" s="62">
        <f>'изменения июль вед стр-ра'!I496</f>
        <v>25</v>
      </c>
    </row>
    <row r="449" spans="1:8" s="79" customFormat="1" x14ac:dyDescent="0.2">
      <c r="A449" s="87" t="s">
        <v>69</v>
      </c>
      <c r="B449" s="82" t="s">
        <v>51</v>
      </c>
      <c r="C449" s="82" t="s">
        <v>16</v>
      </c>
      <c r="D449" s="82" t="s">
        <v>91</v>
      </c>
      <c r="E449" s="82" t="s">
        <v>70</v>
      </c>
      <c r="F449" s="62">
        <f>'изменения июль вед стр-ра'!G497</f>
        <v>1163.4000000000001</v>
      </c>
      <c r="G449" s="62">
        <f>'изменения июль вед стр-ра'!H497</f>
        <v>1364.4</v>
      </c>
      <c r="H449" s="62">
        <f>'изменения июль вед стр-ра'!I497</f>
        <v>1364.4</v>
      </c>
    </row>
    <row r="450" spans="1:8" s="79" customFormat="1" x14ac:dyDescent="0.2">
      <c r="A450" s="87" t="s">
        <v>72</v>
      </c>
      <c r="B450" s="82" t="s">
        <v>51</v>
      </c>
      <c r="C450" s="82" t="s">
        <v>16</v>
      </c>
      <c r="D450" s="82" t="s">
        <v>91</v>
      </c>
      <c r="E450" s="82" t="s">
        <v>73</v>
      </c>
      <c r="F450" s="62">
        <f>'изменения июль вед стр-ра'!G498</f>
        <v>266.60000000000002</v>
      </c>
      <c r="G450" s="62">
        <f>'изменения июль вед стр-ра'!H498</f>
        <v>266.60000000000002</v>
      </c>
      <c r="H450" s="62">
        <f>'изменения июль вед стр-ра'!I498</f>
        <v>266.60000000000002</v>
      </c>
    </row>
    <row r="451" spans="1:8" s="79" customFormat="1" x14ac:dyDescent="0.2">
      <c r="A451" s="70" t="s">
        <v>56</v>
      </c>
      <c r="B451" s="72" t="s">
        <v>51</v>
      </c>
      <c r="C451" s="72" t="s">
        <v>18</v>
      </c>
      <c r="D451" s="72"/>
      <c r="E451" s="72"/>
      <c r="F451" s="73">
        <f>SUM(F452,F454,F457,F459,F461,F463,F469,F473,F475,F478,F480,F483,F485)+F467+F471</f>
        <v>275327.80000000005</v>
      </c>
      <c r="G451" s="73">
        <f t="shared" ref="G451:H451" si="83">SUM(G452,G454,G457,G459,G461,G463,G469,G473,G475,G478,G480,G483,G485)+G467+G471</f>
        <v>235602.60000000003</v>
      </c>
      <c r="H451" s="73">
        <f t="shared" si="83"/>
        <v>237498.50000000003</v>
      </c>
    </row>
    <row r="452" spans="1:8" s="21" customFormat="1" ht="38.25" x14ac:dyDescent="0.2">
      <c r="A452" s="54" t="s">
        <v>434</v>
      </c>
      <c r="B452" s="19" t="s">
        <v>51</v>
      </c>
      <c r="C452" s="19" t="s">
        <v>18</v>
      </c>
      <c r="D452" s="19" t="s">
        <v>430</v>
      </c>
      <c r="E452" s="19"/>
      <c r="F452" s="20">
        <f>F453</f>
        <v>40930</v>
      </c>
      <c r="G452" s="20">
        <f t="shared" ref="G452:H452" si="84">G453</f>
        <v>7239</v>
      </c>
      <c r="H452" s="20">
        <f t="shared" si="84"/>
        <v>7528</v>
      </c>
    </row>
    <row r="453" spans="1:8" s="21" customFormat="1" x14ac:dyDescent="0.2">
      <c r="A453" s="28" t="s">
        <v>69</v>
      </c>
      <c r="B453" s="24" t="s">
        <v>51</v>
      </c>
      <c r="C453" s="24" t="s">
        <v>18</v>
      </c>
      <c r="D453" s="19" t="s">
        <v>430</v>
      </c>
      <c r="E453" s="24" t="s">
        <v>70</v>
      </c>
      <c r="F453" s="25">
        <f>'изменения июль вед стр-ра'!G504</f>
        <v>40930</v>
      </c>
      <c r="G453" s="25">
        <f>'изменения июль вед стр-ра'!H504</f>
        <v>7239</v>
      </c>
      <c r="H453" s="25">
        <f>'изменения июль вед стр-ра'!I504</f>
        <v>7528</v>
      </c>
    </row>
    <row r="454" spans="1:8" s="79" customFormat="1" ht="25.5" x14ac:dyDescent="0.2">
      <c r="A454" s="75" t="s">
        <v>437</v>
      </c>
      <c r="B454" s="77" t="s">
        <v>51</v>
      </c>
      <c r="C454" s="77" t="s">
        <v>18</v>
      </c>
      <c r="D454" s="77" t="s">
        <v>431</v>
      </c>
      <c r="E454" s="77"/>
      <c r="F454" s="78">
        <f>F456+F455</f>
        <v>19745</v>
      </c>
      <c r="G454" s="78">
        <f t="shared" ref="G454:H454" si="85">G456+G455</f>
        <v>33866</v>
      </c>
      <c r="H454" s="78">
        <f t="shared" si="85"/>
        <v>35170</v>
      </c>
    </row>
    <row r="455" spans="1:8" s="84" customFormat="1" ht="25.5" x14ac:dyDescent="0.2">
      <c r="A455" s="87" t="s">
        <v>76</v>
      </c>
      <c r="B455" s="82" t="s">
        <v>51</v>
      </c>
      <c r="C455" s="82" t="s">
        <v>18</v>
      </c>
      <c r="D455" s="82" t="s">
        <v>431</v>
      </c>
      <c r="E455" s="82" t="s">
        <v>68</v>
      </c>
      <c r="F455" s="62">
        <f>'изменения июль вед стр-ра'!G501</f>
        <v>0</v>
      </c>
      <c r="G455" s="62">
        <f>'изменения июль вед стр-ра'!H501</f>
        <v>169.3</v>
      </c>
      <c r="H455" s="62">
        <f>'изменения июль вед стр-ра'!I501</f>
        <v>175.9</v>
      </c>
    </row>
    <row r="456" spans="1:8" s="84" customFormat="1" x14ac:dyDescent="0.2">
      <c r="A456" s="87" t="s">
        <v>69</v>
      </c>
      <c r="B456" s="82" t="s">
        <v>51</v>
      </c>
      <c r="C456" s="82" t="s">
        <v>18</v>
      </c>
      <c r="D456" s="82" t="s">
        <v>431</v>
      </c>
      <c r="E456" s="82" t="s">
        <v>70</v>
      </c>
      <c r="F456" s="62">
        <f>'изменения июль вед стр-ра'!G502</f>
        <v>19745</v>
      </c>
      <c r="G456" s="62">
        <f>'изменения июль вед стр-ра'!H502</f>
        <v>33696.699999999997</v>
      </c>
      <c r="H456" s="62">
        <f>'изменения июль вед стр-ра'!I502</f>
        <v>34994.1</v>
      </c>
    </row>
    <row r="457" spans="1:8" s="21" customFormat="1" ht="38.25" x14ac:dyDescent="0.2">
      <c r="A457" s="18" t="s">
        <v>217</v>
      </c>
      <c r="B457" s="19" t="s">
        <v>51</v>
      </c>
      <c r="C457" s="16" t="s">
        <v>18</v>
      </c>
      <c r="D457" s="19" t="s">
        <v>133</v>
      </c>
      <c r="E457" s="19"/>
      <c r="F457" s="20">
        <f>F458</f>
        <v>24881.1</v>
      </c>
      <c r="G457" s="20">
        <f>G458</f>
        <v>25876.2</v>
      </c>
      <c r="H457" s="20">
        <f>H458</f>
        <v>25876.2</v>
      </c>
    </row>
    <row r="458" spans="1:8" s="21" customFormat="1" ht="25.5" x14ac:dyDescent="0.2">
      <c r="A458" s="28" t="s">
        <v>83</v>
      </c>
      <c r="B458" s="24" t="s">
        <v>51</v>
      </c>
      <c r="C458" s="24" t="s">
        <v>18</v>
      </c>
      <c r="D458" s="19" t="s">
        <v>133</v>
      </c>
      <c r="E458" s="24" t="s">
        <v>71</v>
      </c>
      <c r="F458" s="25">
        <f>'изменения июль вед стр-ра'!G202</f>
        <v>24881.1</v>
      </c>
      <c r="G458" s="25">
        <f>'изменения июль вед стр-ра'!H202</f>
        <v>25876.2</v>
      </c>
      <c r="H458" s="25">
        <f>'изменения июль вед стр-ра'!I202</f>
        <v>25876.2</v>
      </c>
    </row>
    <row r="459" spans="1:8" s="21" customFormat="1" ht="38.25" x14ac:dyDescent="0.2">
      <c r="A459" s="18" t="s">
        <v>217</v>
      </c>
      <c r="B459" s="19" t="s">
        <v>51</v>
      </c>
      <c r="C459" s="16" t="s">
        <v>18</v>
      </c>
      <c r="D459" s="19" t="s">
        <v>353</v>
      </c>
      <c r="E459" s="19"/>
      <c r="F459" s="20">
        <f>F460</f>
        <v>58079.3</v>
      </c>
      <c r="G459" s="20">
        <f>G460</f>
        <v>31948</v>
      </c>
      <c r="H459" s="20">
        <f>H460</f>
        <v>31948</v>
      </c>
    </row>
    <row r="460" spans="1:8" s="79" customFormat="1" ht="25.5" x14ac:dyDescent="0.2">
      <c r="A460" s="87" t="s">
        <v>83</v>
      </c>
      <c r="B460" s="82" t="s">
        <v>51</v>
      </c>
      <c r="C460" s="82" t="s">
        <v>18</v>
      </c>
      <c r="D460" s="77" t="s">
        <v>353</v>
      </c>
      <c r="E460" s="82" t="s">
        <v>71</v>
      </c>
      <c r="F460" s="62">
        <f>'изменения июль вед стр-ра'!G204</f>
        <v>58079.3</v>
      </c>
      <c r="G460" s="62">
        <f>'изменения июль вед стр-ра'!H204</f>
        <v>31948</v>
      </c>
      <c r="H460" s="62">
        <f>'изменения июль вед стр-ра'!I204</f>
        <v>31948</v>
      </c>
    </row>
    <row r="461" spans="1:8" s="21" customFormat="1" ht="25.5" x14ac:dyDescent="0.2">
      <c r="A461" s="18" t="s">
        <v>253</v>
      </c>
      <c r="B461" s="19" t="s">
        <v>51</v>
      </c>
      <c r="C461" s="19" t="s">
        <v>18</v>
      </c>
      <c r="D461" s="19" t="s">
        <v>130</v>
      </c>
      <c r="E461" s="19"/>
      <c r="F461" s="20">
        <f>F462</f>
        <v>1288</v>
      </c>
      <c r="G461" s="20">
        <f t="shared" ref="G461:H461" si="86">G462</f>
        <v>1000</v>
      </c>
      <c r="H461" s="20">
        <f t="shared" si="86"/>
        <v>1300</v>
      </c>
    </row>
    <row r="462" spans="1:8" s="21" customFormat="1" x14ac:dyDescent="0.2">
      <c r="A462" s="28" t="s">
        <v>69</v>
      </c>
      <c r="B462" s="24" t="s">
        <v>51</v>
      </c>
      <c r="C462" s="24" t="s">
        <v>18</v>
      </c>
      <c r="D462" s="24" t="s">
        <v>130</v>
      </c>
      <c r="E462" s="24" t="s">
        <v>70</v>
      </c>
      <c r="F462" s="25">
        <f>'изменения июль вед стр-ра'!G348</f>
        <v>1288</v>
      </c>
      <c r="G462" s="25">
        <f>'изменения июль вед стр-ра'!H348</f>
        <v>1000</v>
      </c>
      <c r="H462" s="25">
        <f>'изменения июль вед стр-ра'!I348</f>
        <v>1300</v>
      </c>
    </row>
    <row r="463" spans="1:8" s="79" customFormat="1" ht="38.25" x14ac:dyDescent="0.2">
      <c r="A463" s="75" t="s">
        <v>254</v>
      </c>
      <c r="B463" s="77" t="s">
        <v>51</v>
      </c>
      <c r="C463" s="77" t="s">
        <v>18</v>
      </c>
      <c r="D463" s="77" t="s">
        <v>128</v>
      </c>
      <c r="E463" s="77"/>
      <c r="F463" s="78">
        <f>F465+F466+F464</f>
        <v>3000.0000000000005</v>
      </c>
      <c r="G463" s="78">
        <f>G465+G466+G464</f>
        <v>3754</v>
      </c>
      <c r="H463" s="78">
        <f>H465+H466+H464</f>
        <v>3754</v>
      </c>
    </row>
    <row r="464" spans="1:8" s="79" customFormat="1" ht="25.5" x14ac:dyDescent="0.2">
      <c r="A464" s="87" t="s">
        <v>76</v>
      </c>
      <c r="B464" s="82" t="s">
        <v>51</v>
      </c>
      <c r="C464" s="82" t="s">
        <v>18</v>
      </c>
      <c r="D464" s="82" t="s">
        <v>128</v>
      </c>
      <c r="E464" s="83" t="s">
        <v>68</v>
      </c>
      <c r="F464" s="62">
        <f>'изменения июль вед стр-ра'!G350</f>
        <v>1.3</v>
      </c>
      <c r="G464" s="62">
        <f>'изменения июль вед стр-ра'!H350</f>
        <v>4.2</v>
      </c>
      <c r="H464" s="62">
        <f>'изменения июль вед стр-ра'!I350</f>
        <v>4.2</v>
      </c>
    </row>
    <row r="465" spans="1:8" s="79" customFormat="1" x14ac:dyDescent="0.2">
      <c r="A465" s="104" t="s">
        <v>69</v>
      </c>
      <c r="B465" s="82" t="s">
        <v>51</v>
      </c>
      <c r="C465" s="82" t="s">
        <v>18</v>
      </c>
      <c r="D465" s="82" t="s">
        <v>128</v>
      </c>
      <c r="E465" s="105">
        <v>300</v>
      </c>
      <c r="F465" s="62">
        <f>'изменения июль вед стр-ра'!G351</f>
        <v>271.10000000000002</v>
      </c>
      <c r="G465" s="62">
        <f>'изменения июль вед стр-ра'!H351</f>
        <v>419</v>
      </c>
      <c r="H465" s="62">
        <f>'изменения июль вед стр-ра'!I351</f>
        <v>419</v>
      </c>
    </row>
    <row r="466" spans="1:8" s="79" customFormat="1" ht="25.5" x14ac:dyDescent="0.2">
      <c r="A466" s="87" t="s">
        <v>141</v>
      </c>
      <c r="B466" s="82" t="s">
        <v>51</v>
      </c>
      <c r="C466" s="82" t="s">
        <v>18</v>
      </c>
      <c r="D466" s="82" t="s">
        <v>128</v>
      </c>
      <c r="E466" s="82" t="s">
        <v>65</v>
      </c>
      <c r="F466" s="62">
        <f>'изменения июль вед стр-ра'!G352</f>
        <v>2727.6000000000004</v>
      </c>
      <c r="G466" s="62">
        <f>'изменения июль вед стр-ра'!H352</f>
        <v>3330.8</v>
      </c>
      <c r="H466" s="62">
        <f>'изменения июль вед стр-ра'!I352</f>
        <v>3330.8</v>
      </c>
    </row>
    <row r="467" spans="1:8" s="21" customFormat="1" ht="29.25" customHeight="1" x14ac:dyDescent="0.2">
      <c r="A467" s="60" t="s">
        <v>448</v>
      </c>
      <c r="B467" s="19" t="s">
        <v>51</v>
      </c>
      <c r="C467" s="19" t="s">
        <v>18</v>
      </c>
      <c r="D467" s="19" t="s">
        <v>447</v>
      </c>
      <c r="E467" s="19"/>
      <c r="F467" s="20">
        <f>F468</f>
        <v>0</v>
      </c>
      <c r="G467" s="20">
        <f>G468</f>
        <v>5</v>
      </c>
      <c r="H467" s="20">
        <f>H468</f>
        <v>0</v>
      </c>
    </row>
    <row r="468" spans="1:8" s="26" customFormat="1" x14ac:dyDescent="0.2">
      <c r="A468" s="28" t="s">
        <v>69</v>
      </c>
      <c r="B468" s="24" t="s">
        <v>51</v>
      </c>
      <c r="C468" s="24" t="s">
        <v>18</v>
      </c>
      <c r="D468" s="24" t="s">
        <v>447</v>
      </c>
      <c r="E468" s="24" t="s">
        <v>70</v>
      </c>
      <c r="F468" s="25">
        <f>'изменения июль вед стр-ра'!G354</f>
        <v>0</v>
      </c>
      <c r="G468" s="25">
        <f>'изменения июль вед стр-ра'!H354</f>
        <v>5</v>
      </c>
      <c r="H468" s="25">
        <f>'изменения июль вед стр-ра'!I354</f>
        <v>0</v>
      </c>
    </row>
    <row r="469" spans="1:8" s="21" customFormat="1" ht="114.75" x14ac:dyDescent="0.2">
      <c r="A469" s="60" t="s">
        <v>453</v>
      </c>
      <c r="B469" s="19" t="s">
        <v>51</v>
      </c>
      <c r="C469" s="19" t="s">
        <v>18</v>
      </c>
      <c r="D469" s="19" t="s">
        <v>129</v>
      </c>
      <c r="E469" s="19"/>
      <c r="F469" s="20">
        <f>F470</f>
        <v>38467</v>
      </c>
      <c r="G469" s="20">
        <f t="shared" ref="G469:H469" si="87">G470</f>
        <v>38467</v>
      </c>
      <c r="H469" s="20">
        <f t="shared" si="87"/>
        <v>38467</v>
      </c>
    </row>
    <row r="470" spans="1:8" s="21" customFormat="1" x14ac:dyDescent="0.2">
      <c r="A470" s="28" t="s">
        <v>69</v>
      </c>
      <c r="B470" s="24" t="s">
        <v>51</v>
      </c>
      <c r="C470" s="24" t="s">
        <v>18</v>
      </c>
      <c r="D470" s="24" t="s">
        <v>129</v>
      </c>
      <c r="E470" s="24" t="s">
        <v>70</v>
      </c>
      <c r="F470" s="25">
        <f>'изменения июль вед стр-ра'!G356</f>
        <v>38467</v>
      </c>
      <c r="G470" s="25">
        <f>'изменения июль вед стр-ра'!H356</f>
        <v>38467</v>
      </c>
      <c r="H470" s="25">
        <f>'изменения июль вед стр-ра'!I356</f>
        <v>38467</v>
      </c>
    </row>
    <row r="471" spans="1:8" s="21" customFormat="1" ht="112.5" customHeight="1" x14ac:dyDescent="0.2">
      <c r="A471" s="60" t="s">
        <v>450</v>
      </c>
      <c r="B471" s="19" t="s">
        <v>51</v>
      </c>
      <c r="C471" s="19" t="s">
        <v>18</v>
      </c>
      <c r="D471" s="19" t="s">
        <v>449</v>
      </c>
      <c r="E471" s="19"/>
      <c r="F471" s="20">
        <f>F472</f>
        <v>250</v>
      </c>
      <c r="G471" s="20">
        <f>G472</f>
        <v>50</v>
      </c>
      <c r="H471" s="20">
        <f>H472</f>
        <v>50</v>
      </c>
    </row>
    <row r="472" spans="1:8" s="26" customFormat="1" x14ac:dyDescent="0.2">
      <c r="A472" s="28" t="s">
        <v>69</v>
      </c>
      <c r="B472" s="24" t="s">
        <v>51</v>
      </c>
      <c r="C472" s="24" t="s">
        <v>18</v>
      </c>
      <c r="D472" s="24" t="s">
        <v>449</v>
      </c>
      <c r="E472" s="24" t="s">
        <v>70</v>
      </c>
      <c r="F472" s="25">
        <f>'изменения июль вед стр-ра'!G358</f>
        <v>250</v>
      </c>
      <c r="G472" s="25">
        <f>'изменения июль вед стр-ра'!H358</f>
        <v>50</v>
      </c>
      <c r="H472" s="25">
        <f>'изменения июль вед стр-ра'!I358</f>
        <v>50</v>
      </c>
    </row>
    <row r="473" spans="1:8" s="21" customFormat="1" ht="38.25" x14ac:dyDescent="0.2">
      <c r="A473" s="18" t="s">
        <v>424</v>
      </c>
      <c r="B473" s="19" t="s">
        <v>51</v>
      </c>
      <c r="C473" s="19" t="s">
        <v>18</v>
      </c>
      <c r="D473" s="19" t="s">
        <v>425</v>
      </c>
      <c r="E473" s="19"/>
      <c r="F473" s="20">
        <f>F474</f>
        <v>3643.2</v>
      </c>
      <c r="G473" s="20">
        <f>G474</f>
        <v>3643.2</v>
      </c>
      <c r="H473" s="20">
        <f>H474</f>
        <v>1399.0999999999997</v>
      </c>
    </row>
    <row r="474" spans="1:8" s="26" customFormat="1" ht="25.5" x14ac:dyDescent="0.2">
      <c r="A474" s="87" t="s">
        <v>141</v>
      </c>
      <c r="B474" s="24" t="s">
        <v>51</v>
      </c>
      <c r="C474" s="24" t="s">
        <v>18</v>
      </c>
      <c r="D474" s="24" t="s">
        <v>425</v>
      </c>
      <c r="E474" s="24" t="s">
        <v>65</v>
      </c>
      <c r="F474" s="25">
        <f>'изменения июль вед стр-ра'!G360</f>
        <v>3643.2</v>
      </c>
      <c r="G474" s="25">
        <f>'изменения июль вед стр-ра'!H360</f>
        <v>3643.2</v>
      </c>
      <c r="H474" s="25">
        <f>'изменения июль вед стр-ра'!I360</f>
        <v>1399.0999999999997</v>
      </c>
    </row>
    <row r="475" spans="1:8" s="21" customFormat="1" ht="38.25" x14ac:dyDescent="0.2">
      <c r="A475" s="18" t="s">
        <v>423</v>
      </c>
      <c r="B475" s="19" t="s">
        <v>51</v>
      </c>
      <c r="C475" s="19" t="s">
        <v>18</v>
      </c>
      <c r="D475" s="19" t="s">
        <v>422</v>
      </c>
      <c r="E475" s="19"/>
      <c r="F475" s="20">
        <f>F477+F476</f>
        <v>1445.2</v>
      </c>
      <c r="G475" s="20">
        <f t="shared" ref="G475:H475" si="88">G477+G476</f>
        <v>1445.2</v>
      </c>
      <c r="H475" s="20">
        <f t="shared" si="88"/>
        <v>1445.2</v>
      </c>
    </row>
    <row r="476" spans="1:8" s="26" customFormat="1" ht="25.5" x14ac:dyDescent="0.2">
      <c r="A476" s="87" t="s">
        <v>76</v>
      </c>
      <c r="B476" s="24" t="s">
        <v>51</v>
      </c>
      <c r="C476" s="24" t="s">
        <v>18</v>
      </c>
      <c r="D476" s="24" t="s">
        <v>422</v>
      </c>
      <c r="E476" s="24" t="s">
        <v>68</v>
      </c>
      <c r="F476" s="25">
        <f>'изменения июль вед стр-ра'!G362</f>
        <v>420</v>
      </c>
      <c r="G476" s="25">
        <f>'изменения июль вед стр-ра'!H362</f>
        <v>420</v>
      </c>
      <c r="H476" s="25">
        <f>'изменения июль вед стр-ра'!I362</f>
        <v>420</v>
      </c>
    </row>
    <row r="477" spans="1:8" s="26" customFormat="1" ht="25.5" x14ac:dyDescent="0.2">
      <c r="A477" s="87" t="s">
        <v>141</v>
      </c>
      <c r="B477" s="24" t="s">
        <v>51</v>
      </c>
      <c r="C477" s="24" t="s">
        <v>18</v>
      </c>
      <c r="D477" s="24" t="s">
        <v>422</v>
      </c>
      <c r="E477" s="24" t="s">
        <v>65</v>
      </c>
      <c r="F477" s="25">
        <f>'изменения июль вед стр-ра'!G363</f>
        <v>1025.2</v>
      </c>
      <c r="G477" s="25">
        <f>'изменения июль вед стр-ра'!H363</f>
        <v>1025.2</v>
      </c>
      <c r="H477" s="25">
        <f>'изменения июль вед стр-ра'!I363</f>
        <v>1025.2</v>
      </c>
    </row>
    <row r="478" spans="1:8" s="21" customFormat="1" ht="76.5" x14ac:dyDescent="0.2">
      <c r="A478" s="18" t="s">
        <v>278</v>
      </c>
      <c r="B478" s="19" t="s">
        <v>51</v>
      </c>
      <c r="C478" s="19" t="s">
        <v>18</v>
      </c>
      <c r="D478" s="19" t="s">
        <v>101</v>
      </c>
      <c r="E478" s="19"/>
      <c r="F478" s="20">
        <f>F479</f>
        <v>749</v>
      </c>
      <c r="G478" s="20">
        <f>G479</f>
        <v>309</v>
      </c>
      <c r="H478" s="20">
        <f>H479</f>
        <v>321</v>
      </c>
    </row>
    <row r="479" spans="1:8" s="79" customFormat="1" x14ac:dyDescent="0.2">
      <c r="A479" s="87" t="s">
        <v>69</v>
      </c>
      <c r="B479" s="82" t="s">
        <v>51</v>
      </c>
      <c r="C479" s="82" t="s">
        <v>18</v>
      </c>
      <c r="D479" s="82" t="s">
        <v>101</v>
      </c>
      <c r="E479" s="82" t="s">
        <v>70</v>
      </c>
      <c r="F479" s="62">
        <f>'изменения июль вед стр-ра'!G506</f>
        <v>749</v>
      </c>
      <c r="G479" s="62">
        <f>'изменения июль вед стр-ра'!H506</f>
        <v>309</v>
      </c>
      <c r="H479" s="62">
        <f>'изменения июль вед стр-ра'!I506</f>
        <v>321</v>
      </c>
    </row>
    <row r="480" spans="1:8" s="21" customFormat="1" ht="89.25" x14ac:dyDescent="0.2">
      <c r="A480" s="18" t="s">
        <v>279</v>
      </c>
      <c r="B480" s="19" t="s">
        <v>51</v>
      </c>
      <c r="C480" s="19" t="s">
        <v>18</v>
      </c>
      <c r="D480" s="19" t="s">
        <v>105</v>
      </c>
      <c r="E480" s="19"/>
      <c r="F480" s="20">
        <f>F482+F481</f>
        <v>52961</v>
      </c>
      <c r="G480" s="20">
        <f>G482+G481</f>
        <v>58103</v>
      </c>
      <c r="H480" s="20">
        <f>H482+H481</f>
        <v>60334</v>
      </c>
    </row>
    <row r="481" spans="1:9" s="21" customFormat="1" ht="25.5" x14ac:dyDescent="0.2">
      <c r="A481" s="28" t="s">
        <v>76</v>
      </c>
      <c r="B481" s="24" t="s">
        <v>51</v>
      </c>
      <c r="C481" s="24" t="s">
        <v>18</v>
      </c>
      <c r="D481" s="19" t="s">
        <v>105</v>
      </c>
      <c r="E481" s="27" t="s">
        <v>68</v>
      </c>
      <c r="F481" s="25">
        <f>'изменения июль вед стр-ра'!G508</f>
        <v>1</v>
      </c>
      <c r="G481" s="25">
        <f>'изменения июль вед стр-ра'!H508</f>
        <v>1</v>
      </c>
      <c r="H481" s="25">
        <f>'изменения июль вед стр-ра'!I508</f>
        <v>1</v>
      </c>
    </row>
    <row r="482" spans="1:9" s="79" customFormat="1" x14ac:dyDescent="0.2">
      <c r="A482" s="87" t="s">
        <v>69</v>
      </c>
      <c r="B482" s="82" t="s">
        <v>51</v>
      </c>
      <c r="C482" s="82" t="s">
        <v>18</v>
      </c>
      <c r="D482" s="77" t="s">
        <v>105</v>
      </c>
      <c r="E482" s="82" t="s">
        <v>70</v>
      </c>
      <c r="F482" s="25">
        <f>'изменения июль вед стр-ра'!G509</f>
        <v>52960</v>
      </c>
      <c r="G482" s="25">
        <f>'изменения июль вед стр-ра'!H509</f>
        <v>58102</v>
      </c>
      <c r="H482" s="25">
        <f>'изменения июль вед стр-ра'!I509</f>
        <v>60333</v>
      </c>
    </row>
    <row r="483" spans="1:9" s="21" customFormat="1" ht="38.25" x14ac:dyDescent="0.2">
      <c r="A483" s="54" t="s">
        <v>338</v>
      </c>
      <c r="B483" s="19" t="s">
        <v>51</v>
      </c>
      <c r="C483" s="19" t="s">
        <v>18</v>
      </c>
      <c r="D483" s="19" t="s">
        <v>374</v>
      </c>
      <c r="E483" s="19"/>
      <c r="F483" s="20">
        <f>F484</f>
        <v>205</v>
      </c>
      <c r="G483" s="20">
        <f t="shared" ref="G483:H483" si="89">G484</f>
        <v>213</v>
      </c>
      <c r="H483" s="20">
        <f t="shared" si="89"/>
        <v>222</v>
      </c>
    </row>
    <row r="484" spans="1:9" s="26" customFormat="1" ht="25.5" x14ac:dyDescent="0.2">
      <c r="A484" s="28" t="s">
        <v>76</v>
      </c>
      <c r="B484" s="24" t="s">
        <v>51</v>
      </c>
      <c r="C484" s="24" t="s">
        <v>18</v>
      </c>
      <c r="D484" s="24" t="s">
        <v>374</v>
      </c>
      <c r="E484" s="27" t="s">
        <v>68</v>
      </c>
      <c r="F484" s="25">
        <f>'изменения июль вед стр-ра'!G511</f>
        <v>205</v>
      </c>
      <c r="G484" s="25">
        <f>'изменения июль вед стр-ра'!H511</f>
        <v>213</v>
      </c>
      <c r="H484" s="25">
        <f>'изменения июль вед стр-ра'!I511</f>
        <v>222</v>
      </c>
      <c r="I484" s="25">
        <f>'изменения июль вед стр-ра'!J511</f>
        <v>0</v>
      </c>
    </row>
    <row r="485" spans="1:9" s="21" customFormat="1" ht="38.25" x14ac:dyDescent="0.2">
      <c r="A485" s="18" t="s">
        <v>336</v>
      </c>
      <c r="B485" s="19" t="s">
        <v>51</v>
      </c>
      <c r="C485" s="19" t="s">
        <v>18</v>
      </c>
      <c r="D485" s="19" t="s">
        <v>107</v>
      </c>
      <c r="E485" s="19"/>
      <c r="F485" s="20">
        <f>F487+F486</f>
        <v>29684</v>
      </c>
      <c r="G485" s="20">
        <f>G487+G486</f>
        <v>29684</v>
      </c>
      <c r="H485" s="20">
        <f>H487+H486</f>
        <v>29684</v>
      </c>
    </row>
    <row r="486" spans="1:9" s="21" customFormat="1" ht="25.5" x14ac:dyDescent="0.2">
      <c r="A486" s="28" t="s">
        <v>76</v>
      </c>
      <c r="B486" s="24" t="s">
        <v>51</v>
      </c>
      <c r="C486" s="24" t="s">
        <v>18</v>
      </c>
      <c r="D486" s="24" t="s">
        <v>107</v>
      </c>
      <c r="E486" s="27" t="s">
        <v>68</v>
      </c>
      <c r="F486" s="25">
        <f>'изменения июль вед стр-ра'!G513</f>
        <v>1</v>
      </c>
      <c r="G486" s="25">
        <f>'изменения июль вед стр-ра'!H513</f>
        <v>1</v>
      </c>
      <c r="H486" s="25">
        <f>'изменения июль вед стр-ра'!I513</f>
        <v>1</v>
      </c>
    </row>
    <row r="487" spans="1:9" s="21" customFormat="1" x14ac:dyDescent="0.2">
      <c r="A487" s="28" t="s">
        <v>69</v>
      </c>
      <c r="B487" s="24" t="s">
        <v>51</v>
      </c>
      <c r="C487" s="24" t="s">
        <v>18</v>
      </c>
      <c r="D487" s="24" t="s">
        <v>107</v>
      </c>
      <c r="E487" s="24" t="s">
        <v>70</v>
      </c>
      <c r="F487" s="25">
        <f>'изменения июль вед стр-ра'!G514</f>
        <v>29683</v>
      </c>
      <c r="G487" s="25">
        <f>'изменения июль вед стр-ра'!H514</f>
        <v>29683</v>
      </c>
      <c r="H487" s="25">
        <f>'изменения июль вед стр-ра'!I514</f>
        <v>29683</v>
      </c>
    </row>
    <row r="488" spans="1:9" s="79" customFormat="1" x14ac:dyDescent="0.2">
      <c r="A488" s="70" t="s">
        <v>57</v>
      </c>
      <c r="B488" s="72" t="s">
        <v>51</v>
      </c>
      <c r="C488" s="72" t="s">
        <v>50</v>
      </c>
      <c r="D488" s="72"/>
      <c r="E488" s="72"/>
      <c r="F488" s="73">
        <f>F489+F494+F497+F499+F510+F504+F506+F516+F508+F519+F514+F492</f>
        <v>41343.9</v>
      </c>
      <c r="G488" s="73">
        <f t="shared" ref="G488:H488" si="90">G489+G494+G497+G499+G510+G504+G506+G516+G508+G519+G514+G492</f>
        <v>27124.399999999998</v>
      </c>
      <c r="H488" s="73">
        <f t="shared" si="90"/>
        <v>27124.399999999998</v>
      </c>
    </row>
    <row r="489" spans="1:9" s="21" customFormat="1" x14ac:dyDescent="0.2">
      <c r="A489" s="18" t="s">
        <v>185</v>
      </c>
      <c r="B489" s="19" t="s">
        <v>51</v>
      </c>
      <c r="C489" s="19" t="s">
        <v>50</v>
      </c>
      <c r="D489" s="19" t="s">
        <v>184</v>
      </c>
      <c r="E489" s="19"/>
      <c r="F489" s="20">
        <f>F491+F490</f>
        <v>114.19999999999999</v>
      </c>
      <c r="G489" s="20">
        <f>G491+G490</f>
        <v>114.19999999999999</v>
      </c>
      <c r="H489" s="20">
        <f>H491+H490</f>
        <v>114.19999999999999</v>
      </c>
    </row>
    <row r="490" spans="1:9" s="21" customFormat="1" ht="25.5" x14ac:dyDescent="0.2">
      <c r="A490" s="28" t="s">
        <v>76</v>
      </c>
      <c r="B490" s="24" t="s">
        <v>51</v>
      </c>
      <c r="C490" s="24" t="s">
        <v>50</v>
      </c>
      <c r="D490" s="24" t="s">
        <v>184</v>
      </c>
      <c r="E490" s="27" t="s">
        <v>68</v>
      </c>
      <c r="F490" s="25">
        <f>'изменения июль вед стр-ра'!G123</f>
        <v>0.6</v>
      </c>
      <c r="G490" s="25">
        <f>'изменения июль вед стр-ра'!H123</f>
        <v>0.6</v>
      </c>
      <c r="H490" s="25">
        <f>'изменения июль вед стр-ра'!I123</f>
        <v>0.6</v>
      </c>
    </row>
    <row r="491" spans="1:9" s="21" customFormat="1" x14ac:dyDescent="0.2">
      <c r="A491" s="28" t="s">
        <v>69</v>
      </c>
      <c r="B491" s="24" t="s">
        <v>51</v>
      </c>
      <c r="C491" s="24" t="s">
        <v>50</v>
      </c>
      <c r="D491" s="24" t="s">
        <v>184</v>
      </c>
      <c r="E491" s="24" t="s">
        <v>70</v>
      </c>
      <c r="F491" s="25">
        <f>'изменения июль вед стр-ра'!G124</f>
        <v>113.6</v>
      </c>
      <c r="G491" s="25">
        <f>'изменения июль вед стр-ра'!H124</f>
        <v>113.6</v>
      </c>
      <c r="H491" s="25">
        <f>'изменения июль вед стр-ра'!I124</f>
        <v>113.6</v>
      </c>
    </row>
    <row r="492" spans="1:9" ht="25.5" x14ac:dyDescent="0.2">
      <c r="A492" s="18" t="s">
        <v>730</v>
      </c>
      <c r="B492" s="19" t="s">
        <v>51</v>
      </c>
      <c r="C492" s="19" t="s">
        <v>50</v>
      </c>
      <c r="D492" s="19" t="s">
        <v>731</v>
      </c>
      <c r="E492" s="19"/>
      <c r="F492" s="20">
        <f>F493</f>
        <v>200</v>
      </c>
      <c r="G492" s="20">
        <f t="shared" ref="G492:H492" si="91">G493</f>
        <v>0</v>
      </c>
      <c r="H492" s="20">
        <f t="shared" si="91"/>
        <v>0</v>
      </c>
      <c r="I492" s="237"/>
    </row>
    <row r="493" spans="1:9" s="26" customFormat="1" ht="25.5" x14ac:dyDescent="0.2">
      <c r="A493" s="28" t="s">
        <v>76</v>
      </c>
      <c r="B493" s="24" t="s">
        <v>51</v>
      </c>
      <c r="C493" s="24" t="s">
        <v>50</v>
      </c>
      <c r="D493" s="24" t="s">
        <v>731</v>
      </c>
      <c r="E493" s="24" t="s">
        <v>68</v>
      </c>
      <c r="F493" s="25">
        <f>'изменения июль вед стр-ра'!G517</f>
        <v>200</v>
      </c>
      <c r="G493" s="25">
        <f>'изменения июль вед стр-ра'!H517</f>
        <v>0</v>
      </c>
      <c r="H493" s="25">
        <f>'изменения июль вед стр-ра'!I517</f>
        <v>0</v>
      </c>
    </row>
    <row r="494" spans="1:9" s="21" customFormat="1" x14ac:dyDescent="0.2">
      <c r="A494" s="18" t="s">
        <v>280</v>
      </c>
      <c r="B494" s="19" t="s">
        <v>51</v>
      </c>
      <c r="C494" s="19" t="s">
        <v>50</v>
      </c>
      <c r="D494" s="19" t="s">
        <v>281</v>
      </c>
      <c r="E494" s="19"/>
      <c r="F494" s="20">
        <f>F495+F496</f>
        <v>1885.7</v>
      </c>
      <c r="G494" s="20">
        <f t="shared" ref="G494:H494" si="92">G495+G496</f>
        <v>0</v>
      </c>
      <c r="H494" s="20">
        <f t="shared" si="92"/>
        <v>0</v>
      </c>
      <c r="I494" s="117"/>
    </row>
    <row r="495" spans="1:9" s="21" customFormat="1" ht="25.5" x14ac:dyDescent="0.2">
      <c r="A495" s="28" t="s">
        <v>76</v>
      </c>
      <c r="B495" s="24" t="s">
        <v>51</v>
      </c>
      <c r="C495" s="24" t="s">
        <v>50</v>
      </c>
      <c r="D495" s="24" t="s">
        <v>281</v>
      </c>
      <c r="E495" s="24" t="s">
        <v>68</v>
      </c>
      <c r="F495" s="25">
        <f>'изменения июль вед стр-ра'!G519</f>
        <v>1399.7</v>
      </c>
      <c r="G495" s="25">
        <f>'изменения июль вед стр-ра'!H519</f>
        <v>0</v>
      </c>
      <c r="H495" s="25">
        <f>'изменения июль вед стр-ра'!I519</f>
        <v>0</v>
      </c>
      <c r="I495" s="117"/>
    </row>
    <row r="496" spans="1:9" s="79" customFormat="1" x14ac:dyDescent="0.2">
      <c r="A496" s="87" t="s">
        <v>69</v>
      </c>
      <c r="B496" s="82" t="s">
        <v>51</v>
      </c>
      <c r="C496" s="82" t="s">
        <v>50</v>
      </c>
      <c r="D496" s="82" t="s">
        <v>281</v>
      </c>
      <c r="E496" s="83" t="s">
        <v>70</v>
      </c>
      <c r="F496" s="25">
        <f>'изменения июль вед стр-ра'!G520</f>
        <v>486</v>
      </c>
      <c r="G496" s="25">
        <f>'изменения июль вед стр-ра'!H520</f>
        <v>0</v>
      </c>
      <c r="H496" s="25">
        <f>'изменения июль вед стр-ра'!I520</f>
        <v>0</v>
      </c>
    </row>
    <row r="497" spans="1:9" s="21" customFormat="1" x14ac:dyDescent="0.2">
      <c r="A497" s="18" t="s">
        <v>282</v>
      </c>
      <c r="B497" s="19" t="s">
        <v>51</v>
      </c>
      <c r="C497" s="19" t="s">
        <v>50</v>
      </c>
      <c r="D497" s="19" t="s">
        <v>283</v>
      </c>
      <c r="E497" s="19"/>
      <c r="F497" s="20">
        <f>F498</f>
        <v>976.2</v>
      </c>
      <c r="G497" s="20">
        <f>G498</f>
        <v>0</v>
      </c>
      <c r="H497" s="20">
        <f>H498</f>
        <v>0</v>
      </c>
      <c r="I497" s="117"/>
    </row>
    <row r="498" spans="1:9" s="21" customFormat="1" ht="25.5" x14ac:dyDescent="0.2">
      <c r="A498" s="28" t="s">
        <v>141</v>
      </c>
      <c r="B498" s="24" t="s">
        <v>51</v>
      </c>
      <c r="C498" s="24" t="s">
        <v>50</v>
      </c>
      <c r="D498" s="24" t="s">
        <v>283</v>
      </c>
      <c r="E498" s="24" t="s">
        <v>65</v>
      </c>
      <c r="F498" s="25">
        <f>'изменения июль вед стр-ра'!G522</f>
        <v>976.2</v>
      </c>
      <c r="G498" s="62">
        <v>0</v>
      </c>
      <c r="H498" s="62">
        <v>0</v>
      </c>
      <c r="I498" s="117"/>
    </row>
    <row r="499" spans="1:9" s="79" customFormat="1" x14ac:dyDescent="0.2">
      <c r="A499" s="75" t="s">
        <v>322</v>
      </c>
      <c r="B499" s="77" t="s">
        <v>51</v>
      </c>
      <c r="C499" s="77" t="s">
        <v>50</v>
      </c>
      <c r="D499" s="77" t="s">
        <v>323</v>
      </c>
      <c r="E499" s="77"/>
      <c r="F499" s="78">
        <f>F501+F503+F502+F500</f>
        <v>1147.8</v>
      </c>
      <c r="G499" s="78">
        <f t="shared" ref="G499:H499" si="93">G501+G503+G502+G500</f>
        <v>0</v>
      </c>
      <c r="H499" s="78">
        <f t="shared" si="93"/>
        <v>0</v>
      </c>
    </row>
    <row r="500" spans="1:9" s="79" customFormat="1" ht="51" x14ac:dyDescent="0.2">
      <c r="A500" s="30" t="s">
        <v>66</v>
      </c>
      <c r="B500" s="82" t="s">
        <v>51</v>
      </c>
      <c r="C500" s="82" t="s">
        <v>50</v>
      </c>
      <c r="D500" s="82" t="s">
        <v>323</v>
      </c>
      <c r="E500" s="77" t="s">
        <v>67</v>
      </c>
      <c r="F500" s="78">
        <f>'изменения июль вед стр-ра'!G126</f>
        <v>60</v>
      </c>
      <c r="G500" s="78">
        <f>'изменения июль вед стр-ра'!H126</f>
        <v>0</v>
      </c>
      <c r="H500" s="78">
        <f>'изменения июль вед стр-ра'!I126</f>
        <v>0</v>
      </c>
    </row>
    <row r="501" spans="1:9" s="79" customFormat="1" ht="25.5" x14ac:dyDescent="0.2">
      <c r="A501" s="87" t="s">
        <v>76</v>
      </c>
      <c r="B501" s="82" t="s">
        <v>51</v>
      </c>
      <c r="C501" s="82" t="s">
        <v>50</v>
      </c>
      <c r="D501" s="82" t="s">
        <v>323</v>
      </c>
      <c r="E501" s="82" t="s">
        <v>73</v>
      </c>
      <c r="F501" s="62">
        <f>'изменения июль вед стр-ра'!G524</f>
        <v>120</v>
      </c>
      <c r="G501" s="62">
        <f>'изменения июль вед стр-ра'!H524</f>
        <v>0</v>
      </c>
      <c r="H501" s="62">
        <f>'изменения июль вед стр-ра'!I524</f>
        <v>0</v>
      </c>
    </row>
    <row r="502" spans="1:9" s="79" customFormat="1" ht="25.5" x14ac:dyDescent="0.2">
      <c r="A502" s="28" t="s">
        <v>141</v>
      </c>
      <c r="B502" s="82" t="s">
        <v>51</v>
      </c>
      <c r="C502" s="82" t="s">
        <v>50</v>
      </c>
      <c r="D502" s="82" t="s">
        <v>323</v>
      </c>
      <c r="E502" s="82" t="s">
        <v>65</v>
      </c>
      <c r="F502" s="62">
        <f>'изменения июль вед стр-ра'!G366+'изменения июль вед стр-ра'!G127</f>
        <v>120</v>
      </c>
      <c r="G502" s="62">
        <f>'изменения июль вед стр-ра'!H366+'изменения июль вед стр-ра'!H127</f>
        <v>0</v>
      </c>
      <c r="H502" s="62">
        <f>'изменения июль вед стр-ра'!I366+'изменения июль вед стр-ра'!I127</f>
        <v>0</v>
      </c>
    </row>
    <row r="503" spans="1:9" s="21" customFormat="1" x14ac:dyDescent="0.2">
      <c r="A503" s="28" t="s">
        <v>69</v>
      </c>
      <c r="B503" s="24" t="s">
        <v>51</v>
      </c>
      <c r="C503" s="24" t="s">
        <v>50</v>
      </c>
      <c r="D503" s="24" t="s">
        <v>323</v>
      </c>
      <c r="E503" s="24" t="s">
        <v>70</v>
      </c>
      <c r="F503" s="25">
        <f>'изменения июль вед стр-ра'!G617</f>
        <v>847.8</v>
      </c>
      <c r="G503" s="25">
        <f>'изменения июль вед стр-ра'!H617</f>
        <v>0</v>
      </c>
      <c r="H503" s="25">
        <f>'изменения июль вед стр-ра'!I617</f>
        <v>0</v>
      </c>
    </row>
    <row r="504" spans="1:9" s="21" customFormat="1" ht="25.5" x14ac:dyDescent="0.2">
      <c r="A504" s="18" t="s">
        <v>325</v>
      </c>
      <c r="B504" s="19" t="s">
        <v>51</v>
      </c>
      <c r="C504" s="19" t="s">
        <v>50</v>
      </c>
      <c r="D504" s="19" t="s">
        <v>324</v>
      </c>
      <c r="E504" s="19"/>
      <c r="F504" s="20">
        <f>F505</f>
        <v>1553.1</v>
      </c>
      <c r="G504" s="20">
        <f>G505</f>
        <v>0</v>
      </c>
      <c r="H504" s="20">
        <f>H505</f>
        <v>0</v>
      </c>
    </row>
    <row r="505" spans="1:9" s="21" customFormat="1" x14ac:dyDescent="0.2">
      <c r="A505" s="28" t="s">
        <v>69</v>
      </c>
      <c r="B505" s="24" t="s">
        <v>51</v>
      </c>
      <c r="C505" s="24" t="s">
        <v>50</v>
      </c>
      <c r="D505" s="24" t="s">
        <v>324</v>
      </c>
      <c r="E505" s="24" t="s">
        <v>70</v>
      </c>
      <c r="F505" s="25">
        <f>'изменения июль вед стр-ра'!G619</f>
        <v>1553.1</v>
      </c>
      <c r="G505" s="25">
        <f>'изменения июль вед стр-ра'!H619</f>
        <v>0</v>
      </c>
      <c r="H505" s="25">
        <f>'изменения июль вед стр-ра'!I619</f>
        <v>0</v>
      </c>
    </row>
    <row r="506" spans="1:9" s="21" customFormat="1" ht="63.75" x14ac:dyDescent="0.2">
      <c r="A506" s="61" t="s">
        <v>327</v>
      </c>
      <c r="B506" s="210" t="s">
        <v>51</v>
      </c>
      <c r="C506" s="19" t="s">
        <v>50</v>
      </c>
      <c r="D506" s="19" t="s">
        <v>326</v>
      </c>
      <c r="E506" s="19"/>
      <c r="F506" s="20">
        <f>F507</f>
        <v>50</v>
      </c>
      <c r="G506" s="20">
        <f>G507</f>
        <v>0</v>
      </c>
      <c r="H506" s="20">
        <f>H507</f>
        <v>0</v>
      </c>
    </row>
    <row r="507" spans="1:9" s="21" customFormat="1" x14ac:dyDescent="0.2">
      <c r="A507" s="52" t="s">
        <v>69</v>
      </c>
      <c r="B507" s="24" t="s">
        <v>51</v>
      </c>
      <c r="C507" s="24" t="s">
        <v>50</v>
      </c>
      <c r="D507" s="24" t="s">
        <v>326</v>
      </c>
      <c r="E507" s="24" t="s">
        <v>70</v>
      </c>
      <c r="F507" s="25">
        <f>'изменения июль вед стр-ра'!G621</f>
        <v>50</v>
      </c>
      <c r="G507" s="25">
        <f>'изменения июль вед стр-ра'!H621</f>
        <v>0</v>
      </c>
      <c r="H507" s="25">
        <f>'изменения июль вед стр-ра'!I621</f>
        <v>0</v>
      </c>
    </row>
    <row r="508" spans="1:9" s="79" customFormat="1" ht="25.5" x14ac:dyDescent="0.2">
      <c r="A508" s="75" t="s">
        <v>417</v>
      </c>
      <c r="B508" s="77" t="s">
        <v>51</v>
      </c>
      <c r="C508" s="77" t="s">
        <v>50</v>
      </c>
      <c r="D508" s="77" t="s">
        <v>416</v>
      </c>
      <c r="E508" s="77"/>
      <c r="F508" s="78">
        <f>F509</f>
        <v>17.8</v>
      </c>
      <c r="G508" s="78">
        <f>G509</f>
        <v>0</v>
      </c>
      <c r="H508" s="78">
        <f>H509</f>
        <v>0</v>
      </c>
    </row>
    <row r="509" spans="1:9" s="84" customFormat="1" x14ac:dyDescent="0.2">
      <c r="A509" s="87" t="s">
        <v>69</v>
      </c>
      <c r="B509" s="82" t="s">
        <v>51</v>
      </c>
      <c r="C509" s="82" t="s">
        <v>50</v>
      </c>
      <c r="D509" s="82" t="s">
        <v>416</v>
      </c>
      <c r="E509" s="82" t="s">
        <v>68</v>
      </c>
      <c r="F509" s="62">
        <f>'изменения июль вед стр-ра'!G526</f>
        <v>17.8</v>
      </c>
      <c r="G509" s="62">
        <f>'изменения июль вед стр-ра'!H526</f>
        <v>0</v>
      </c>
      <c r="H509" s="62">
        <f>'изменения июль вед стр-ра'!I526</f>
        <v>0</v>
      </c>
    </row>
    <row r="510" spans="1:9" s="79" customFormat="1" ht="25.5" x14ac:dyDescent="0.2">
      <c r="A510" s="75" t="s">
        <v>284</v>
      </c>
      <c r="B510" s="77" t="s">
        <v>51</v>
      </c>
      <c r="C510" s="77" t="s">
        <v>50</v>
      </c>
      <c r="D510" s="77" t="s">
        <v>99</v>
      </c>
      <c r="E510" s="77"/>
      <c r="F510" s="78">
        <f>F511+F512+F513</f>
        <v>27193.799999999996</v>
      </c>
      <c r="G510" s="78">
        <f>G511+G512+G513</f>
        <v>27010.199999999997</v>
      </c>
      <c r="H510" s="78">
        <f>H511+H512+H513</f>
        <v>27010.199999999997</v>
      </c>
    </row>
    <row r="511" spans="1:9" s="21" customFormat="1" ht="51" x14ac:dyDescent="0.2">
      <c r="A511" s="30" t="s">
        <v>66</v>
      </c>
      <c r="B511" s="24" t="s">
        <v>51</v>
      </c>
      <c r="C511" s="24" t="s">
        <v>50</v>
      </c>
      <c r="D511" s="24" t="s">
        <v>99</v>
      </c>
      <c r="E511" s="27" t="s">
        <v>67</v>
      </c>
      <c r="F511" s="25">
        <f>'изменения июль вед стр-ра'!G528</f>
        <v>25952.199999999997</v>
      </c>
      <c r="G511" s="25">
        <f>'изменения июль вед стр-ра'!H528</f>
        <v>25914.199999999997</v>
      </c>
      <c r="H511" s="25">
        <f>'изменения июль вед стр-ра'!I528</f>
        <v>25914.199999999997</v>
      </c>
    </row>
    <row r="512" spans="1:9" s="21" customFormat="1" ht="25.5" x14ac:dyDescent="0.2">
      <c r="A512" s="28" t="s">
        <v>76</v>
      </c>
      <c r="B512" s="24" t="s">
        <v>51</v>
      </c>
      <c r="C512" s="24" t="s">
        <v>50</v>
      </c>
      <c r="D512" s="24" t="s">
        <v>99</v>
      </c>
      <c r="E512" s="27" t="s">
        <v>68</v>
      </c>
      <c r="F512" s="25">
        <f>'изменения июль вед стр-ра'!G529</f>
        <v>1234</v>
      </c>
      <c r="G512" s="25">
        <f>'изменения июль вед стр-ра'!H529</f>
        <v>1088.4000000000001</v>
      </c>
      <c r="H512" s="25">
        <f>'изменения июль вед стр-ра'!I529</f>
        <v>1088.4000000000001</v>
      </c>
      <c r="I512" s="79"/>
    </row>
    <row r="513" spans="1:9" s="79" customFormat="1" x14ac:dyDescent="0.2">
      <c r="A513" s="87" t="s">
        <v>72</v>
      </c>
      <c r="B513" s="82" t="s">
        <v>51</v>
      </c>
      <c r="C513" s="82" t="s">
        <v>50</v>
      </c>
      <c r="D513" s="82" t="s">
        <v>99</v>
      </c>
      <c r="E513" s="82" t="s">
        <v>73</v>
      </c>
      <c r="F513" s="25">
        <f>'изменения июль вед стр-ра'!G530</f>
        <v>7.6</v>
      </c>
      <c r="G513" s="25">
        <f>'изменения июль вед стр-ра'!H530</f>
        <v>7.6</v>
      </c>
      <c r="H513" s="25">
        <f>'изменения июль вед стр-ра'!I530</f>
        <v>7.6</v>
      </c>
    </row>
    <row r="514" spans="1:9" s="79" customFormat="1" ht="25.5" x14ac:dyDescent="0.2">
      <c r="A514" s="75" t="s">
        <v>678</v>
      </c>
      <c r="B514" s="77" t="s">
        <v>51</v>
      </c>
      <c r="C514" s="77" t="s">
        <v>50</v>
      </c>
      <c r="D514" s="77" t="s">
        <v>679</v>
      </c>
      <c r="E514" s="78"/>
      <c r="F514" s="78">
        <f>F515</f>
        <v>7725.3</v>
      </c>
      <c r="G514" s="78">
        <f t="shared" ref="G514:H514" si="94">G515</f>
        <v>0</v>
      </c>
      <c r="H514" s="78">
        <f t="shared" si="94"/>
        <v>0</v>
      </c>
    </row>
    <row r="515" spans="1:9" s="79" customFormat="1" ht="25.5" x14ac:dyDescent="0.2">
      <c r="A515" s="75" t="s">
        <v>141</v>
      </c>
      <c r="B515" s="77" t="s">
        <v>51</v>
      </c>
      <c r="C515" s="77" t="s">
        <v>50</v>
      </c>
      <c r="D515" s="77" t="s">
        <v>679</v>
      </c>
      <c r="E515" s="78" t="s">
        <v>65</v>
      </c>
      <c r="F515" s="78">
        <f>'изменения июль вед стр-ра'!G532</f>
        <v>7725.3</v>
      </c>
      <c r="G515" s="78">
        <f>'изменения июль вед стр-ра'!H532</f>
        <v>0</v>
      </c>
      <c r="H515" s="78">
        <f>'изменения июль вед стр-ра'!I532</f>
        <v>0</v>
      </c>
    </row>
    <row r="516" spans="1:9" s="79" customFormat="1" x14ac:dyDescent="0.2">
      <c r="A516" s="75" t="s">
        <v>177</v>
      </c>
      <c r="B516" s="111" t="s">
        <v>51</v>
      </c>
      <c r="C516" s="77" t="s">
        <v>50</v>
      </c>
      <c r="D516" s="111" t="s">
        <v>178</v>
      </c>
      <c r="E516" s="77"/>
      <c r="F516" s="78">
        <f>F518+F517</f>
        <v>450</v>
      </c>
      <c r="G516" s="78">
        <f t="shared" ref="G516:H516" si="95">G518+G517</f>
        <v>0</v>
      </c>
      <c r="H516" s="78">
        <f t="shared" si="95"/>
        <v>0</v>
      </c>
    </row>
    <row r="517" spans="1:9" s="21" customFormat="1" ht="25.5" x14ac:dyDescent="0.2">
      <c r="A517" s="30" t="s">
        <v>466</v>
      </c>
      <c r="B517" s="24" t="s">
        <v>51</v>
      </c>
      <c r="C517" s="24" t="s">
        <v>50</v>
      </c>
      <c r="D517" s="24" t="s">
        <v>178</v>
      </c>
      <c r="E517" s="24" t="s">
        <v>68</v>
      </c>
      <c r="F517" s="20">
        <f>'изменения июль вед стр-ра'!G534</f>
        <v>60</v>
      </c>
      <c r="G517" s="20">
        <f>'изменения июль вед стр-ра'!H534</f>
        <v>0</v>
      </c>
      <c r="H517" s="20">
        <f>'изменения июль вед стр-ра'!I534</f>
        <v>0</v>
      </c>
    </row>
    <row r="518" spans="1:9" s="79" customFormat="1" x14ac:dyDescent="0.2">
      <c r="A518" s="87" t="s">
        <v>69</v>
      </c>
      <c r="B518" s="82" t="s">
        <v>51</v>
      </c>
      <c r="C518" s="82" t="s">
        <v>50</v>
      </c>
      <c r="D518" s="82" t="s">
        <v>178</v>
      </c>
      <c r="E518" s="82" t="s">
        <v>70</v>
      </c>
      <c r="F518" s="20">
        <f>'изменения июль вед стр-ра'!G535</f>
        <v>390</v>
      </c>
      <c r="G518" s="20">
        <f>'изменения июль вед стр-ра'!H535</f>
        <v>0</v>
      </c>
      <c r="H518" s="20">
        <f>'изменения июль вед стр-ра'!I535</f>
        <v>0</v>
      </c>
    </row>
    <row r="519" spans="1:9" s="79" customFormat="1" x14ac:dyDescent="0.2">
      <c r="A519" s="75" t="s">
        <v>429</v>
      </c>
      <c r="B519" s="77" t="s">
        <v>51</v>
      </c>
      <c r="C519" s="77" t="s">
        <v>50</v>
      </c>
      <c r="D519" s="111" t="s">
        <v>428</v>
      </c>
      <c r="E519" s="77"/>
      <c r="F519" s="73">
        <f>F520</f>
        <v>30</v>
      </c>
      <c r="G519" s="73">
        <f t="shared" ref="G519:H519" si="96">G520</f>
        <v>0</v>
      </c>
      <c r="H519" s="73">
        <f t="shared" si="96"/>
        <v>0</v>
      </c>
    </row>
    <row r="520" spans="1:9" s="21" customFormat="1" ht="25.5" x14ac:dyDescent="0.2">
      <c r="A520" s="28" t="s">
        <v>76</v>
      </c>
      <c r="B520" s="24" t="s">
        <v>51</v>
      </c>
      <c r="C520" s="24" t="s">
        <v>50</v>
      </c>
      <c r="D520" s="24" t="s">
        <v>428</v>
      </c>
      <c r="E520" s="24" t="s">
        <v>68</v>
      </c>
      <c r="F520" s="20">
        <f>'изменения июль вед стр-ра'!G537</f>
        <v>30</v>
      </c>
      <c r="G520" s="20">
        <f>'изменения июль вед стр-ра'!H537</f>
        <v>0</v>
      </c>
      <c r="H520" s="20">
        <f>'изменения июль вед стр-ра'!I537</f>
        <v>0</v>
      </c>
    </row>
    <row r="521" spans="1:9" s="21" customFormat="1" ht="15.75" x14ac:dyDescent="0.25">
      <c r="A521" s="144" t="s">
        <v>666</v>
      </c>
      <c r="B521" s="143" t="s">
        <v>21</v>
      </c>
      <c r="C521" s="143" t="s">
        <v>463</v>
      </c>
      <c r="D521" s="143"/>
      <c r="E521" s="143"/>
      <c r="F521" s="206">
        <f>F522+F539+F543</f>
        <v>77159.299999999988</v>
      </c>
      <c r="G521" s="206">
        <f>G522+G539+G543</f>
        <v>63121.3</v>
      </c>
      <c r="H521" s="206">
        <f>H522+H539+H543</f>
        <v>62309.3</v>
      </c>
    </row>
    <row r="522" spans="1:9" s="9" customFormat="1" x14ac:dyDescent="0.2">
      <c r="A522" s="11" t="s">
        <v>1</v>
      </c>
      <c r="B522" s="8" t="s">
        <v>21</v>
      </c>
      <c r="C522" s="8" t="s">
        <v>12</v>
      </c>
      <c r="D522" s="8"/>
      <c r="E522" s="8"/>
      <c r="F522" s="4">
        <f>F529+F533+F525+F531+F527+F523+F537+F535</f>
        <v>71617.599999999991</v>
      </c>
      <c r="G522" s="4">
        <f t="shared" ref="G522:H522" si="97">G529+G533+G525+G531+G527+G523+G537+G535</f>
        <v>58500.800000000003</v>
      </c>
      <c r="H522" s="4">
        <f t="shared" si="97"/>
        <v>57688.800000000003</v>
      </c>
      <c r="I522" s="127"/>
    </row>
    <row r="523" spans="1:9" s="21" customFormat="1" ht="39.75" customHeight="1" x14ac:dyDescent="0.2">
      <c r="A523" s="18" t="s">
        <v>444</v>
      </c>
      <c r="B523" s="19" t="s">
        <v>21</v>
      </c>
      <c r="C523" s="19" t="s">
        <v>12</v>
      </c>
      <c r="D523" s="19" t="s">
        <v>451</v>
      </c>
      <c r="E523" s="19"/>
      <c r="F523" s="20">
        <f>F524</f>
        <v>2800</v>
      </c>
      <c r="G523" s="20">
        <f>G524</f>
        <v>0</v>
      </c>
      <c r="H523" s="20">
        <f>H524</f>
        <v>0</v>
      </c>
      <c r="I523" s="117"/>
    </row>
    <row r="524" spans="1:9" s="26" customFormat="1" ht="25.5" x14ac:dyDescent="0.2">
      <c r="A524" s="28" t="s">
        <v>141</v>
      </c>
      <c r="B524" s="24" t="s">
        <v>21</v>
      </c>
      <c r="C524" s="24" t="s">
        <v>12</v>
      </c>
      <c r="D524" s="19" t="s">
        <v>451</v>
      </c>
      <c r="E524" s="24" t="s">
        <v>65</v>
      </c>
      <c r="F524" s="25">
        <f>'изменения июль вед стр-ра'!G140</f>
        <v>2800</v>
      </c>
      <c r="G524" s="25">
        <f>'изменения июль вед стр-ра'!H140</f>
        <v>0</v>
      </c>
      <c r="H524" s="25">
        <f>'изменения июль вед стр-ра'!I140</f>
        <v>0</v>
      </c>
      <c r="I524" s="118"/>
    </row>
    <row r="525" spans="1:9" s="12" customFormat="1" ht="25.5" x14ac:dyDescent="0.2">
      <c r="A525" s="17" t="s">
        <v>163</v>
      </c>
      <c r="B525" s="19" t="s">
        <v>21</v>
      </c>
      <c r="C525" s="19" t="s">
        <v>12</v>
      </c>
      <c r="D525" s="19" t="s">
        <v>162</v>
      </c>
      <c r="E525" s="5"/>
      <c r="F525" s="6">
        <f>F526</f>
        <v>163.1</v>
      </c>
      <c r="G525" s="6">
        <f>G526</f>
        <v>120.3</v>
      </c>
      <c r="H525" s="6">
        <f>H526</f>
        <v>120.3</v>
      </c>
    </row>
    <row r="526" spans="1:9" s="26" customFormat="1" ht="25.5" x14ac:dyDescent="0.2">
      <c r="A526" s="28" t="s">
        <v>141</v>
      </c>
      <c r="B526" s="24" t="s">
        <v>21</v>
      </c>
      <c r="C526" s="24" t="s">
        <v>12</v>
      </c>
      <c r="D526" s="24" t="s">
        <v>162</v>
      </c>
      <c r="E526" s="24" t="s">
        <v>65</v>
      </c>
      <c r="F526" s="25">
        <f>'изменения июль вед стр-ра'!G142</f>
        <v>163.1</v>
      </c>
      <c r="G526" s="25">
        <f>'изменения июль вед стр-ра'!H142</f>
        <v>120.3</v>
      </c>
      <c r="H526" s="25">
        <f>'изменения июль вед стр-ра'!I142</f>
        <v>120.3</v>
      </c>
    </row>
    <row r="527" spans="1:9" s="21" customFormat="1" ht="13.5" customHeight="1" x14ac:dyDescent="0.2">
      <c r="A527" s="18" t="s">
        <v>174</v>
      </c>
      <c r="B527" s="19" t="s">
        <v>21</v>
      </c>
      <c r="C527" s="19" t="s">
        <v>12</v>
      </c>
      <c r="D527" s="24" t="s">
        <v>173</v>
      </c>
      <c r="E527" s="19"/>
      <c r="F527" s="20">
        <f>F528</f>
        <v>3529.2</v>
      </c>
      <c r="G527" s="20">
        <f>G528</f>
        <v>0</v>
      </c>
      <c r="H527" s="20">
        <f>H528</f>
        <v>0</v>
      </c>
      <c r="I527" s="117"/>
    </row>
    <row r="528" spans="1:9" s="26" customFormat="1" ht="25.5" x14ac:dyDescent="0.2">
      <c r="A528" s="28" t="s">
        <v>83</v>
      </c>
      <c r="B528" s="24" t="s">
        <v>21</v>
      </c>
      <c r="C528" s="24" t="s">
        <v>12</v>
      </c>
      <c r="D528" s="24" t="s">
        <v>173</v>
      </c>
      <c r="E528" s="24" t="s">
        <v>71</v>
      </c>
      <c r="F528" s="25">
        <f>'изменения июль вед стр-ра'!G144</f>
        <v>3529.2</v>
      </c>
      <c r="G528" s="25">
        <f>'изменения июль вед стр-ра'!H144</f>
        <v>0</v>
      </c>
      <c r="H528" s="25">
        <f>'изменения июль вед стр-ра'!I144</f>
        <v>0</v>
      </c>
      <c r="I528" s="118"/>
    </row>
    <row r="529" spans="1:9" s="79" customFormat="1" ht="25.5" x14ac:dyDescent="0.2">
      <c r="A529" s="75" t="s">
        <v>191</v>
      </c>
      <c r="B529" s="77" t="s">
        <v>21</v>
      </c>
      <c r="C529" s="77" t="s">
        <v>12</v>
      </c>
      <c r="D529" s="77" t="s">
        <v>190</v>
      </c>
      <c r="E529" s="77"/>
      <c r="F529" s="78">
        <f>F530</f>
        <v>15395.400000000001</v>
      </c>
      <c r="G529" s="78">
        <f>G530</f>
        <v>13695</v>
      </c>
      <c r="H529" s="78">
        <f>H530</f>
        <v>13302.199999999999</v>
      </c>
    </row>
    <row r="530" spans="1:9" s="84" customFormat="1" ht="25.5" x14ac:dyDescent="0.2">
      <c r="A530" s="87" t="s">
        <v>141</v>
      </c>
      <c r="B530" s="82" t="s">
        <v>21</v>
      </c>
      <c r="C530" s="82" t="s">
        <v>12</v>
      </c>
      <c r="D530" s="82" t="s">
        <v>190</v>
      </c>
      <c r="E530" s="82" t="s">
        <v>65</v>
      </c>
      <c r="F530" s="62">
        <f>'изменения июль вед стр-ра'!G146</f>
        <v>15395.400000000001</v>
      </c>
      <c r="G530" s="62">
        <f>'изменения июль вед стр-ра'!H146</f>
        <v>13695</v>
      </c>
      <c r="H530" s="62">
        <f>'изменения июль вед стр-ра'!I146</f>
        <v>13302.199999999999</v>
      </c>
    </row>
    <row r="531" spans="1:9" s="21" customFormat="1" ht="38.25" x14ac:dyDescent="0.2">
      <c r="A531" s="18" t="s">
        <v>193</v>
      </c>
      <c r="B531" s="19" t="s">
        <v>21</v>
      </c>
      <c r="C531" s="19" t="s">
        <v>12</v>
      </c>
      <c r="D531" s="19" t="s">
        <v>192</v>
      </c>
      <c r="E531" s="19"/>
      <c r="F531" s="20">
        <f>F532</f>
        <v>200</v>
      </c>
      <c r="G531" s="20">
        <f>G532</f>
        <v>200</v>
      </c>
      <c r="H531" s="20">
        <f>H532</f>
        <v>200</v>
      </c>
    </row>
    <row r="532" spans="1:9" s="26" customFormat="1" ht="25.5" x14ac:dyDescent="0.2">
      <c r="A532" s="28" t="s">
        <v>76</v>
      </c>
      <c r="B532" s="24" t="s">
        <v>21</v>
      </c>
      <c r="C532" s="24" t="s">
        <v>12</v>
      </c>
      <c r="D532" s="24" t="s">
        <v>192</v>
      </c>
      <c r="E532" s="27" t="s">
        <v>68</v>
      </c>
      <c r="F532" s="25">
        <f>'изменения июль вед стр-ра'!G148</f>
        <v>200</v>
      </c>
      <c r="G532" s="25">
        <f>'изменения июль вед стр-ра'!H148</f>
        <v>200</v>
      </c>
      <c r="H532" s="25">
        <f>'изменения июль вед стр-ра'!I148</f>
        <v>200</v>
      </c>
      <c r="I532" s="25">
        <f>'изменения июль вед стр-ра'!J148</f>
        <v>0</v>
      </c>
    </row>
    <row r="533" spans="1:9" s="21" customFormat="1" ht="25.5" x14ac:dyDescent="0.2">
      <c r="A533" s="18" t="s">
        <v>357</v>
      </c>
      <c r="B533" s="19" t="s">
        <v>21</v>
      </c>
      <c r="C533" s="19" t="s">
        <v>12</v>
      </c>
      <c r="D533" s="19" t="s">
        <v>358</v>
      </c>
      <c r="E533" s="19"/>
      <c r="F533" s="20">
        <f>F534</f>
        <v>48737.899999999994</v>
      </c>
      <c r="G533" s="20">
        <f>G534</f>
        <v>44485.5</v>
      </c>
      <c r="H533" s="20">
        <f>H534</f>
        <v>44066.3</v>
      </c>
    </row>
    <row r="534" spans="1:9" s="84" customFormat="1" ht="25.5" x14ac:dyDescent="0.2">
      <c r="A534" s="87" t="s">
        <v>141</v>
      </c>
      <c r="B534" s="82" t="s">
        <v>21</v>
      </c>
      <c r="C534" s="82" t="s">
        <v>12</v>
      </c>
      <c r="D534" s="82" t="s">
        <v>358</v>
      </c>
      <c r="E534" s="83" t="s">
        <v>65</v>
      </c>
      <c r="F534" s="62">
        <f>'изменения июль вед стр-ра'!G150</f>
        <v>48737.899999999994</v>
      </c>
      <c r="G534" s="62">
        <f>'изменения июль вед стр-ра'!H150</f>
        <v>44485.5</v>
      </c>
      <c r="H534" s="62">
        <f>'изменения июль вед стр-ра'!I150</f>
        <v>44066.3</v>
      </c>
      <c r="I534" s="62">
        <f>'изменения июль вед стр-ра'!J150</f>
        <v>0</v>
      </c>
    </row>
    <row r="535" spans="1:9" s="26" customFormat="1" ht="20.25" customHeight="1" x14ac:dyDescent="0.2">
      <c r="A535" s="18" t="s">
        <v>714</v>
      </c>
      <c r="B535" s="19" t="s">
        <v>21</v>
      </c>
      <c r="C535" s="19" t="s">
        <v>12</v>
      </c>
      <c r="D535" s="19" t="s">
        <v>728</v>
      </c>
      <c r="E535" s="19"/>
      <c r="F535" s="25">
        <f>F536</f>
        <v>720</v>
      </c>
      <c r="G535" s="25">
        <f t="shared" ref="G535:H535" si="98">G536</f>
        <v>0</v>
      </c>
      <c r="H535" s="25">
        <f t="shared" si="98"/>
        <v>0</v>
      </c>
    </row>
    <row r="536" spans="1:9" s="26" customFormat="1" ht="25.5" x14ac:dyDescent="0.2">
      <c r="A536" s="28" t="s">
        <v>141</v>
      </c>
      <c r="B536" s="24" t="s">
        <v>21</v>
      </c>
      <c r="C536" s="24" t="s">
        <v>12</v>
      </c>
      <c r="D536" s="24" t="s">
        <v>728</v>
      </c>
      <c r="E536" s="24" t="s">
        <v>65</v>
      </c>
      <c r="F536" s="25">
        <v>720</v>
      </c>
      <c r="G536" s="25">
        <v>0</v>
      </c>
      <c r="H536" s="25">
        <v>0</v>
      </c>
    </row>
    <row r="537" spans="1:9" s="84" customFormat="1" x14ac:dyDescent="0.2">
      <c r="A537" s="18" t="s">
        <v>714</v>
      </c>
      <c r="B537" s="19" t="s">
        <v>21</v>
      </c>
      <c r="C537" s="19" t="s">
        <v>12</v>
      </c>
      <c r="D537" s="19" t="s">
        <v>716</v>
      </c>
      <c r="E537" s="19"/>
      <c r="F537" s="62">
        <f>F538</f>
        <v>72</v>
      </c>
      <c r="G537" s="62">
        <f t="shared" ref="G537:H537" si="99">G538</f>
        <v>0</v>
      </c>
      <c r="H537" s="62">
        <f t="shared" si="99"/>
        <v>0</v>
      </c>
    </row>
    <row r="538" spans="1:9" s="84" customFormat="1" ht="25.5" x14ac:dyDescent="0.2">
      <c r="A538" s="28" t="s">
        <v>141</v>
      </c>
      <c r="B538" s="24" t="s">
        <v>21</v>
      </c>
      <c r="C538" s="24" t="s">
        <v>12</v>
      </c>
      <c r="D538" s="24" t="s">
        <v>716</v>
      </c>
      <c r="E538" s="24" t="s">
        <v>65</v>
      </c>
      <c r="F538" s="62">
        <f>'изменения июль вед стр-ра'!G154</f>
        <v>72</v>
      </c>
      <c r="G538" s="62">
        <f>'изменения июль вед стр-ра'!H154</f>
        <v>0</v>
      </c>
      <c r="H538" s="62">
        <f>'изменения июль вед стр-ра'!I154</f>
        <v>0</v>
      </c>
    </row>
    <row r="539" spans="1:9" s="9" customFormat="1" x14ac:dyDescent="0.2">
      <c r="A539" s="11" t="s">
        <v>2</v>
      </c>
      <c r="B539" s="8" t="s">
        <v>21</v>
      </c>
      <c r="C539" s="8" t="s">
        <v>14</v>
      </c>
      <c r="D539" s="8"/>
      <c r="E539" s="8"/>
      <c r="F539" s="4">
        <f t="shared" ref="F539:H539" si="100">F540</f>
        <v>370</v>
      </c>
      <c r="G539" s="4">
        <f t="shared" si="100"/>
        <v>370</v>
      </c>
      <c r="H539" s="4">
        <f t="shared" si="100"/>
        <v>370</v>
      </c>
    </row>
    <row r="540" spans="1:9" s="21" customFormat="1" ht="25.5" x14ac:dyDescent="0.2">
      <c r="A540" s="18" t="s">
        <v>195</v>
      </c>
      <c r="B540" s="19" t="s">
        <v>21</v>
      </c>
      <c r="C540" s="19" t="s">
        <v>14</v>
      </c>
      <c r="D540" s="19" t="s">
        <v>194</v>
      </c>
      <c r="E540" s="19"/>
      <c r="F540" s="20">
        <f>'изменения июль вед стр-ра'!G156</f>
        <v>370</v>
      </c>
      <c r="G540" s="20">
        <f>'изменения июль вед стр-ра'!H156</f>
        <v>370</v>
      </c>
      <c r="H540" s="20">
        <f>'изменения июль вед стр-ра'!I156</f>
        <v>370</v>
      </c>
    </row>
    <row r="541" spans="1:9" s="21" customFormat="1" ht="51" x14ac:dyDescent="0.2">
      <c r="A541" s="30" t="s">
        <v>66</v>
      </c>
      <c r="B541" s="24" t="s">
        <v>21</v>
      </c>
      <c r="C541" s="24" t="s">
        <v>14</v>
      </c>
      <c r="D541" s="24" t="s">
        <v>194</v>
      </c>
      <c r="E541" s="19" t="s">
        <v>67</v>
      </c>
      <c r="F541" s="20">
        <f>'изменения июль вед стр-ра'!G157</f>
        <v>42</v>
      </c>
      <c r="G541" s="20">
        <f>'изменения июль вед стр-ра'!H157</f>
        <v>0</v>
      </c>
      <c r="H541" s="20">
        <f>'изменения июль вед стр-ра'!I157</f>
        <v>0</v>
      </c>
    </row>
    <row r="542" spans="1:9" s="26" customFormat="1" ht="25.5" x14ac:dyDescent="0.2">
      <c r="A542" s="28" t="s">
        <v>76</v>
      </c>
      <c r="B542" s="24" t="s">
        <v>21</v>
      </c>
      <c r="C542" s="24" t="s">
        <v>14</v>
      </c>
      <c r="D542" s="24" t="s">
        <v>194</v>
      </c>
      <c r="E542" s="27" t="s">
        <v>68</v>
      </c>
      <c r="F542" s="25">
        <f>'изменения июль вед стр-ра'!G158</f>
        <v>328</v>
      </c>
      <c r="G542" s="25">
        <f>'изменения июль вед стр-ра'!H158</f>
        <v>370</v>
      </c>
      <c r="H542" s="25">
        <f>'изменения июль вед стр-ра'!I158</f>
        <v>370</v>
      </c>
    </row>
    <row r="543" spans="1:9" s="9" customFormat="1" x14ac:dyDescent="0.2">
      <c r="A543" s="11" t="s">
        <v>4</v>
      </c>
      <c r="B543" s="8" t="s">
        <v>21</v>
      </c>
      <c r="C543" s="8" t="s">
        <v>31</v>
      </c>
      <c r="D543" s="8"/>
      <c r="E543" s="8"/>
      <c r="F543" s="4">
        <f>F544+F547</f>
        <v>5171.7</v>
      </c>
      <c r="G543" s="4">
        <f>G544+G547</f>
        <v>4250.5</v>
      </c>
      <c r="H543" s="4">
        <f>H544+H547</f>
        <v>4250.5</v>
      </c>
    </row>
    <row r="544" spans="1:9" s="21" customFormat="1" ht="25.5" x14ac:dyDescent="0.2">
      <c r="A544" s="18" t="s">
        <v>191</v>
      </c>
      <c r="B544" s="19" t="s">
        <v>21</v>
      </c>
      <c r="C544" s="19" t="s">
        <v>31</v>
      </c>
      <c r="D544" s="19" t="s">
        <v>196</v>
      </c>
      <c r="E544" s="19"/>
      <c r="F544" s="20">
        <f>F545+F546</f>
        <v>1346.8</v>
      </c>
      <c r="G544" s="20">
        <f>G545+G546</f>
        <v>1021.5</v>
      </c>
      <c r="H544" s="20">
        <f>H545+H546</f>
        <v>1021.5</v>
      </c>
    </row>
    <row r="545" spans="1:9" s="26" customFormat="1" ht="50.25" customHeight="1" x14ac:dyDescent="0.2">
      <c r="A545" s="30" t="s">
        <v>66</v>
      </c>
      <c r="B545" s="24" t="s">
        <v>21</v>
      </c>
      <c r="C545" s="24" t="s">
        <v>31</v>
      </c>
      <c r="D545" s="24" t="s">
        <v>196</v>
      </c>
      <c r="E545" s="27" t="s">
        <v>67</v>
      </c>
      <c r="F545" s="25">
        <f>'изменения июль вед стр-ра'!G161</f>
        <v>1304.8</v>
      </c>
      <c r="G545" s="25">
        <f>'изменения июль вед стр-ра'!H161</f>
        <v>969.5</v>
      </c>
      <c r="H545" s="25">
        <f>'изменения июль вед стр-ра'!I161</f>
        <v>969.5</v>
      </c>
    </row>
    <row r="546" spans="1:9" s="26" customFormat="1" ht="25.5" x14ac:dyDescent="0.2">
      <c r="A546" s="28" t="s">
        <v>76</v>
      </c>
      <c r="B546" s="24" t="s">
        <v>21</v>
      </c>
      <c r="C546" s="24" t="s">
        <v>31</v>
      </c>
      <c r="D546" s="24" t="s">
        <v>196</v>
      </c>
      <c r="E546" s="27" t="s">
        <v>68</v>
      </c>
      <c r="F546" s="25">
        <f>'изменения июль вед стр-ра'!G162</f>
        <v>42</v>
      </c>
      <c r="G546" s="25">
        <f>'изменения июль вед стр-ра'!H162</f>
        <v>52</v>
      </c>
      <c r="H546" s="25">
        <f>'изменения июль вед стр-ра'!I162</f>
        <v>52</v>
      </c>
    </row>
    <row r="547" spans="1:9" s="21" customFormat="1" ht="25.5" x14ac:dyDescent="0.2">
      <c r="A547" s="18" t="s">
        <v>191</v>
      </c>
      <c r="B547" s="19" t="s">
        <v>21</v>
      </c>
      <c r="C547" s="19" t="s">
        <v>31</v>
      </c>
      <c r="D547" s="19" t="s">
        <v>415</v>
      </c>
      <c r="E547" s="19"/>
      <c r="F547" s="20">
        <f>F548</f>
        <v>3824.9</v>
      </c>
      <c r="G547" s="20">
        <f>G548</f>
        <v>3229</v>
      </c>
      <c r="H547" s="20">
        <f>H548</f>
        <v>3229</v>
      </c>
    </row>
    <row r="548" spans="1:9" s="26" customFormat="1" ht="27.75" customHeight="1" x14ac:dyDescent="0.2">
      <c r="A548" s="87" t="s">
        <v>141</v>
      </c>
      <c r="B548" s="24" t="s">
        <v>21</v>
      </c>
      <c r="C548" s="24" t="s">
        <v>31</v>
      </c>
      <c r="D548" s="24" t="s">
        <v>415</v>
      </c>
      <c r="E548" s="27" t="s">
        <v>65</v>
      </c>
      <c r="F548" s="25">
        <f>'изменения июль вед стр-ра'!G164</f>
        <v>3824.9</v>
      </c>
      <c r="G548" s="25">
        <f>'изменения июль вед стр-ра'!H164</f>
        <v>3229</v>
      </c>
      <c r="H548" s="25">
        <f>'изменения июль вед стр-ра'!I164</f>
        <v>3229</v>
      </c>
    </row>
    <row r="549" spans="1:9" s="21" customFormat="1" ht="31.5" x14ac:dyDescent="0.25">
      <c r="A549" s="144" t="s">
        <v>20</v>
      </c>
      <c r="B549" s="143" t="s">
        <v>61</v>
      </c>
      <c r="C549" s="143" t="s">
        <v>463</v>
      </c>
      <c r="D549" s="143"/>
      <c r="E549" s="143"/>
      <c r="F549" s="206">
        <f>F550</f>
        <v>3503.9</v>
      </c>
      <c r="G549" s="206">
        <f t="shared" ref="G549:H551" si="101">G550</f>
        <v>3503.9</v>
      </c>
      <c r="H549" s="206">
        <f t="shared" si="101"/>
        <v>3503.9</v>
      </c>
    </row>
    <row r="550" spans="1:9" s="21" customFormat="1" ht="25.5" x14ac:dyDescent="0.2">
      <c r="A550" s="11" t="s">
        <v>3</v>
      </c>
      <c r="B550" s="8" t="s">
        <v>61</v>
      </c>
      <c r="C550" s="8" t="s">
        <v>12</v>
      </c>
      <c r="D550" s="8"/>
      <c r="E550" s="8"/>
      <c r="F550" s="4">
        <f>F551</f>
        <v>3503.9</v>
      </c>
      <c r="G550" s="4">
        <f t="shared" si="101"/>
        <v>3503.9</v>
      </c>
      <c r="H550" s="4">
        <f t="shared" si="101"/>
        <v>3503.9</v>
      </c>
    </row>
    <row r="551" spans="1:9" s="21" customFormat="1" ht="25.5" x14ac:dyDescent="0.2">
      <c r="A551" s="18" t="s">
        <v>187</v>
      </c>
      <c r="B551" s="19" t="s">
        <v>61</v>
      </c>
      <c r="C551" s="19" t="s">
        <v>12</v>
      </c>
      <c r="D551" s="19" t="s">
        <v>186</v>
      </c>
      <c r="E551" s="19"/>
      <c r="F551" s="20">
        <f>F552</f>
        <v>3503.9</v>
      </c>
      <c r="G551" s="20">
        <f t="shared" si="101"/>
        <v>3503.9</v>
      </c>
      <c r="H551" s="20">
        <f t="shared" si="101"/>
        <v>3503.9</v>
      </c>
    </row>
    <row r="552" spans="1:9" s="21" customFormat="1" x14ac:dyDescent="0.2">
      <c r="A552" s="28" t="s">
        <v>74</v>
      </c>
      <c r="B552" s="24" t="s">
        <v>61</v>
      </c>
      <c r="C552" s="24" t="s">
        <v>12</v>
      </c>
      <c r="D552" s="24" t="s">
        <v>186</v>
      </c>
      <c r="E552" s="24" t="s">
        <v>75</v>
      </c>
      <c r="F552" s="25">
        <f>'изменения июль вед стр-ра'!G131</f>
        <v>3503.9</v>
      </c>
      <c r="G552" s="25">
        <f>'изменения июль вед стр-ра'!H131</f>
        <v>3503.9</v>
      </c>
      <c r="H552" s="25">
        <f>'изменения июль вед стр-ра'!I131</f>
        <v>3503.9</v>
      </c>
    </row>
    <row r="553" spans="1:9" s="21" customFormat="1" x14ac:dyDescent="0.2">
      <c r="A553" s="18" t="s">
        <v>363</v>
      </c>
      <c r="B553" s="19" t="s">
        <v>364</v>
      </c>
      <c r="C553" s="19"/>
      <c r="D553" s="19"/>
      <c r="E553" s="19"/>
      <c r="F553" s="20"/>
      <c r="G553" s="20">
        <f t="shared" ref="G553:H555" si="102">G554</f>
        <v>22381</v>
      </c>
      <c r="H553" s="20">
        <f t="shared" si="102"/>
        <v>40567.9</v>
      </c>
      <c r="I553" s="117"/>
    </row>
    <row r="554" spans="1:9" s="21" customFormat="1" x14ac:dyDescent="0.2">
      <c r="A554" s="18" t="s">
        <v>363</v>
      </c>
      <c r="B554" s="19" t="s">
        <v>364</v>
      </c>
      <c r="C554" s="16" t="s">
        <v>364</v>
      </c>
      <c r="D554" s="19"/>
      <c r="E554" s="19"/>
      <c r="F554" s="20"/>
      <c r="G554" s="20">
        <f t="shared" si="102"/>
        <v>22381</v>
      </c>
      <c r="H554" s="20">
        <f t="shared" si="102"/>
        <v>40567.9</v>
      </c>
      <c r="I554" s="117"/>
    </row>
    <row r="555" spans="1:9" s="21" customFormat="1" x14ac:dyDescent="0.2">
      <c r="A555" s="18" t="s">
        <v>363</v>
      </c>
      <c r="B555" s="19" t="s">
        <v>364</v>
      </c>
      <c r="C555" s="16" t="s">
        <v>364</v>
      </c>
      <c r="D555" s="19" t="s">
        <v>365</v>
      </c>
      <c r="E555" s="19"/>
      <c r="F555" s="20"/>
      <c r="G555" s="20">
        <f t="shared" si="102"/>
        <v>22381</v>
      </c>
      <c r="H555" s="20">
        <f t="shared" si="102"/>
        <v>40567.9</v>
      </c>
      <c r="I555" s="117"/>
    </row>
    <row r="556" spans="1:9" s="26" customFormat="1" x14ac:dyDescent="0.2">
      <c r="A556" s="28" t="s">
        <v>363</v>
      </c>
      <c r="B556" s="19" t="s">
        <v>364</v>
      </c>
      <c r="C556" s="16" t="s">
        <v>364</v>
      </c>
      <c r="D556" s="19" t="s">
        <v>365</v>
      </c>
      <c r="E556" s="24" t="s">
        <v>73</v>
      </c>
      <c r="F556" s="25"/>
      <c r="G556" s="25">
        <f>'изменения июль вед стр-ра'!H135</f>
        <v>22381</v>
      </c>
      <c r="H556" s="25">
        <f>'изменения июль вед стр-ра'!I135</f>
        <v>40567.9</v>
      </c>
      <c r="I556" s="118"/>
    </row>
    <row r="557" spans="1:9" s="21" customFormat="1" ht="15.75" x14ac:dyDescent="0.25">
      <c r="A557" s="144" t="s">
        <v>58</v>
      </c>
      <c r="B557" s="143"/>
      <c r="C557" s="143"/>
      <c r="D557" s="143"/>
      <c r="E557" s="143"/>
      <c r="F557" s="206">
        <f>F549+F521+F347+F319+F207+F143+F117+F99+F14</f>
        <v>3554306.0833700001</v>
      </c>
      <c r="G557" s="206">
        <f>G549+G521+G347+G319+G207+G143+G117+G99+G14+G553</f>
        <v>2743590.4217400001</v>
      </c>
      <c r="H557" s="206">
        <f>H549+H521+H347+H319+H207+H143+H117+H99+H14+H553</f>
        <v>2712916.764</v>
      </c>
    </row>
    <row r="558" spans="1:9" s="21" customFormat="1" ht="15" customHeight="1" x14ac:dyDescent="0.2">
      <c r="A558" s="211" t="s">
        <v>667</v>
      </c>
      <c r="B558" s="212"/>
      <c r="C558" s="212"/>
      <c r="D558" s="212"/>
      <c r="E558" s="212"/>
      <c r="F558" s="268">
        <f>-32800.5-21400-39287.13582</f>
        <v>-93487.635819999996</v>
      </c>
      <c r="G558" s="213">
        <v>-33122.199999999997</v>
      </c>
      <c r="H558" s="213">
        <v>-31169.200000000001</v>
      </c>
      <c r="I558" s="21">
        <v>34538</v>
      </c>
    </row>
    <row r="559" spans="1:9" s="21" customFormat="1" ht="0.75" customHeight="1" x14ac:dyDescent="0.2">
      <c r="A559" s="214"/>
      <c r="B559" s="215"/>
      <c r="C559" s="215"/>
      <c r="D559" s="215"/>
      <c r="E559" s="215"/>
      <c r="F559" s="216">
        <f>F557-[1]первоначальный!$G$603</f>
        <v>1047257.6833700002</v>
      </c>
      <c r="G559" s="216">
        <f>G557-[1]первоначальный!$H$603</f>
        <v>501814.22173999995</v>
      </c>
      <c r="H559" s="216">
        <f>H557-[1]первоначальный!$I$603</f>
        <v>501595.16399999987</v>
      </c>
    </row>
    <row r="560" spans="1:9" ht="16.5" customHeight="1" x14ac:dyDescent="0.2">
      <c r="A560" s="214"/>
      <c r="B560" s="215"/>
      <c r="C560" s="215"/>
      <c r="D560" s="215"/>
      <c r="E560" s="215"/>
      <c r="F560" s="134"/>
      <c r="G560" s="134"/>
      <c r="H560" s="134"/>
    </row>
    <row r="561" spans="1:8" x14ac:dyDescent="0.2">
      <c r="A561" s="214"/>
      <c r="B561" s="215"/>
      <c r="C561" s="215"/>
      <c r="D561" s="215"/>
      <c r="E561" s="215"/>
      <c r="F561" s="223"/>
      <c r="G561" s="223"/>
      <c r="H561" s="223"/>
    </row>
    <row r="562" spans="1:8" ht="20.25" customHeight="1" x14ac:dyDescent="0.2">
      <c r="A562" s="135" t="s">
        <v>460</v>
      </c>
      <c r="F562" s="134"/>
      <c r="G562" s="134"/>
      <c r="H562" s="134" t="s">
        <v>80</v>
      </c>
    </row>
    <row r="564" spans="1:8" x14ac:dyDescent="0.2">
      <c r="F564" s="134">
        <f>F557-'изменения июль вед стр-ра'!G622</f>
        <v>0</v>
      </c>
      <c r="G564" s="134">
        <f>G557-'изменения июль вед стр-ра'!H622</f>
        <v>0</v>
      </c>
      <c r="H564" s="134">
        <f>H557-'изменения июль вед стр-ра'!I622</f>
        <v>0</v>
      </c>
    </row>
    <row r="565" spans="1:8" x14ac:dyDescent="0.2">
      <c r="F565" s="134"/>
      <c r="G565" s="134"/>
      <c r="H565" s="134"/>
    </row>
    <row r="566" spans="1:8" x14ac:dyDescent="0.2">
      <c r="F566" s="134"/>
      <c r="G566" s="134"/>
      <c r="H566" s="134"/>
    </row>
    <row r="568" spans="1:8" x14ac:dyDescent="0.2">
      <c r="F568" s="134"/>
      <c r="G568" s="134"/>
      <c r="H568" s="134"/>
    </row>
    <row r="573" spans="1:8" x14ac:dyDescent="0.2">
      <c r="B573" s="237"/>
      <c r="C573" s="237"/>
      <c r="D573" s="237"/>
      <c r="E573" s="237"/>
      <c r="F573" s="237"/>
      <c r="G573" s="237"/>
      <c r="H573" s="237"/>
    </row>
    <row r="574" spans="1:8" x14ac:dyDescent="0.2">
      <c r="B574" s="237"/>
      <c r="C574" s="237"/>
      <c r="D574" s="237"/>
      <c r="E574" s="237"/>
      <c r="F574" s="237"/>
      <c r="G574" s="237"/>
      <c r="H574" s="237"/>
    </row>
    <row r="575" spans="1:8" x14ac:dyDescent="0.2">
      <c r="B575" s="237"/>
      <c r="C575" s="237"/>
      <c r="D575" s="237"/>
      <c r="E575" s="237"/>
      <c r="F575" s="237"/>
      <c r="G575" s="237"/>
      <c r="H575" s="237"/>
    </row>
    <row r="576" spans="1:8" x14ac:dyDescent="0.2">
      <c r="B576" s="237"/>
      <c r="C576" s="237"/>
      <c r="D576" s="237"/>
      <c r="E576" s="237"/>
      <c r="F576" s="237"/>
      <c r="G576" s="237"/>
      <c r="H576" s="237"/>
    </row>
    <row r="577" spans="2:8" x14ac:dyDescent="0.2">
      <c r="B577" s="237"/>
      <c r="C577" s="237"/>
      <c r="D577" s="237"/>
      <c r="E577" s="237"/>
      <c r="F577" s="237"/>
      <c r="G577" s="237"/>
      <c r="H577" s="237"/>
    </row>
    <row r="578" spans="2:8" x14ac:dyDescent="0.2">
      <c r="B578" s="237"/>
      <c r="C578" s="237"/>
      <c r="D578" s="237"/>
      <c r="E578" s="237"/>
      <c r="F578" s="237"/>
      <c r="G578" s="237"/>
      <c r="H578" s="237"/>
    </row>
    <row r="579" spans="2:8" x14ac:dyDescent="0.2">
      <c r="B579" s="237"/>
      <c r="C579" s="237"/>
      <c r="D579" s="237"/>
      <c r="E579" s="237"/>
      <c r="F579" s="237"/>
      <c r="G579" s="237"/>
      <c r="H579" s="237"/>
    </row>
    <row r="580" spans="2:8" x14ac:dyDescent="0.2">
      <c r="B580" s="237"/>
      <c r="C580" s="237"/>
      <c r="D580" s="237"/>
      <c r="E580" s="237"/>
      <c r="F580" s="237"/>
      <c r="G580" s="237"/>
      <c r="H580" s="237"/>
    </row>
    <row r="581" spans="2:8" x14ac:dyDescent="0.2">
      <c r="B581" s="237"/>
      <c r="C581" s="237"/>
      <c r="D581" s="237"/>
      <c r="E581" s="237"/>
      <c r="F581" s="237"/>
      <c r="G581" s="237"/>
      <c r="H581" s="237"/>
    </row>
    <row r="582" spans="2:8" x14ac:dyDescent="0.2">
      <c r="B582" s="237"/>
      <c r="C582" s="237"/>
      <c r="D582" s="237"/>
      <c r="E582" s="237"/>
      <c r="F582" s="237"/>
      <c r="G582" s="237"/>
      <c r="H582" s="237"/>
    </row>
    <row r="583" spans="2:8" x14ac:dyDescent="0.2">
      <c r="B583" s="237"/>
      <c r="C583" s="237"/>
      <c r="D583" s="237"/>
      <c r="E583" s="237"/>
      <c r="F583" s="237"/>
      <c r="G583" s="237"/>
      <c r="H583" s="237"/>
    </row>
    <row r="584" spans="2:8" x14ac:dyDescent="0.2">
      <c r="B584" s="237"/>
      <c r="C584" s="237"/>
      <c r="D584" s="237"/>
      <c r="E584" s="237"/>
      <c r="F584" s="237"/>
      <c r="G584" s="237"/>
      <c r="H584" s="237"/>
    </row>
    <row r="585" spans="2:8" x14ac:dyDescent="0.2">
      <c r="B585" s="237"/>
      <c r="C585" s="237"/>
      <c r="D585" s="237"/>
      <c r="E585" s="237"/>
      <c r="F585" s="237"/>
      <c r="G585" s="237"/>
      <c r="H585" s="237"/>
    </row>
    <row r="586" spans="2:8" x14ac:dyDescent="0.2">
      <c r="B586" s="237"/>
      <c r="C586" s="237"/>
      <c r="D586" s="237"/>
      <c r="E586" s="237"/>
      <c r="F586" s="237"/>
      <c r="G586" s="237"/>
      <c r="H586" s="237"/>
    </row>
    <row r="587" spans="2:8" x14ac:dyDescent="0.2">
      <c r="B587" s="237"/>
      <c r="C587" s="237"/>
      <c r="D587" s="237"/>
      <c r="E587" s="237"/>
      <c r="F587" s="237"/>
      <c r="G587" s="237"/>
      <c r="H587" s="237"/>
    </row>
    <row r="588" spans="2:8" x14ac:dyDescent="0.2">
      <c r="B588" s="237"/>
      <c r="C588" s="237"/>
      <c r="D588" s="237"/>
      <c r="E588" s="237"/>
      <c r="F588" s="237"/>
      <c r="G588" s="237"/>
      <c r="H588" s="237"/>
    </row>
    <row r="589" spans="2:8" x14ac:dyDescent="0.2">
      <c r="B589" s="237"/>
      <c r="C589" s="237"/>
      <c r="D589" s="237"/>
      <c r="E589" s="237"/>
      <c r="F589" s="237"/>
      <c r="G589" s="237"/>
      <c r="H589" s="237"/>
    </row>
    <row r="590" spans="2:8" x14ac:dyDescent="0.2">
      <c r="B590" s="237"/>
      <c r="C590" s="237"/>
      <c r="D590" s="237"/>
      <c r="E590" s="237"/>
      <c r="F590" s="237"/>
      <c r="G590" s="237"/>
      <c r="H590" s="237"/>
    </row>
    <row r="591" spans="2:8" x14ac:dyDescent="0.2">
      <c r="B591" s="237"/>
      <c r="C591" s="237"/>
      <c r="D591" s="237"/>
      <c r="E591" s="237"/>
      <c r="F591" s="237"/>
      <c r="G591" s="237"/>
      <c r="H591" s="237"/>
    </row>
    <row r="592" spans="2:8" x14ac:dyDescent="0.2">
      <c r="B592" s="237"/>
      <c r="C592" s="237"/>
      <c r="D592" s="237"/>
      <c r="E592" s="237"/>
      <c r="F592" s="237"/>
      <c r="G592" s="237"/>
      <c r="H592" s="237"/>
    </row>
    <row r="593" spans="2:8" x14ac:dyDescent="0.2">
      <c r="B593" s="237"/>
      <c r="C593" s="237"/>
      <c r="D593" s="237"/>
      <c r="E593" s="237"/>
      <c r="F593" s="237"/>
      <c r="G593" s="237"/>
      <c r="H593" s="237"/>
    </row>
    <row r="594" spans="2:8" x14ac:dyDescent="0.2">
      <c r="B594" s="237"/>
      <c r="C594" s="237"/>
      <c r="D594" s="237"/>
      <c r="E594" s="237"/>
      <c r="F594" s="237"/>
      <c r="G594" s="237"/>
      <c r="H594" s="237"/>
    </row>
    <row r="595" spans="2:8" x14ac:dyDescent="0.2">
      <c r="B595" s="237"/>
      <c r="C595" s="237"/>
      <c r="D595" s="237"/>
      <c r="E595" s="237"/>
      <c r="F595" s="237"/>
      <c r="G595" s="237"/>
      <c r="H595" s="237"/>
    </row>
    <row r="596" spans="2:8" x14ac:dyDescent="0.2">
      <c r="B596" s="237"/>
      <c r="C596" s="237"/>
      <c r="D596" s="237"/>
      <c r="E596" s="237"/>
      <c r="F596" s="237"/>
      <c r="G596" s="237"/>
      <c r="H596" s="237"/>
    </row>
    <row r="597" spans="2:8" x14ac:dyDescent="0.2">
      <c r="B597" s="237"/>
      <c r="C597" s="237"/>
      <c r="D597" s="237"/>
      <c r="E597" s="237"/>
      <c r="F597" s="237"/>
      <c r="G597" s="237"/>
      <c r="H597" s="237"/>
    </row>
    <row r="598" spans="2:8" x14ac:dyDescent="0.2">
      <c r="B598" s="237"/>
      <c r="C598" s="237"/>
      <c r="D598" s="237"/>
      <c r="E598" s="237"/>
      <c r="F598" s="237"/>
      <c r="G598" s="237"/>
      <c r="H598" s="237"/>
    </row>
    <row r="599" spans="2:8" x14ac:dyDescent="0.2">
      <c r="B599" s="237"/>
      <c r="C599" s="237"/>
      <c r="D599" s="237"/>
      <c r="E599" s="237"/>
      <c r="F599" s="237"/>
      <c r="G599" s="237"/>
      <c r="H599" s="237"/>
    </row>
    <row r="600" spans="2:8" x14ac:dyDescent="0.2">
      <c r="B600" s="237"/>
      <c r="C600" s="237"/>
      <c r="D600" s="237"/>
      <c r="E600" s="237"/>
      <c r="F600" s="237"/>
      <c r="G600" s="237"/>
      <c r="H600" s="237"/>
    </row>
    <row r="601" spans="2:8" x14ac:dyDescent="0.2">
      <c r="B601" s="237"/>
      <c r="C601" s="237"/>
      <c r="D601" s="237"/>
      <c r="E601" s="237"/>
      <c r="F601" s="237"/>
      <c r="G601" s="237"/>
      <c r="H601" s="237"/>
    </row>
    <row r="602" spans="2:8" x14ac:dyDescent="0.2">
      <c r="B602" s="237"/>
      <c r="C602" s="237"/>
      <c r="D602" s="237"/>
      <c r="E602" s="237"/>
      <c r="F602" s="237"/>
      <c r="G602" s="237"/>
      <c r="H602" s="237"/>
    </row>
    <row r="603" spans="2:8" x14ac:dyDescent="0.2">
      <c r="B603" s="237"/>
      <c r="C603" s="237"/>
      <c r="D603" s="237"/>
      <c r="E603" s="237"/>
      <c r="F603" s="237"/>
      <c r="G603" s="237"/>
      <c r="H603" s="237"/>
    </row>
    <row r="604" spans="2:8" x14ac:dyDescent="0.2">
      <c r="B604" s="237"/>
      <c r="C604" s="237"/>
      <c r="D604" s="237"/>
      <c r="E604" s="237"/>
      <c r="F604" s="237"/>
      <c r="G604" s="237"/>
      <c r="H604" s="237"/>
    </row>
    <row r="605" spans="2:8" x14ac:dyDescent="0.2">
      <c r="B605" s="237"/>
      <c r="C605" s="237"/>
      <c r="D605" s="237"/>
      <c r="E605" s="237"/>
      <c r="F605" s="237"/>
      <c r="G605" s="237"/>
      <c r="H605" s="237"/>
    </row>
    <row r="606" spans="2:8" x14ac:dyDescent="0.2">
      <c r="B606" s="237"/>
      <c r="C606" s="237"/>
      <c r="D606" s="237"/>
      <c r="E606" s="237"/>
      <c r="F606" s="237"/>
      <c r="G606" s="237"/>
      <c r="H606" s="237"/>
    </row>
    <row r="607" spans="2:8" x14ac:dyDescent="0.2">
      <c r="B607" s="237"/>
      <c r="C607" s="237"/>
      <c r="D607" s="237"/>
      <c r="E607" s="237"/>
      <c r="F607" s="237"/>
      <c r="G607" s="237"/>
      <c r="H607" s="237"/>
    </row>
    <row r="608" spans="2:8" x14ac:dyDescent="0.2">
      <c r="B608" s="237"/>
      <c r="C608" s="237"/>
      <c r="D608" s="237"/>
      <c r="E608" s="237"/>
      <c r="F608" s="237"/>
      <c r="G608" s="237"/>
      <c r="H608" s="237"/>
    </row>
    <row r="609" spans="2:8" x14ac:dyDescent="0.2">
      <c r="B609" s="237"/>
      <c r="C609" s="237"/>
      <c r="D609" s="237"/>
      <c r="E609" s="237"/>
      <c r="F609" s="237"/>
      <c r="G609" s="237"/>
      <c r="H609" s="237"/>
    </row>
    <row r="610" spans="2:8" x14ac:dyDescent="0.2">
      <c r="B610" s="237"/>
      <c r="C610" s="237"/>
      <c r="D610" s="237"/>
      <c r="E610" s="237"/>
      <c r="F610" s="237"/>
      <c r="G610" s="237"/>
      <c r="H610" s="237"/>
    </row>
    <row r="611" spans="2:8" x14ac:dyDescent="0.2">
      <c r="B611" s="237"/>
      <c r="C611" s="237"/>
      <c r="D611" s="237"/>
      <c r="E611" s="237"/>
      <c r="F611" s="237"/>
      <c r="G611" s="237"/>
      <c r="H611" s="237"/>
    </row>
    <row r="612" spans="2:8" x14ac:dyDescent="0.2">
      <c r="B612" s="237"/>
      <c r="C612" s="237"/>
      <c r="D612" s="237"/>
      <c r="E612" s="237"/>
      <c r="F612" s="237"/>
      <c r="G612" s="237"/>
      <c r="H612" s="237"/>
    </row>
    <row r="613" spans="2:8" x14ac:dyDescent="0.2">
      <c r="B613" s="237"/>
      <c r="C613" s="237"/>
      <c r="D613" s="237"/>
      <c r="E613" s="237"/>
      <c r="F613" s="237"/>
      <c r="G613" s="237"/>
      <c r="H613" s="237"/>
    </row>
    <row r="614" spans="2:8" x14ac:dyDescent="0.2">
      <c r="B614" s="237"/>
      <c r="C614" s="237"/>
      <c r="D614" s="237"/>
      <c r="E614" s="237"/>
      <c r="F614" s="237"/>
      <c r="G614" s="237"/>
      <c r="H614" s="237"/>
    </row>
    <row r="615" spans="2:8" x14ac:dyDescent="0.2">
      <c r="B615" s="237"/>
      <c r="C615" s="237"/>
      <c r="D615" s="237"/>
      <c r="E615" s="237"/>
      <c r="F615" s="237"/>
      <c r="G615" s="237"/>
      <c r="H615" s="237"/>
    </row>
    <row r="616" spans="2:8" x14ac:dyDescent="0.2">
      <c r="B616" s="237"/>
      <c r="C616" s="237"/>
      <c r="D616" s="237"/>
      <c r="E616" s="237"/>
      <c r="F616" s="237"/>
      <c r="G616" s="237"/>
      <c r="H616" s="237"/>
    </row>
    <row r="617" spans="2:8" x14ac:dyDescent="0.2">
      <c r="B617" s="237"/>
      <c r="C617" s="237"/>
      <c r="D617" s="237"/>
      <c r="E617" s="237"/>
      <c r="F617" s="237"/>
      <c r="G617" s="237"/>
      <c r="H617" s="237"/>
    </row>
    <row r="618" spans="2:8" x14ac:dyDescent="0.2">
      <c r="B618" s="237"/>
      <c r="C618" s="237"/>
      <c r="D618" s="237"/>
      <c r="E618" s="237"/>
      <c r="F618" s="237"/>
      <c r="G618" s="237"/>
      <c r="H618" s="237"/>
    </row>
    <row r="619" spans="2:8" x14ac:dyDescent="0.2">
      <c r="B619" s="237"/>
      <c r="C619" s="237"/>
      <c r="D619" s="237"/>
      <c r="E619" s="237"/>
      <c r="F619" s="237"/>
      <c r="G619" s="237"/>
      <c r="H619" s="237"/>
    </row>
    <row r="620" spans="2:8" x14ac:dyDescent="0.2">
      <c r="B620" s="237"/>
      <c r="C620" s="237"/>
      <c r="D620" s="237"/>
      <c r="E620" s="237"/>
      <c r="F620" s="237"/>
      <c r="G620" s="237"/>
      <c r="H620" s="237"/>
    </row>
    <row r="621" spans="2:8" x14ac:dyDescent="0.2">
      <c r="B621" s="237"/>
      <c r="C621" s="237"/>
      <c r="D621" s="237"/>
      <c r="E621" s="237"/>
      <c r="F621" s="237"/>
      <c r="G621" s="237"/>
      <c r="H621" s="237"/>
    </row>
    <row r="622" spans="2:8" x14ac:dyDescent="0.2">
      <c r="B622" s="237"/>
      <c r="C622" s="237"/>
      <c r="D622" s="237"/>
      <c r="E622" s="237"/>
      <c r="F622" s="237"/>
      <c r="G622" s="237"/>
      <c r="H622" s="237"/>
    </row>
    <row r="623" spans="2:8" x14ac:dyDescent="0.2">
      <c r="B623" s="237"/>
      <c r="C623" s="237"/>
      <c r="D623" s="237"/>
      <c r="E623" s="237"/>
      <c r="F623" s="237"/>
      <c r="G623" s="237"/>
      <c r="H623" s="237"/>
    </row>
    <row r="624" spans="2:8" x14ac:dyDescent="0.2">
      <c r="B624" s="237"/>
      <c r="C624" s="237"/>
      <c r="D624" s="237"/>
      <c r="E624" s="237"/>
      <c r="F624" s="237"/>
      <c r="G624" s="237"/>
      <c r="H624" s="237"/>
    </row>
    <row r="625" spans="2:8" x14ac:dyDescent="0.2">
      <c r="B625" s="237"/>
      <c r="C625" s="237"/>
      <c r="D625" s="237"/>
      <c r="E625" s="237"/>
      <c r="F625" s="237"/>
      <c r="G625" s="237"/>
      <c r="H625" s="237"/>
    </row>
    <row r="626" spans="2:8" x14ac:dyDescent="0.2">
      <c r="B626" s="237"/>
      <c r="C626" s="237"/>
      <c r="D626" s="237"/>
      <c r="E626" s="237"/>
      <c r="F626" s="237"/>
      <c r="G626" s="237"/>
      <c r="H626" s="237"/>
    </row>
    <row r="627" spans="2:8" x14ac:dyDescent="0.2">
      <c r="B627" s="237"/>
      <c r="C627" s="237"/>
      <c r="D627" s="237"/>
      <c r="E627" s="237"/>
      <c r="F627" s="237"/>
      <c r="G627" s="237"/>
      <c r="H627" s="237"/>
    </row>
    <row r="628" spans="2:8" x14ac:dyDescent="0.2">
      <c r="B628" s="237"/>
      <c r="C628" s="237"/>
      <c r="D628" s="237"/>
      <c r="E628" s="237"/>
      <c r="F628" s="237"/>
      <c r="G628" s="237"/>
      <c r="H628" s="237"/>
    </row>
    <row r="629" spans="2:8" x14ac:dyDescent="0.2">
      <c r="B629" s="237"/>
      <c r="C629" s="237"/>
      <c r="D629" s="237"/>
      <c r="E629" s="237"/>
      <c r="F629" s="237"/>
      <c r="G629" s="237"/>
      <c r="H629" s="237"/>
    </row>
    <row r="630" spans="2:8" x14ac:dyDescent="0.2">
      <c r="B630" s="237"/>
      <c r="C630" s="237"/>
      <c r="D630" s="237"/>
      <c r="E630" s="237"/>
      <c r="F630" s="237"/>
      <c r="G630" s="237"/>
      <c r="H630" s="237"/>
    </row>
    <row r="631" spans="2:8" x14ac:dyDescent="0.2">
      <c r="B631" s="237"/>
      <c r="C631" s="237"/>
      <c r="D631" s="237"/>
      <c r="E631" s="237"/>
      <c r="F631" s="237"/>
      <c r="G631" s="237"/>
      <c r="H631" s="237"/>
    </row>
    <row r="632" spans="2:8" x14ac:dyDescent="0.2">
      <c r="B632" s="237"/>
      <c r="C632" s="237"/>
      <c r="D632" s="237"/>
      <c r="E632" s="237"/>
      <c r="F632" s="237"/>
      <c r="G632" s="237"/>
      <c r="H632" s="237"/>
    </row>
    <row r="633" spans="2:8" x14ac:dyDescent="0.2">
      <c r="B633" s="237"/>
      <c r="C633" s="237"/>
      <c r="D633" s="237"/>
      <c r="E633" s="237"/>
      <c r="F633" s="237"/>
      <c r="G633" s="237"/>
      <c r="H633" s="237"/>
    </row>
    <row r="634" spans="2:8" x14ac:dyDescent="0.2">
      <c r="B634" s="237"/>
      <c r="C634" s="237"/>
      <c r="D634" s="237"/>
      <c r="E634" s="237"/>
      <c r="F634" s="237"/>
      <c r="G634" s="237"/>
      <c r="H634" s="237"/>
    </row>
    <row r="635" spans="2:8" x14ac:dyDescent="0.2">
      <c r="B635" s="237"/>
      <c r="C635" s="237"/>
      <c r="D635" s="237"/>
      <c r="E635" s="237"/>
      <c r="F635" s="237"/>
      <c r="G635" s="237"/>
      <c r="H635" s="237"/>
    </row>
    <row r="636" spans="2:8" x14ac:dyDescent="0.2">
      <c r="B636" s="237"/>
      <c r="C636" s="237"/>
      <c r="D636" s="237"/>
      <c r="E636" s="237"/>
      <c r="F636" s="237"/>
      <c r="G636" s="237"/>
      <c r="H636" s="237"/>
    </row>
    <row r="637" spans="2:8" x14ac:dyDescent="0.2">
      <c r="B637" s="237"/>
      <c r="C637" s="237"/>
      <c r="D637" s="237"/>
      <c r="E637" s="237"/>
      <c r="F637" s="237"/>
      <c r="G637" s="237"/>
      <c r="H637" s="237"/>
    </row>
    <row r="638" spans="2:8" x14ac:dyDescent="0.2">
      <c r="B638" s="237"/>
      <c r="C638" s="237"/>
      <c r="D638" s="237"/>
      <c r="E638" s="237"/>
      <c r="F638" s="237"/>
      <c r="G638" s="237"/>
      <c r="H638" s="237"/>
    </row>
    <row r="639" spans="2:8" x14ac:dyDescent="0.2">
      <c r="B639" s="237"/>
      <c r="C639" s="237"/>
      <c r="D639" s="237"/>
      <c r="E639" s="237"/>
      <c r="F639" s="237"/>
      <c r="G639" s="237"/>
      <c r="H639" s="237"/>
    </row>
    <row r="640" spans="2:8" x14ac:dyDescent="0.2">
      <c r="B640" s="237"/>
      <c r="C640" s="237"/>
      <c r="D640" s="237"/>
      <c r="E640" s="237"/>
      <c r="F640" s="237"/>
      <c r="G640" s="237"/>
      <c r="H640" s="237"/>
    </row>
    <row r="641" spans="2:8" x14ac:dyDescent="0.2">
      <c r="B641" s="237"/>
      <c r="C641" s="237"/>
      <c r="D641" s="237"/>
      <c r="E641" s="237"/>
      <c r="F641" s="237"/>
      <c r="G641" s="237"/>
      <c r="H641" s="237"/>
    </row>
    <row r="642" spans="2:8" x14ac:dyDescent="0.2">
      <c r="B642" s="237"/>
      <c r="C642" s="237"/>
      <c r="D642" s="237"/>
      <c r="E642" s="237"/>
      <c r="F642" s="237"/>
      <c r="G642" s="237"/>
      <c r="H642" s="237"/>
    </row>
    <row r="643" spans="2:8" x14ac:dyDescent="0.2">
      <c r="B643" s="237"/>
      <c r="C643" s="237"/>
      <c r="D643" s="237"/>
      <c r="E643" s="237"/>
      <c r="F643" s="237"/>
      <c r="G643" s="237"/>
      <c r="H643" s="237"/>
    </row>
    <row r="644" spans="2:8" x14ac:dyDescent="0.2">
      <c r="B644" s="237"/>
      <c r="C644" s="237"/>
      <c r="D644" s="237"/>
      <c r="E644" s="237"/>
      <c r="F644" s="237"/>
      <c r="G644" s="237"/>
      <c r="H644" s="237"/>
    </row>
    <row r="645" spans="2:8" x14ac:dyDescent="0.2">
      <c r="B645" s="237"/>
      <c r="C645" s="237"/>
      <c r="D645" s="237"/>
      <c r="E645" s="237"/>
      <c r="F645" s="237"/>
      <c r="G645" s="237"/>
      <c r="H645" s="237"/>
    </row>
    <row r="646" spans="2:8" x14ac:dyDescent="0.2">
      <c r="B646" s="237"/>
      <c r="C646" s="237"/>
      <c r="D646" s="237"/>
      <c r="E646" s="237"/>
      <c r="F646" s="237"/>
      <c r="G646" s="237"/>
      <c r="H646" s="237"/>
    </row>
    <row r="647" spans="2:8" x14ac:dyDescent="0.2">
      <c r="B647" s="237"/>
      <c r="C647" s="237"/>
      <c r="D647" s="237"/>
      <c r="E647" s="237"/>
      <c r="F647" s="237"/>
      <c r="G647" s="237"/>
      <c r="H647" s="237"/>
    </row>
    <row r="648" spans="2:8" x14ac:dyDescent="0.2">
      <c r="B648" s="237"/>
      <c r="C648" s="237"/>
      <c r="D648" s="237"/>
      <c r="E648" s="237"/>
      <c r="F648" s="237"/>
      <c r="G648" s="237"/>
      <c r="H648" s="237"/>
    </row>
    <row r="649" spans="2:8" x14ac:dyDescent="0.2">
      <c r="B649" s="237"/>
      <c r="C649" s="237"/>
      <c r="D649" s="237"/>
      <c r="E649" s="237"/>
      <c r="F649" s="237"/>
      <c r="G649" s="237"/>
      <c r="H649" s="237"/>
    </row>
    <row r="650" spans="2:8" x14ac:dyDescent="0.2">
      <c r="B650" s="237"/>
      <c r="C650" s="237"/>
      <c r="D650" s="237"/>
      <c r="E650" s="237"/>
      <c r="F650" s="237"/>
      <c r="G650" s="237"/>
      <c r="H650" s="237"/>
    </row>
    <row r="651" spans="2:8" x14ac:dyDescent="0.2">
      <c r="B651" s="237"/>
      <c r="C651" s="237"/>
      <c r="D651" s="237"/>
      <c r="E651" s="237"/>
      <c r="F651" s="237"/>
      <c r="G651" s="237"/>
      <c r="H651" s="237"/>
    </row>
    <row r="652" spans="2:8" x14ac:dyDescent="0.2">
      <c r="B652" s="237"/>
      <c r="C652" s="237"/>
      <c r="D652" s="237"/>
      <c r="E652" s="237"/>
      <c r="F652" s="237"/>
      <c r="G652" s="237"/>
      <c r="H652" s="237"/>
    </row>
    <row r="653" spans="2:8" x14ac:dyDescent="0.2">
      <c r="B653" s="237"/>
      <c r="C653" s="237"/>
      <c r="D653" s="237"/>
      <c r="E653" s="237"/>
      <c r="F653" s="237"/>
      <c r="G653" s="237"/>
      <c r="H653" s="237"/>
    </row>
    <row r="654" spans="2:8" x14ac:dyDescent="0.2">
      <c r="B654" s="237"/>
      <c r="C654" s="237"/>
      <c r="D654" s="237"/>
      <c r="E654" s="237"/>
      <c r="F654" s="237"/>
      <c r="G654" s="237"/>
      <c r="H654" s="237"/>
    </row>
    <row r="655" spans="2:8" x14ac:dyDescent="0.2">
      <c r="B655" s="237"/>
      <c r="C655" s="237"/>
      <c r="D655" s="237"/>
      <c r="E655" s="237"/>
      <c r="F655" s="237"/>
      <c r="G655" s="237"/>
      <c r="H655" s="237"/>
    </row>
    <row r="656" spans="2:8" x14ac:dyDescent="0.2">
      <c r="B656" s="237"/>
      <c r="C656" s="237"/>
      <c r="D656" s="237"/>
      <c r="E656" s="237"/>
      <c r="F656" s="237"/>
      <c r="G656" s="237"/>
      <c r="H656" s="237"/>
    </row>
    <row r="657" spans="2:8" x14ac:dyDescent="0.2">
      <c r="B657" s="237"/>
      <c r="C657" s="237"/>
      <c r="D657" s="237"/>
      <c r="E657" s="237"/>
      <c r="F657" s="237"/>
      <c r="G657" s="237"/>
      <c r="H657" s="237"/>
    </row>
    <row r="658" spans="2:8" x14ac:dyDescent="0.2">
      <c r="B658" s="237"/>
      <c r="C658" s="237"/>
      <c r="D658" s="237"/>
      <c r="E658" s="237"/>
      <c r="F658" s="237"/>
      <c r="G658" s="237"/>
      <c r="H658" s="237"/>
    </row>
    <row r="659" spans="2:8" x14ac:dyDescent="0.2">
      <c r="B659" s="237"/>
      <c r="C659" s="237"/>
      <c r="D659" s="237"/>
      <c r="E659" s="237"/>
      <c r="F659" s="237"/>
      <c r="G659" s="237"/>
      <c r="H659" s="237"/>
    </row>
    <row r="660" spans="2:8" x14ac:dyDescent="0.2">
      <c r="B660" s="237"/>
      <c r="C660" s="237"/>
      <c r="D660" s="237"/>
      <c r="E660" s="237"/>
      <c r="F660" s="237"/>
      <c r="G660" s="237"/>
      <c r="H660" s="237"/>
    </row>
    <row r="661" spans="2:8" x14ac:dyDescent="0.2">
      <c r="B661" s="237"/>
      <c r="C661" s="237"/>
      <c r="D661" s="237"/>
      <c r="E661" s="237"/>
      <c r="F661" s="237"/>
      <c r="G661" s="237"/>
      <c r="H661" s="237"/>
    </row>
    <row r="662" spans="2:8" x14ac:dyDescent="0.2">
      <c r="B662" s="237"/>
      <c r="C662" s="237"/>
      <c r="D662" s="237"/>
      <c r="E662" s="237"/>
      <c r="F662" s="237"/>
      <c r="G662" s="237"/>
      <c r="H662" s="237"/>
    </row>
    <row r="663" spans="2:8" x14ac:dyDescent="0.2">
      <c r="B663" s="237"/>
      <c r="C663" s="237"/>
      <c r="D663" s="237"/>
      <c r="E663" s="237"/>
      <c r="F663" s="237"/>
      <c r="G663" s="237"/>
      <c r="H663" s="237"/>
    </row>
    <row r="664" spans="2:8" x14ac:dyDescent="0.2">
      <c r="B664" s="237"/>
      <c r="C664" s="237"/>
      <c r="D664" s="237"/>
      <c r="E664" s="237"/>
      <c r="F664" s="237"/>
      <c r="G664" s="237"/>
      <c r="H664" s="237"/>
    </row>
    <row r="665" spans="2:8" x14ac:dyDescent="0.2">
      <c r="B665" s="237"/>
      <c r="C665" s="237"/>
      <c r="D665" s="237"/>
      <c r="E665" s="237"/>
      <c r="F665" s="237"/>
      <c r="G665" s="237"/>
      <c r="H665" s="237"/>
    </row>
    <row r="666" spans="2:8" x14ac:dyDescent="0.2">
      <c r="B666" s="237"/>
      <c r="C666" s="237"/>
      <c r="D666" s="237"/>
      <c r="E666" s="237"/>
      <c r="F666" s="237"/>
      <c r="G666" s="237"/>
      <c r="H666" s="237"/>
    </row>
    <row r="667" spans="2:8" x14ac:dyDescent="0.2">
      <c r="B667" s="237"/>
      <c r="C667" s="237"/>
      <c r="D667" s="237"/>
      <c r="E667" s="237"/>
      <c r="F667" s="237"/>
      <c r="G667" s="237"/>
      <c r="H667" s="237"/>
    </row>
    <row r="668" spans="2:8" x14ac:dyDescent="0.2">
      <c r="B668" s="237"/>
      <c r="C668" s="237"/>
      <c r="D668" s="237"/>
      <c r="E668" s="237"/>
      <c r="F668" s="237"/>
      <c r="G668" s="237"/>
      <c r="H668" s="237"/>
    </row>
    <row r="669" spans="2:8" x14ac:dyDescent="0.2">
      <c r="B669" s="237"/>
      <c r="C669" s="237"/>
      <c r="D669" s="237"/>
      <c r="E669" s="237"/>
      <c r="F669" s="237"/>
      <c r="G669" s="237"/>
      <c r="H669" s="237"/>
    </row>
    <row r="670" spans="2:8" x14ac:dyDescent="0.2">
      <c r="B670" s="237"/>
      <c r="C670" s="237"/>
      <c r="D670" s="237"/>
      <c r="E670" s="237"/>
      <c r="F670" s="237"/>
      <c r="G670" s="237"/>
      <c r="H670" s="237"/>
    </row>
    <row r="671" spans="2:8" x14ac:dyDescent="0.2">
      <c r="B671" s="237"/>
      <c r="C671" s="237"/>
      <c r="D671" s="237"/>
      <c r="E671" s="237"/>
      <c r="F671" s="237"/>
      <c r="G671" s="237"/>
      <c r="H671" s="237"/>
    </row>
    <row r="672" spans="2:8" x14ac:dyDescent="0.2">
      <c r="B672" s="237"/>
      <c r="C672" s="237"/>
      <c r="D672" s="237"/>
      <c r="E672" s="237"/>
      <c r="F672" s="237"/>
      <c r="G672" s="237"/>
      <c r="H672" s="237"/>
    </row>
    <row r="673" spans="2:8" x14ac:dyDescent="0.2">
      <c r="B673" s="237"/>
      <c r="C673" s="237"/>
      <c r="D673" s="237"/>
      <c r="E673" s="237"/>
      <c r="F673" s="237"/>
      <c r="G673" s="237"/>
      <c r="H673" s="237"/>
    </row>
    <row r="674" spans="2:8" x14ac:dyDescent="0.2">
      <c r="B674" s="237"/>
      <c r="C674" s="237"/>
      <c r="D674" s="237"/>
      <c r="E674" s="237"/>
      <c r="F674" s="237"/>
      <c r="G674" s="237"/>
      <c r="H674" s="237"/>
    </row>
    <row r="675" spans="2:8" x14ac:dyDescent="0.2">
      <c r="B675" s="237"/>
      <c r="C675" s="237"/>
      <c r="D675" s="237"/>
      <c r="E675" s="237"/>
      <c r="F675" s="237"/>
      <c r="G675" s="237"/>
      <c r="H675" s="237"/>
    </row>
    <row r="676" spans="2:8" x14ac:dyDescent="0.2">
      <c r="B676" s="237"/>
      <c r="C676" s="237"/>
      <c r="D676" s="237"/>
      <c r="E676" s="237"/>
      <c r="F676" s="237"/>
      <c r="G676" s="237"/>
      <c r="H676" s="237"/>
    </row>
    <row r="677" spans="2:8" x14ac:dyDescent="0.2">
      <c r="B677" s="237"/>
      <c r="C677" s="237"/>
      <c r="D677" s="237"/>
      <c r="E677" s="237"/>
      <c r="F677" s="237"/>
      <c r="G677" s="237"/>
      <c r="H677" s="237"/>
    </row>
  </sheetData>
  <mergeCells count="9">
    <mergeCell ref="A1:H1"/>
    <mergeCell ref="A2:H2"/>
    <mergeCell ref="A3:H3"/>
    <mergeCell ref="A11:F11"/>
    <mergeCell ref="A5:H5"/>
    <mergeCell ref="A6:H6"/>
    <mergeCell ref="A7:H7"/>
    <mergeCell ref="A9:H9"/>
    <mergeCell ref="A10:F10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29"/>
  <sheetViews>
    <sheetView topLeftCell="A602" zoomScaleNormal="100" workbookViewId="0">
      <selection activeCell="A13" sqref="A13:I622"/>
    </sheetView>
  </sheetViews>
  <sheetFormatPr defaultColWidth="9.140625" defaultRowHeight="12.75" x14ac:dyDescent="0.2"/>
  <cols>
    <col min="1" max="1" width="53.5703125" style="237" customWidth="1"/>
    <col min="2" max="2" width="6.28515625" style="237" customWidth="1"/>
    <col min="3" max="3" width="4.85546875" style="266" customWidth="1"/>
    <col min="4" max="4" width="6.140625" style="266" customWidth="1"/>
    <col min="5" max="5" width="15.42578125" style="266" customWidth="1"/>
    <col min="6" max="6" width="5.85546875" style="266" customWidth="1"/>
    <col min="7" max="7" width="16.7109375" style="266" customWidth="1"/>
    <col min="8" max="9" width="14.28515625" style="266" customWidth="1"/>
    <col min="10" max="10" width="0.28515625" style="79" hidden="1" customWidth="1"/>
    <col min="11" max="17" width="9.140625" style="79" hidden="1" customWidth="1"/>
    <col min="18" max="18" width="9.140625" style="237"/>
    <col min="19" max="19" width="11.5703125" style="237" bestFit="1" customWidth="1"/>
    <col min="20" max="16384" width="9.140625" style="237"/>
  </cols>
  <sheetData>
    <row r="1" spans="1:17" ht="18.75" x14ac:dyDescent="0.3">
      <c r="A1" s="289" t="s">
        <v>459</v>
      </c>
      <c r="B1" s="289"/>
      <c r="C1" s="289"/>
      <c r="D1" s="289"/>
      <c r="E1" s="289"/>
      <c r="F1" s="289"/>
      <c r="G1" s="289"/>
      <c r="H1" s="289"/>
      <c r="I1" s="289"/>
    </row>
    <row r="2" spans="1:17" ht="18.75" x14ac:dyDescent="0.3">
      <c r="A2" s="289" t="s">
        <v>671</v>
      </c>
      <c r="B2" s="289"/>
      <c r="C2" s="289"/>
      <c r="D2" s="289"/>
      <c r="E2" s="289"/>
      <c r="F2" s="289"/>
      <c r="G2" s="289"/>
      <c r="H2" s="289"/>
      <c r="I2" s="289"/>
    </row>
    <row r="3" spans="1:17" ht="18.75" x14ac:dyDescent="0.3">
      <c r="A3" s="289" t="s">
        <v>674</v>
      </c>
      <c r="B3" s="289"/>
      <c r="C3" s="289"/>
      <c r="D3" s="289"/>
      <c r="E3" s="289"/>
      <c r="F3" s="289"/>
      <c r="G3" s="289"/>
      <c r="H3" s="289"/>
      <c r="I3" s="289"/>
    </row>
    <row r="4" spans="1:17" x14ac:dyDescent="0.2">
      <c r="A4" s="288"/>
      <c r="B4" s="288"/>
      <c r="C4" s="288"/>
      <c r="D4" s="288"/>
      <c r="E4" s="288"/>
      <c r="F4" s="288"/>
      <c r="G4" s="288"/>
      <c r="H4" s="288"/>
      <c r="I4" s="288"/>
    </row>
    <row r="5" spans="1:17" x14ac:dyDescent="0.2">
      <c r="A5" s="281" t="s">
        <v>84</v>
      </c>
      <c r="B5" s="281"/>
      <c r="C5" s="281"/>
      <c r="D5" s="281"/>
      <c r="E5" s="281"/>
      <c r="F5" s="281"/>
      <c r="G5" s="281"/>
      <c r="H5" s="281"/>
      <c r="I5" s="281"/>
    </row>
    <row r="6" spans="1:17" x14ac:dyDescent="0.2">
      <c r="A6" s="281" t="s">
        <v>78</v>
      </c>
      <c r="B6" s="281"/>
      <c r="C6" s="281"/>
      <c r="D6" s="281"/>
      <c r="E6" s="281"/>
      <c r="F6" s="281"/>
      <c r="G6" s="281"/>
      <c r="H6" s="281"/>
      <c r="I6" s="281"/>
    </row>
    <row r="7" spans="1:17" x14ac:dyDescent="0.2">
      <c r="A7" s="281" t="s">
        <v>672</v>
      </c>
      <c r="B7" s="281"/>
      <c r="C7" s="281"/>
      <c r="D7" s="281"/>
      <c r="E7" s="281"/>
      <c r="F7" s="281"/>
      <c r="G7" s="281"/>
      <c r="H7" s="281"/>
      <c r="I7" s="281"/>
    </row>
    <row r="9" spans="1:17" s="131" customFormat="1" ht="38.25" customHeight="1" x14ac:dyDescent="0.3">
      <c r="A9" s="282" t="s">
        <v>676</v>
      </c>
      <c r="B9" s="282"/>
      <c r="C9" s="282"/>
      <c r="D9" s="282"/>
      <c r="E9" s="282"/>
      <c r="F9" s="282"/>
      <c r="G9" s="282"/>
      <c r="H9" s="282"/>
      <c r="I9" s="282"/>
      <c r="J9" s="109"/>
      <c r="K9" s="109"/>
      <c r="L9" s="109"/>
      <c r="M9" s="109"/>
      <c r="N9" s="109"/>
      <c r="O9" s="109"/>
      <c r="P9" s="109"/>
      <c r="Q9" s="109"/>
    </row>
    <row r="10" spans="1:17" s="130" customFormat="1" ht="13.5" thickBot="1" x14ac:dyDescent="0.25">
      <c r="A10" s="283"/>
      <c r="B10" s="283"/>
      <c r="C10" s="283"/>
      <c r="D10" s="283"/>
      <c r="E10" s="283"/>
      <c r="F10" s="283"/>
      <c r="G10" s="283"/>
      <c r="I10" s="232" t="s">
        <v>62</v>
      </c>
      <c r="J10" s="110"/>
      <c r="K10" s="110"/>
      <c r="L10" s="110"/>
      <c r="M10" s="110"/>
      <c r="N10" s="110"/>
      <c r="O10" s="110"/>
      <c r="P10" s="110"/>
      <c r="Q10" s="110"/>
    </row>
    <row r="11" spans="1:17" ht="13.5" customHeight="1" x14ac:dyDescent="0.2">
      <c r="A11" s="284"/>
      <c r="B11" s="279" t="s">
        <v>59</v>
      </c>
      <c r="C11" s="279" t="s">
        <v>8</v>
      </c>
      <c r="D11" s="279" t="s">
        <v>9</v>
      </c>
      <c r="E11" s="279" t="s">
        <v>10</v>
      </c>
      <c r="F11" s="279" t="s">
        <v>11</v>
      </c>
      <c r="G11" s="286" t="s">
        <v>140</v>
      </c>
      <c r="H11" s="286" t="s">
        <v>362</v>
      </c>
      <c r="I11" s="286" t="s">
        <v>412</v>
      </c>
    </row>
    <row r="12" spans="1:17" x14ac:dyDescent="0.2">
      <c r="A12" s="285"/>
      <c r="B12" s="280"/>
      <c r="C12" s="280"/>
      <c r="D12" s="280"/>
      <c r="E12" s="280"/>
      <c r="F12" s="280"/>
      <c r="G12" s="287"/>
      <c r="H12" s="287"/>
      <c r="I12" s="287"/>
    </row>
    <row r="13" spans="1:17" s="57" customFormat="1" ht="12" x14ac:dyDescent="0.2">
      <c r="A13" s="55">
        <v>1</v>
      </c>
      <c r="B13" s="58">
        <v>2</v>
      </c>
      <c r="C13" s="58">
        <v>3</v>
      </c>
      <c r="D13" s="58">
        <v>4</v>
      </c>
      <c r="E13" s="58">
        <v>5</v>
      </c>
      <c r="F13" s="58">
        <v>6</v>
      </c>
      <c r="G13" s="56">
        <v>7</v>
      </c>
      <c r="H13" s="56">
        <v>8</v>
      </c>
      <c r="I13" s="56">
        <v>9</v>
      </c>
    </row>
    <row r="14" spans="1:17" s="10" customFormat="1" ht="25.5" x14ac:dyDescent="0.2">
      <c r="A14" s="36" t="s">
        <v>45</v>
      </c>
      <c r="B14" s="37">
        <v>900</v>
      </c>
      <c r="C14" s="38"/>
      <c r="D14" s="38"/>
      <c r="E14" s="38"/>
      <c r="F14" s="48"/>
      <c r="G14" s="39">
        <v>581633.41253000009</v>
      </c>
      <c r="H14" s="39">
        <v>535305.62174000009</v>
      </c>
      <c r="I14" s="39">
        <v>550007.36400000006</v>
      </c>
    </row>
    <row r="15" spans="1:17" s="69" customFormat="1" x14ac:dyDescent="0.2">
      <c r="A15" s="63" t="s">
        <v>60</v>
      </c>
      <c r="B15" s="64">
        <v>900</v>
      </c>
      <c r="C15" s="65" t="s">
        <v>12</v>
      </c>
      <c r="D15" s="66"/>
      <c r="E15" s="66"/>
      <c r="F15" s="67"/>
      <c r="G15" s="68">
        <v>119930.3</v>
      </c>
      <c r="H15" s="68">
        <v>100000.5</v>
      </c>
      <c r="I15" s="68">
        <v>92276.2</v>
      </c>
    </row>
    <row r="16" spans="1:17" s="74" customFormat="1" ht="38.25" x14ac:dyDescent="0.2">
      <c r="A16" s="70" t="s">
        <v>13</v>
      </c>
      <c r="B16" s="71">
        <v>900</v>
      </c>
      <c r="C16" s="72" t="s">
        <v>12</v>
      </c>
      <c r="D16" s="72" t="s">
        <v>14</v>
      </c>
      <c r="E16" s="72"/>
      <c r="F16" s="72"/>
      <c r="G16" s="73">
        <v>2148.9</v>
      </c>
      <c r="H16" s="73">
        <v>1972.4</v>
      </c>
      <c r="I16" s="73">
        <v>1972.4</v>
      </c>
    </row>
    <row r="17" spans="1:17" ht="25.5" x14ac:dyDescent="0.2">
      <c r="A17" s="18" t="s">
        <v>343</v>
      </c>
      <c r="B17" s="22">
        <v>900</v>
      </c>
      <c r="C17" s="19" t="s">
        <v>12</v>
      </c>
      <c r="D17" s="19" t="s">
        <v>14</v>
      </c>
      <c r="E17" s="19" t="s">
        <v>142</v>
      </c>
      <c r="F17" s="19"/>
      <c r="G17" s="20">
        <v>2148.9</v>
      </c>
      <c r="H17" s="20">
        <v>1972.4</v>
      </c>
      <c r="I17" s="20">
        <v>1972.4</v>
      </c>
      <c r="J17" s="117"/>
      <c r="K17" s="117"/>
      <c r="L17" s="117"/>
      <c r="M17" s="117"/>
      <c r="N17" s="117"/>
      <c r="O17" s="117"/>
      <c r="P17" s="117"/>
      <c r="Q17" s="117"/>
    </row>
    <row r="18" spans="1:17" s="26" customFormat="1" ht="51.75" customHeight="1" x14ac:dyDescent="0.2">
      <c r="A18" s="30" t="s">
        <v>66</v>
      </c>
      <c r="B18" s="32">
        <v>900</v>
      </c>
      <c r="C18" s="24" t="s">
        <v>12</v>
      </c>
      <c r="D18" s="24" t="s">
        <v>14</v>
      </c>
      <c r="E18" s="24" t="s">
        <v>142</v>
      </c>
      <c r="F18" s="27" t="s">
        <v>67</v>
      </c>
      <c r="G18" s="25">
        <v>2148.9</v>
      </c>
      <c r="H18" s="25">
        <v>1972.4</v>
      </c>
      <c r="I18" s="25">
        <v>1972.4</v>
      </c>
      <c r="J18" s="118"/>
      <c r="K18" s="118"/>
      <c r="L18" s="118"/>
      <c r="M18" s="118"/>
      <c r="N18" s="118"/>
      <c r="O18" s="118"/>
      <c r="P18" s="118"/>
      <c r="Q18" s="118"/>
    </row>
    <row r="19" spans="1:17" s="74" customFormat="1" ht="51" x14ac:dyDescent="0.2">
      <c r="A19" s="70" t="s">
        <v>17</v>
      </c>
      <c r="B19" s="71">
        <v>900</v>
      </c>
      <c r="C19" s="72" t="s">
        <v>12</v>
      </c>
      <c r="D19" s="72" t="s">
        <v>18</v>
      </c>
      <c r="E19" s="72"/>
      <c r="F19" s="72"/>
      <c r="G19" s="73">
        <v>67538.8</v>
      </c>
      <c r="H19" s="73">
        <v>56260.299999999996</v>
      </c>
      <c r="I19" s="73">
        <v>55266.7</v>
      </c>
    </row>
    <row r="20" spans="1:17" ht="25.5" x14ac:dyDescent="0.2">
      <c r="A20" s="18" t="s">
        <v>143</v>
      </c>
      <c r="B20" s="22">
        <v>900</v>
      </c>
      <c r="C20" s="19" t="s">
        <v>12</v>
      </c>
      <c r="D20" s="19" t="s">
        <v>18</v>
      </c>
      <c r="E20" s="19" t="s">
        <v>88</v>
      </c>
      <c r="F20" s="19"/>
      <c r="G20" s="20">
        <v>468.29999999999995</v>
      </c>
      <c r="H20" s="20">
        <v>468.29999999999995</v>
      </c>
      <c r="I20" s="20">
        <v>468.29999999999995</v>
      </c>
      <c r="J20" s="237"/>
      <c r="K20" s="237"/>
      <c r="L20" s="237"/>
      <c r="M20" s="237"/>
      <c r="N20" s="237"/>
      <c r="O20" s="237"/>
      <c r="P20" s="237"/>
      <c r="Q20" s="237"/>
    </row>
    <row r="21" spans="1:17" s="26" customFormat="1" ht="52.5" customHeight="1" x14ac:dyDescent="0.2">
      <c r="A21" s="23" t="s">
        <v>66</v>
      </c>
      <c r="B21" s="31">
        <v>900</v>
      </c>
      <c r="C21" s="24" t="s">
        <v>12</v>
      </c>
      <c r="D21" s="24" t="s">
        <v>18</v>
      </c>
      <c r="E21" s="24" t="s">
        <v>88</v>
      </c>
      <c r="F21" s="27" t="s">
        <v>67</v>
      </c>
      <c r="G21" s="25">
        <v>440.29999999999995</v>
      </c>
      <c r="H21" s="25">
        <v>440.29999999999995</v>
      </c>
      <c r="I21" s="25">
        <v>440.29999999999995</v>
      </c>
    </row>
    <row r="22" spans="1:17" s="26" customFormat="1" ht="25.5" x14ac:dyDescent="0.2">
      <c r="A22" s="23" t="s">
        <v>135</v>
      </c>
      <c r="B22" s="31">
        <v>900</v>
      </c>
      <c r="C22" s="24" t="s">
        <v>12</v>
      </c>
      <c r="D22" s="24" t="s">
        <v>18</v>
      </c>
      <c r="E22" s="24" t="s">
        <v>88</v>
      </c>
      <c r="F22" s="27" t="s">
        <v>68</v>
      </c>
      <c r="G22" s="25">
        <v>28</v>
      </c>
      <c r="H22" s="25">
        <v>28</v>
      </c>
      <c r="I22" s="25">
        <v>28</v>
      </c>
    </row>
    <row r="23" spans="1:17" s="79" customFormat="1" ht="15" customHeight="1" x14ac:dyDescent="0.2">
      <c r="A23" s="75" t="s">
        <v>144</v>
      </c>
      <c r="B23" s="76">
        <v>900</v>
      </c>
      <c r="C23" s="77" t="s">
        <v>12</v>
      </c>
      <c r="D23" s="77" t="s">
        <v>18</v>
      </c>
      <c r="E23" s="77" t="s">
        <v>87</v>
      </c>
      <c r="F23" s="77"/>
      <c r="G23" s="78">
        <v>115</v>
      </c>
      <c r="H23" s="78">
        <v>115</v>
      </c>
      <c r="I23" s="78">
        <v>115</v>
      </c>
    </row>
    <row r="24" spans="1:17" s="84" customFormat="1" ht="51.75" customHeight="1" x14ac:dyDescent="0.2">
      <c r="A24" s="85" t="s">
        <v>66</v>
      </c>
      <c r="B24" s="86">
        <v>900</v>
      </c>
      <c r="C24" s="82" t="s">
        <v>12</v>
      </c>
      <c r="D24" s="82" t="s">
        <v>18</v>
      </c>
      <c r="E24" s="82" t="s">
        <v>87</v>
      </c>
      <c r="F24" s="83" t="s">
        <v>67</v>
      </c>
      <c r="G24" s="62">
        <v>113</v>
      </c>
      <c r="H24" s="62">
        <v>113</v>
      </c>
      <c r="I24" s="62">
        <v>113</v>
      </c>
    </row>
    <row r="25" spans="1:17" s="84" customFormat="1" ht="25.5" x14ac:dyDescent="0.2">
      <c r="A25" s="85" t="s">
        <v>135</v>
      </c>
      <c r="B25" s="86">
        <v>900</v>
      </c>
      <c r="C25" s="82" t="s">
        <v>12</v>
      </c>
      <c r="D25" s="82" t="s">
        <v>18</v>
      </c>
      <c r="E25" s="82" t="s">
        <v>87</v>
      </c>
      <c r="F25" s="83" t="s">
        <v>68</v>
      </c>
      <c r="G25" s="62">
        <v>2</v>
      </c>
      <c r="H25" s="62">
        <v>2</v>
      </c>
      <c r="I25" s="62">
        <v>2</v>
      </c>
    </row>
    <row r="26" spans="1:17" ht="25.5" x14ac:dyDescent="0.2">
      <c r="A26" s="18" t="s">
        <v>343</v>
      </c>
      <c r="B26" s="22">
        <v>900</v>
      </c>
      <c r="C26" s="19" t="s">
        <v>12</v>
      </c>
      <c r="D26" s="19" t="s">
        <v>18</v>
      </c>
      <c r="E26" s="19" t="s">
        <v>145</v>
      </c>
      <c r="F26" s="19"/>
      <c r="G26" s="20">
        <v>60644</v>
      </c>
      <c r="H26" s="20">
        <v>50316.399999999994</v>
      </c>
      <c r="I26" s="20">
        <v>49322.799999999996</v>
      </c>
      <c r="J26" s="117"/>
      <c r="K26" s="117"/>
      <c r="L26" s="117"/>
      <c r="M26" s="117"/>
      <c r="N26" s="117"/>
      <c r="O26" s="117"/>
      <c r="P26" s="117"/>
      <c r="Q26" s="117"/>
    </row>
    <row r="27" spans="1:17" s="26" customFormat="1" ht="51" customHeight="1" x14ac:dyDescent="0.2">
      <c r="A27" s="30" t="s">
        <v>66</v>
      </c>
      <c r="B27" s="32">
        <v>900</v>
      </c>
      <c r="C27" s="24" t="s">
        <v>12</v>
      </c>
      <c r="D27" s="24" t="s">
        <v>18</v>
      </c>
      <c r="E27" s="24" t="s">
        <v>145</v>
      </c>
      <c r="F27" s="27" t="s">
        <v>67</v>
      </c>
      <c r="G27" s="25">
        <v>38881.599999999999</v>
      </c>
      <c r="H27" s="25">
        <v>33307.1</v>
      </c>
      <c r="I27" s="25">
        <v>33307.1</v>
      </c>
      <c r="J27" s="118"/>
      <c r="K27" s="118"/>
      <c r="L27" s="118"/>
      <c r="M27" s="118"/>
      <c r="N27" s="118"/>
      <c r="O27" s="118"/>
      <c r="P27" s="118"/>
      <c r="Q27" s="118"/>
    </row>
    <row r="28" spans="1:17" s="26" customFormat="1" ht="25.5" x14ac:dyDescent="0.2">
      <c r="A28" s="28" t="s">
        <v>76</v>
      </c>
      <c r="B28" s="32">
        <v>900</v>
      </c>
      <c r="C28" s="24" t="s">
        <v>12</v>
      </c>
      <c r="D28" s="24" t="s">
        <v>18</v>
      </c>
      <c r="E28" s="24" t="s">
        <v>145</v>
      </c>
      <c r="F28" s="27" t="s">
        <v>68</v>
      </c>
      <c r="G28" s="25">
        <v>21448.800000000003</v>
      </c>
      <c r="H28" s="25">
        <v>16583.699999999997</v>
      </c>
      <c r="I28" s="25">
        <v>15590.099999999999</v>
      </c>
      <c r="J28" s="118"/>
      <c r="K28" s="118"/>
      <c r="L28" s="118"/>
      <c r="M28" s="118"/>
      <c r="N28" s="118"/>
      <c r="O28" s="118"/>
      <c r="P28" s="118"/>
      <c r="Q28" s="118"/>
    </row>
    <row r="29" spans="1:17" s="26" customFormat="1" x14ac:dyDescent="0.2">
      <c r="A29" s="28" t="s">
        <v>72</v>
      </c>
      <c r="B29" s="31">
        <v>900</v>
      </c>
      <c r="C29" s="24" t="s">
        <v>12</v>
      </c>
      <c r="D29" s="24" t="s">
        <v>18</v>
      </c>
      <c r="E29" s="24" t="s">
        <v>145</v>
      </c>
      <c r="F29" s="24" t="s">
        <v>73</v>
      </c>
      <c r="G29" s="25">
        <v>313.60000000000002</v>
      </c>
      <c r="H29" s="25">
        <v>425.6</v>
      </c>
      <c r="I29" s="25">
        <v>425.6</v>
      </c>
      <c r="J29" s="118"/>
      <c r="K29" s="118"/>
      <c r="L29" s="118"/>
      <c r="M29" s="118"/>
      <c r="N29" s="118"/>
      <c r="O29" s="118"/>
      <c r="P29" s="118"/>
      <c r="Q29" s="118"/>
    </row>
    <row r="30" spans="1:17" s="79" customFormat="1" ht="25.5" x14ac:dyDescent="0.2">
      <c r="A30" s="89" t="s">
        <v>163</v>
      </c>
      <c r="B30" s="89">
        <v>900</v>
      </c>
      <c r="C30" s="77" t="s">
        <v>12</v>
      </c>
      <c r="D30" s="77" t="s">
        <v>18</v>
      </c>
      <c r="E30" s="77" t="s">
        <v>162</v>
      </c>
      <c r="F30" s="90"/>
      <c r="G30" s="91">
        <v>300</v>
      </c>
      <c r="H30" s="91">
        <v>300</v>
      </c>
      <c r="I30" s="91">
        <v>300</v>
      </c>
    </row>
    <row r="31" spans="1:17" s="79" customFormat="1" ht="25.5" x14ac:dyDescent="0.2">
      <c r="A31" s="28" t="s">
        <v>76</v>
      </c>
      <c r="B31" s="87">
        <v>900</v>
      </c>
      <c r="C31" s="82" t="s">
        <v>12</v>
      </c>
      <c r="D31" s="82" t="s">
        <v>18</v>
      </c>
      <c r="E31" s="82" t="s">
        <v>162</v>
      </c>
      <c r="F31" s="82" t="s">
        <v>68</v>
      </c>
      <c r="G31" s="62">
        <v>300</v>
      </c>
      <c r="H31" s="62">
        <v>300</v>
      </c>
      <c r="I31" s="62">
        <v>300</v>
      </c>
    </row>
    <row r="32" spans="1:17" ht="25.5" x14ac:dyDescent="0.2">
      <c r="A32" s="18" t="s">
        <v>343</v>
      </c>
      <c r="B32" s="22">
        <v>900</v>
      </c>
      <c r="C32" s="19" t="s">
        <v>12</v>
      </c>
      <c r="D32" s="19" t="s">
        <v>18</v>
      </c>
      <c r="E32" s="19" t="s">
        <v>146</v>
      </c>
      <c r="F32" s="19"/>
      <c r="G32" s="20">
        <v>6011.4999999999991</v>
      </c>
      <c r="H32" s="20">
        <v>5060.5999999999995</v>
      </c>
      <c r="I32" s="20">
        <v>5060.5999999999995</v>
      </c>
      <c r="J32" s="117"/>
      <c r="K32" s="117"/>
      <c r="L32" s="117"/>
      <c r="M32" s="117"/>
      <c r="N32" s="117"/>
      <c r="O32" s="117"/>
      <c r="P32" s="117"/>
      <c r="Q32" s="117"/>
    </row>
    <row r="33" spans="1:17" s="26" customFormat="1" ht="52.5" customHeight="1" x14ac:dyDescent="0.2">
      <c r="A33" s="30" t="s">
        <v>66</v>
      </c>
      <c r="B33" s="32">
        <v>900</v>
      </c>
      <c r="C33" s="24" t="s">
        <v>12</v>
      </c>
      <c r="D33" s="24" t="s">
        <v>18</v>
      </c>
      <c r="E33" s="19" t="s">
        <v>146</v>
      </c>
      <c r="F33" s="27" t="s">
        <v>67</v>
      </c>
      <c r="G33" s="25">
        <v>5475.7999999999993</v>
      </c>
      <c r="H33" s="25">
        <v>4694.8999999999996</v>
      </c>
      <c r="I33" s="25">
        <v>4694.8999999999996</v>
      </c>
      <c r="J33" s="118"/>
      <c r="K33" s="118"/>
      <c r="L33" s="118"/>
      <c r="M33" s="118"/>
      <c r="N33" s="118"/>
      <c r="O33" s="118"/>
      <c r="P33" s="118"/>
      <c r="Q33" s="118"/>
    </row>
    <row r="34" spans="1:17" s="26" customFormat="1" ht="25.5" x14ac:dyDescent="0.2">
      <c r="A34" s="28" t="s">
        <v>76</v>
      </c>
      <c r="B34" s="32">
        <v>900</v>
      </c>
      <c r="C34" s="24" t="s">
        <v>12</v>
      </c>
      <c r="D34" s="24" t="s">
        <v>18</v>
      </c>
      <c r="E34" s="19" t="s">
        <v>146</v>
      </c>
      <c r="F34" s="27" t="s">
        <v>68</v>
      </c>
      <c r="G34" s="25">
        <v>535.70000000000005</v>
      </c>
      <c r="H34" s="25">
        <v>365.7</v>
      </c>
      <c r="I34" s="25">
        <v>365.7</v>
      </c>
      <c r="J34" s="118"/>
      <c r="K34" s="118"/>
      <c r="L34" s="118"/>
      <c r="M34" s="118"/>
      <c r="N34" s="118"/>
      <c r="O34" s="118"/>
      <c r="P34" s="118"/>
      <c r="Q34" s="118"/>
    </row>
    <row r="35" spans="1:17" s="9" customFormat="1" x14ac:dyDescent="0.2">
      <c r="A35" s="11" t="s">
        <v>366</v>
      </c>
      <c r="B35" s="14">
        <v>900</v>
      </c>
      <c r="C35" s="8" t="s">
        <v>12</v>
      </c>
      <c r="D35" s="8" t="s">
        <v>31</v>
      </c>
      <c r="E35" s="8"/>
      <c r="F35" s="8"/>
      <c r="G35" s="4">
        <v>16.3</v>
      </c>
      <c r="H35" s="4">
        <v>16.899999999999999</v>
      </c>
      <c r="I35" s="4">
        <v>17.5</v>
      </c>
    </row>
    <row r="36" spans="1:17" ht="38.25" customHeight="1" x14ac:dyDescent="0.2">
      <c r="A36" s="18" t="s">
        <v>367</v>
      </c>
      <c r="B36" s="22">
        <v>900</v>
      </c>
      <c r="C36" s="19" t="s">
        <v>12</v>
      </c>
      <c r="D36" s="19" t="s">
        <v>31</v>
      </c>
      <c r="E36" s="19" t="s">
        <v>396</v>
      </c>
      <c r="F36" s="19"/>
      <c r="G36" s="20">
        <v>16.3</v>
      </c>
      <c r="H36" s="20">
        <v>16.899999999999999</v>
      </c>
      <c r="I36" s="20">
        <v>17.5</v>
      </c>
      <c r="J36" s="237"/>
      <c r="K36" s="237"/>
      <c r="L36" s="237"/>
      <c r="M36" s="237"/>
      <c r="N36" s="237"/>
      <c r="O36" s="237"/>
      <c r="P36" s="237"/>
      <c r="Q36" s="237"/>
    </row>
    <row r="37" spans="1:17" s="26" customFormat="1" ht="25.5" x14ac:dyDescent="0.2">
      <c r="A37" s="23" t="s">
        <v>135</v>
      </c>
      <c r="B37" s="31">
        <v>900</v>
      </c>
      <c r="C37" s="24" t="s">
        <v>12</v>
      </c>
      <c r="D37" s="24" t="s">
        <v>31</v>
      </c>
      <c r="E37" s="24" t="s">
        <v>396</v>
      </c>
      <c r="F37" s="27" t="s">
        <v>68</v>
      </c>
      <c r="G37" s="25">
        <v>16.3</v>
      </c>
      <c r="H37" s="25">
        <v>16.899999999999999</v>
      </c>
      <c r="I37" s="25">
        <v>17.5</v>
      </c>
    </row>
    <row r="38" spans="1:17" s="9" customFormat="1" x14ac:dyDescent="0.2">
      <c r="A38" s="11" t="s">
        <v>22</v>
      </c>
      <c r="B38" s="14">
        <v>900</v>
      </c>
      <c r="C38" s="8" t="s">
        <v>12</v>
      </c>
      <c r="D38" s="8" t="s">
        <v>21</v>
      </c>
      <c r="E38" s="8"/>
      <c r="F38" s="8"/>
      <c r="G38" s="4">
        <v>1544.1</v>
      </c>
      <c r="H38" s="4">
        <v>2024.1</v>
      </c>
      <c r="I38" s="4">
        <v>57.799999999999955</v>
      </c>
      <c r="J38" s="127"/>
      <c r="K38" s="127"/>
      <c r="L38" s="127"/>
      <c r="M38" s="127"/>
      <c r="N38" s="127"/>
      <c r="O38" s="127"/>
      <c r="P38" s="127"/>
      <c r="Q38" s="127"/>
    </row>
    <row r="39" spans="1:17" s="7" customFormat="1" x14ac:dyDescent="0.2">
      <c r="A39" s="18" t="s">
        <v>285</v>
      </c>
      <c r="B39" s="121">
        <v>900</v>
      </c>
      <c r="C39" s="122" t="s">
        <v>12</v>
      </c>
      <c r="D39" s="122" t="s">
        <v>21</v>
      </c>
      <c r="E39" s="19" t="s">
        <v>287</v>
      </c>
      <c r="F39" s="19"/>
      <c r="G39" s="20">
        <v>1544.1</v>
      </c>
      <c r="H39" s="20">
        <v>2024.1</v>
      </c>
      <c r="I39" s="20">
        <v>57.799999999999955</v>
      </c>
      <c r="J39" s="119"/>
      <c r="K39" s="119"/>
      <c r="L39" s="119"/>
      <c r="M39" s="119"/>
      <c r="N39" s="119"/>
      <c r="O39" s="119"/>
      <c r="P39" s="119"/>
      <c r="Q39" s="119"/>
    </row>
    <row r="40" spans="1:17" s="26" customFormat="1" x14ac:dyDescent="0.2">
      <c r="A40" s="28" t="s">
        <v>72</v>
      </c>
      <c r="B40" s="31">
        <v>900</v>
      </c>
      <c r="C40" s="24" t="s">
        <v>12</v>
      </c>
      <c r="D40" s="24" t="s">
        <v>21</v>
      </c>
      <c r="E40" s="24" t="s">
        <v>287</v>
      </c>
      <c r="F40" s="24" t="s">
        <v>73</v>
      </c>
      <c r="G40" s="25">
        <v>1544.1</v>
      </c>
      <c r="H40" s="25">
        <v>2024.1</v>
      </c>
      <c r="I40" s="25">
        <v>57.799999999999955</v>
      </c>
      <c r="J40" s="118"/>
      <c r="K40" s="118"/>
      <c r="L40" s="118"/>
      <c r="M40" s="118"/>
      <c r="N40" s="118"/>
      <c r="O40" s="118"/>
      <c r="P40" s="118"/>
      <c r="Q40" s="118"/>
    </row>
    <row r="41" spans="1:17" s="74" customFormat="1" x14ac:dyDescent="0.2">
      <c r="A41" s="70" t="s">
        <v>24</v>
      </c>
      <c r="B41" s="71">
        <v>900</v>
      </c>
      <c r="C41" s="72" t="s">
        <v>12</v>
      </c>
      <c r="D41" s="72" t="s">
        <v>61</v>
      </c>
      <c r="E41" s="72"/>
      <c r="F41" s="72"/>
      <c r="G41" s="73">
        <v>48682.200000000004</v>
      </c>
      <c r="H41" s="73">
        <v>39726.799999999996</v>
      </c>
      <c r="I41" s="73">
        <v>34961.800000000003</v>
      </c>
      <c r="J41" s="73">
        <f t="shared" ref="J41:Q41" si="0">J46+J52+J54+J58+J61+J48+J50+J56+J42+J44+V41+J63</f>
        <v>0</v>
      </c>
      <c r="K41" s="73">
        <f t="shared" si="0"/>
        <v>0</v>
      </c>
      <c r="L41" s="73">
        <f t="shared" si="0"/>
        <v>0</v>
      </c>
      <c r="M41" s="73">
        <f t="shared" si="0"/>
        <v>0</v>
      </c>
      <c r="N41" s="73">
        <f t="shared" si="0"/>
        <v>0</v>
      </c>
      <c r="O41" s="73">
        <f t="shared" si="0"/>
        <v>0</v>
      </c>
      <c r="P41" s="73">
        <f t="shared" si="0"/>
        <v>0</v>
      </c>
      <c r="Q41" s="73">
        <f t="shared" si="0"/>
        <v>0</v>
      </c>
    </row>
    <row r="42" spans="1:17" s="79" customFormat="1" x14ac:dyDescent="0.2">
      <c r="A42" s="75" t="s">
        <v>227</v>
      </c>
      <c r="B42" s="76">
        <v>900</v>
      </c>
      <c r="C42" s="77" t="s">
        <v>12</v>
      </c>
      <c r="D42" s="77" t="s">
        <v>61</v>
      </c>
      <c r="E42" s="77" t="s">
        <v>226</v>
      </c>
      <c r="F42" s="77"/>
      <c r="G42" s="78">
        <v>3279.2</v>
      </c>
      <c r="H42" s="78">
        <v>3279.2</v>
      </c>
      <c r="I42" s="78">
        <v>0</v>
      </c>
    </row>
    <row r="43" spans="1:17" s="84" customFormat="1" x14ac:dyDescent="0.2">
      <c r="A43" s="87" t="s">
        <v>69</v>
      </c>
      <c r="B43" s="86">
        <v>900</v>
      </c>
      <c r="C43" s="82" t="s">
        <v>12</v>
      </c>
      <c r="D43" s="82" t="s">
        <v>61</v>
      </c>
      <c r="E43" s="82" t="s">
        <v>226</v>
      </c>
      <c r="F43" s="82" t="s">
        <v>70</v>
      </c>
      <c r="G43" s="62">
        <v>3279.2</v>
      </c>
      <c r="H43" s="62">
        <v>3279.2</v>
      </c>
      <c r="I43" s="62"/>
    </row>
    <row r="44" spans="1:17" x14ac:dyDescent="0.2">
      <c r="A44" s="18" t="s">
        <v>286</v>
      </c>
      <c r="B44" s="22">
        <v>900</v>
      </c>
      <c r="C44" s="19" t="s">
        <v>12</v>
      </c>
      <c r="D44" s="19" t="s">
        <v>61</v>
      </c>
      <c r="E44" s="19" t="s">
        <v>288</v>
      </c>
      <c r="F44" s="19"/>
      <c r="G44" s="20">
        <v>1109.5</v>
      </c>
      <c r="H44" s="20">
        <v>1109.5</v>
      </c>
      <c r="I44" s="20">
        <v>0</v>
      </c>
      <c r="J44" s="237"/>
      <c r="K44" s="237"/>
      <c r="L44" s="237"/>
      <c r="M44" s="237"/>
      <c r="N44" s="237"/>
      <c r="O44" s="237"/>
      <c r="P44" s="237"/>
      <c r="Q44" s="237"/>
    </row>
    <row r="45" spans="1:17" s="26" customFormat="1" x14ac:dyDescent="0.2">
      <c r="A45" s="28" t="s">
        <v>72</v>
      </c>
      <c r="B45" s="31">
        <v>900</v>
      </c>
      <c r="C45" s="24" t="s">
        <v>12</v>
      </c>
      <c r="D45" s="24" t="s">
        <v>61</v>
      </c>
      <c r="E45" s="24" t="s">
        <v>288</v>
      </c>
      <c r="F45" s="24" t="s">
        <v>73</v>
      </c>
      <c r="G45" s="25">
        <v>1109.5</v>
      </c>
      <c r="H45" s="25">
        <v>1109.5</v>
      </c>
      <c r="I45" s="25"/>
    </row>
    <row r="46" spans="1:17" x14ac:dyDescent="0.2">
      <c r="A46" s="18" t="s">
        <v>147</v>
      </c>
      <c r="B46" s="22">
        <v>900</v>
      </c>
      <c r="C46" s="19" t="s">
        <v>12</v>
      </c>
      <c r="D46" s="19" t="s">
        <v>61</v>
      </c>
      <c r="E46" s="19" t="s">
        <v>148</v>
      </c>
      <c r="F46" s="19"/>
      <c r="G46" s="20">
        <v>20202.300000000003</v>
      </c>
      <c r="H46" s="20">
        <v>18565.099999999999</v>
      </c>
      <c r="I46" s="20">
        <v>18324.2</v>
      </c>
      <c r="J46" s="117"/>
      <c r="K46" s="117"/>
      <c r="L46" s="117"/>
      <c r="M46" s="117"/>
      <c r="N46" s="117"/>
      <c r="O46" s="117"/>
      <c r="P46" s="117"/>
      <c r="Q46" s="117"/>
    </row>
    <row r="47" spans="1:17" s="26" customFormat="1" ht="25.5" x14ac:dyDescent="0.2">
      <c r="A47" s="28" t="s">
        <v>141</v>
      </c>
      <c r="B47" s="31">
        <v>900</v>
      </c>
      <c r="C47" s="24" t="s">
        <v>12</v>
      </c>
      <c r="D47" s="24" t="s">
        <v>61</v>
      </c>
      <c r="E47" s="24" t="s">
        <v>148</v>
      </c>
      <c r="F47" s="24" t="s">
        <v>65</v>
      </c>
      <c r="G47" s="25">
        <v>20202.300000000003</v>
      </c>
      <c r="H47" s="25">
        <v>18565.099999999999</v>
      </c>
      <c r="I47" s="25">
        <v>18324.2</v>
      </c>
      <c r="J47" s="118"/>
      <c r="K47" s="118"/>
      <c r="L47" s="118"/>
      <c r="M47" s="118"/>
      <c r="N47" s="118"/>
      <c r="O47" s="118"/>
      <c r="P47" s="118"/>
      <c r="Q47" s="118"/>
    </row>
    <row r="48" spans="1:17" s="79" customFormat="1" ht="25.5" x14ac:dyDescent="0.2">
      <c r="A48" s="89" t="s">
        <v>163</v>
      </c>
      <c r="B48" s="89">
        <v>900</v>
      </c>
      <c r="C48" s="77" t="s">
        <v>12</v>
      </c>
      <c r="D48" s="77" t="s">
        <v>61</v>
      </c>
      <c r="E48" s="77" t="s">
        <v>162</v>
      </c>
      <c r="F48" s="90"/>
      <c r="G48" s="91">
        <v>91.6</v>
      </c>
      <c r="H48" s="91">
        <v>91.6</v>
      </c>
      <c r="I48" s="91">
        <v>91.6</v>
      </c>
    </row>
    <row r="49" spans="1:17" s="79" customFormat="1" ht="25.5" x14ac:dyDescent="0.2">
      <c r="A49" s="87" t="s">
        <v>141</v>
      </c>
      <c r="B49" s="87">
        <v>900</v>
      </c>
      <c r="C49" s="82" t="s">
        <v>12</v>
      </c>
      <c r="D49" s="82" t="s">
        <v>61</v>
      </c>
      <c r="E49" s="82" t="s">
        <v>162</v>
      </c>
      <c r="F49" s="82" t="s">
        <v>65</v>
      </c>
      <c r="G49" s="62">
        <v>91.6</v>
      </c>
      <c r="H49" s="62">
        <v>91.6</v>
      </c>
      <c r="I49" s="62">
        <v>91.6</v>
      </c>
    </row>
    <row r="50" spans="1:17" x14ac:dyDescent="0.2">
      <c r="A50" s="18" t="s">
        <v>172</v>
      </c>
      <c r="B50" s="22">
        <v>900</v>
      </c>
      <c r="C50" s="19" t="s">
        <v>12</v>
      </c>
      <c r="D50" s="19" t="s">
        <v>61</v>
      </c>
      <c r="E50" s="19" t="s">
        <v>171</v>
      </c>
      <c r="F50" s="19"/>
      <c r="G50" s="20">
        <v>4543</v>
      </c>
      <c r="H50" s="20">
        <v>0</v>
      </c>
      <c r="I50" s="20">
        <v>0</v>
      </c>
      <c r="J50" s="117"/>
      <c r="K50" s="117"/>
      <c r="L50" s="117"/>
      <c r="M50" s="117"/>
      <c r="N50" s="117"/>
      <c r="O50" s="117"/>
      <c r="P50" s="117"/>
      <c r="Q50" s="117"/>
    </row>
    <row r="51" spans="1:17" s="26" customFormat="1" ht="25.5" x14ac:dyDescent="0.2">
      <c r="A51" s="28" t="s">
        <v>83</v>
      </c>
      <c r="B51" s="31">
        <v>900</v>
      </c>
      <c r="C51" s="24" t="s">
        <v>12</v>
      </c>
      <c r="D51" s="24" t="s">
        <v>61</v>
      </c>
      <c r="E51" s="24" t="s">
        <v>171</v>
      </c>
      <c r="F51" s="24" t="s">
        <v>71</v>
      </c>
      <c r="G51" s="25">
        <v>4543</v>
      </c>
      <c r="H51" s="25">
        <v>0</v>
      </c>
      <c r="I51" s="25">
        <v>0</v>
      </c>
      <c r="J51" s="118"/>
      <c r="K51" s="118"/>
      <c r="L51" s="118"/>
      <c r="M51" s="118"/>
      <c r="N51" s="118"/>
      <c r="O51" s="118"/>
      <c r="P51" s="118"/>
      <c r="Q51" s="118"/>
    </row>
    <row r="52" spans="1:17" ht="38.25" x14ac:dyDescent="0.2">
      <c r="A52" s="18" t="s">
        <v>149</v>
      </c>
      <c r="B52" s="22">
        <v>900</v>
      </c>
      <c r="C52" s="19" t="s">
        <v>12</v>
      </c>
      <c r="D52" s="19" t="s">
        <v>61</v>
      </c>
      <c r="E52" s="19" t="s">
        <v>86</v>
      </c>
      <c r="F52" s="19"/>
      <c r="G52" s="20">
        <v>120</v>
      </c>
      <c r="H52" s="20">
        <v>120</v>
      </c>
      <c r="I52" s="20">
        <v>120</v>
      </c>
      <c r="J52" s="237"/>
      <c r="K52" s="237"/>
      <c r="L52" s="237"/>
      <c r="M52" s="237"/>
      <c r="N52" s="237"/>
      <c r="O52" s="237"/>
      <c r="P52" s="237"/>
      <c r="Q52" s="237"/>
    </row>
    <row r="53" spans="1:17" s="26" customFormat="1" ht="25.5" x14ac:dyDescent="0.2">
      <c r="A53" s="28" t="s">
        <v>141</v>
      </c>
      <c r="B53" s="31">
        <v>900</v>
      </c>
      <c r="C53" s="24" t="s">
        <v>12</v>
      </c>
      <c r="D53" s="24" t="s">
        <v>61</v>
      </c>
      <c r="E53" s="24" t="s">
        <v>86</v>
      </c>
      <c r="F53" s="24" t="s">
        <v>65</v>
      </c>
      <c r="G53" s="25">
        <v>120</v>
      </c>
      <c r="H53" s="25">
        <v>120</v>
      </c>
      <c r="I53" s="25">
        <v>120</v>
      </c>
    </row>
    <row r="54" spans="1:17" s="79" customFormat="1" ht="30.75" customHeight="1" x14ac:dyDescent="0.2">
      <c r="A54" s="89" t="s">
        <v>150</v>
      </c>
      <c r="B54" s="92">
        <v>900</v>
      </c>
      <c r="C54" s="77" t="s">
        <v>12</v>
      </c>
      <c r="D54" s="77" t="s">
        <v>61</v>
      </c>
      <c r="E54" s="77" t="s">
        <v>151</v>
      </c>
      <c r="F54" s="77"/>
      <c r="G54" s="78">
        <v>966</v>
      </c>
      <c r="H54" s="78">
        <v>966</v>
      </c>
      <c r="I54" s="78">
        <v>966</v>
      </c>
    </row>
    <row r="55" spans="1:17" s="84" customFormat="1" x14ac:dyDescent="0.2">
      <c r="A55" s="87" t="s">
        <v>69</v>
      </c>
      <c r="B55" s="86">
        <v>900</v>
      </c>
      <c r="C55" s="82" t="s">
        <v>12</v>
      </c>
      <c r="D55" s="82" t="s">
        <v>61</v>
      </c>
      <c r="E55" s="82" t="s">
        <v>151</v>
      </c>
      <c r="F55" s="82" t="s">
        <v>70</v>
      </c>
      <c r="G55" s="62">
        <v>966</v>
      </c>
      <c r="H55" s="62">
        <v>966</v>
      </c>
      <c r="I55" s="62">
        <v>966</v>
      </c>
    </row>
    <row r="56" spans="1:17" s="12" customFormat="1" ht="25.5" x14ac:dyDescent="0.2">
      <c r="A56" s="132" t="s">
        <v>152</v>
      </c>
      <c r="B56" s="267">
        <v>900</v>
      </c>
      <c r="C56" s="19" t="s">
        <v>12</v>
      </c>
      <c r="D56" s="19" t="s">
        <v>61</v>
      </c>
      <c r="E56" s="5" t="s">
        <v>153</v>
      </c>
      <c r="F56" s="5"/>
      <c r="G56" s="6">
        <v>6102.4</v>
      </c>
      <c r="H56" s="6">
        <v>5051</v>
      </c>
      <c r="I56" s="6">
        <v>4915.6000000000004</v>
      </c>
      <c r="J56" s="128"/>
      <c r="K56" s="128"/>
      <c r="L56" s="128"/>
      <c r="M56" s="128"/>
      <c r="N56" s="128"/>
      <c r="O56" s="128"/>
      <c r="P56" s="128"/>
      <c r="Q56" s="128"/>
    </row>
    <row r="57" spans="1:17" s="133" customFormat="1" ht="25.5" x14ac:dyDescent="0.2">
      <c r="A57" s="28" t="s">
        <v>141</v>
      </c>
      <c r="B57" s="31">
        <v>900</v>
      </c>
      <c r="C57" s="24" t="s">
        <v>12</v>
      </c>
      <c r="D57" s="24" t="s">
        <v>61</v>
      </c>
      <c r="E57" s="24" t="s">
        <v>153</v>
      </c>
      <c r="F57" s="24" t="s">
        <v>65</v>
      </c>
      <c r="G57" s="25">
        <v>6102.4</v>
      </c>
      <c r="H57" s="25">
        <v>5051</v>
      </c>
      <c r="I57" s="25">
        <v>4915.6000000000004</v>
      </c>
      <c r="J57" s="129"/>
      <c r="K57" s="129"/>
      <c r="L57" s="129"/>
      <c r="M57" s="129"/>
      <c r="N57" s="129"/>
      <c r="O57" s="129"/>
      <c r="P57" s="129"/>
      <c r="Q57" s="129"/>
    </row>
    <row r="58" spans="1:17" ht="102" x14ac:dyDescent="0.2">
      <c r="A58" s="46" t="s">
        <v>155</v>
      </c>
      <c r="B58" s="22">
        <v>900</v>
      </c>
      <c r="C58" s="19" t="s">
        <v>12</v>
      </c>
      <c r="D58" s="19" t="s">
        <v>61</v>
      </c>
      <c r="E58" s="19" t="s">
        <v>154</v>
      </c>
      <c r="F58" s="19"/>
      <c r="G58" s="20">
        <v>8615.6</v>
      </c>
      <c r="H58" s="20">
        <v>7326.4000000000005</v>
      </c>
      <c r="I58" s="20">
        <v>7326.4000000000005</v>
      </c>
      <c r="J58" s="117"/>
      <c r="K58" s="117"/>
      <c r="L58" s="117"/>
      <c r="M58" s="117"/>
      <c r="N58" s="117"/>
      <c r="O58" s="117"/>
      <c r="P58" s="117"/>
      <c r="Q58" s="117"/>
    </row>
    <row r="59" spans="1:17" s="26" customFormat="1" ht="53.25" customHeight="1" x14ac:dyDescent="0.2">
      <c r="A59" s="23" t="s">
        <v>66</v>
      </c>
      <c r="B59" s="31">
        <v>900</v>
      </c>
      <c r="C59" s="24" t="s">
        <v>12</v>
      </c>
      <c r="D59" s="24" t="s">
        <v>61</v>
      </c>
      <c r="E59" s="24" t="s">
        <v>154</v>
      </c>
      <c r="F59" s="27" t="s">
        <v>67</v>
      </c>
      <c r="G59" s="25">
        <v>8509.5</v>
      </c>
      <c r="H59" s="25">
        <v>7220.3</v>
      </c>
      <c r="I59" s="25">
        <v>7220.3</v>
      </c>
      <c r="J59" s="118"/>
      <c r="K59" s="118"/>
      <c r="L59" s="118"/>
      <c r="M59" s="118"/>
      <c r="N59" s="118"/>
      <c r="O59" s="118"/>
      <c r="P59" s="118"/>
      <c r="Q59" s="118"/>
    </row>
    <row r="60" spans="1:17" s="84" customFormat="1" ht="25.5" x14ac:dyDescent="0.2">
      <c r="A60" s="87" t="s">
        <v>76</v>
      </c>
      <c r="B60" s="86">
        <v>900</v>
      </c>
      <c r="C60" s="82" t="s">
        <v>12</v>
      </c>
      <c r="D60" s="82" t="s">
        <v>61</v>
      </c>
      <c r="E60" s="82" t="s">
        <v>154</v>
      </c>
      <c r="F60" s="83" t="s">
        <v>68</v>
      </c>
      <c r="G60" s="62">
        <v>106.10000000000001</v>
      </c>
      <c r="H60" s="62">
        <v>106.10000000000001</v>
      </c>
      <c r="I60" s="62">
        <v>106.10000000000001</v>
      </c>
    </row>
    <row r="61" spans="1:17" s="84" customFormat="1" ht="63.75" x14ac:dyDescent="0.2">
      <c r="A61" s="97" t="s">
        <v>156</v>
      </c>
      <c r="B61" s="97">
        <v>900</v>
      </c>
      <c r="C61" s="77" t="s">
        <v>12</v>
      </c>
      <c r="D61" s="77" t="s">
        <v>61</v>
      </c>
      <c r="E61" s="77" t="s">
        <v>157</v>
      </c>
      <c r="F61" s="77"/>
      <c r="G61" s="78">
        <v>228.8</v>
      </c>
      <c r="H61" s="78">
        <v>0</v>
      </c>
      <c r="I61" s="78">
        <v>0</v>
      </c>
    </row>
    <row r="62" spans="1:17" s="79" customFormat="1" ht="25.5" x14ac:dyDescent="0.2">
      <c r="A62" s="87" t="s">
        <v>76</v>
      </c>
      <c r="B62" s="85">
        <v>900</v>
      </c>
      <c r="C62" s="82" t="s">
        <v>12</v>
      </c>
      <c r="D62" s="82" t="s">
        <v>61</v>
      </c>
      <c r="E62" s="82" t="s">
        <v>157</v>
      </c>
      <c r="F62" s="83" t="s">
        <v>68</v>
      </c>
      <c r="G62" s="62">
        <v>228.8</v>
      </c>
      <c r="H62" s="62">
        <v>0</v>
      </c>
      <c r="I62" s="62">
        <v>0</v>
      </c>
    </row>
    <row r="63" spans="1:17" ht="38.25" x14ac:dyDescent="0.2">
      <c r="A63" s="18" t="s">
        <v>403</v>
      </c>
      <c r="B63" s="23">
        <v>900</v>
      </c>
      <c r="C63" s="24" t="s">
        <v>12</v>
      </c>
      <c r="D63" s="24" t="s">
        <v>61</v>
      </c>
      <c r="E63" s="24" t="s">
        <v>404</v>
      </c>
      <c r="F63" s="27"/>
      <c r="G63" s="25">
        <v>3423.8</v>
      </c>
      <c r="H63" s="25">
        <v>3218</v>
      </c>
      <c r="I63" s="25">
        <v>3218</v>
      </c>
      <c r="J63" s="226">
        <f t="shared" ref="J63:Q63" si="1">J64</f>
        <v>0</v>
      </c>
      <c r="K63" s="226">
        <f t="shared" si="1"/>
        <v>0</v>
      </c>
      <c r="L63" s="226">
        <f t="shared" si="1"/>
        <v>0</v>
      </c>
      <c r="M63" s="226">
        <f t="shared" si="1"/>
        <v>0</v>
      </c>
      <c r="N63" s="226">
        <f t="shared" si="1"/>
        <v>0</v>
      </c>
      <c r="O63" s="226">
        <f t="shared" si="1"/>
        <v>0</v>
      </c>
      <c r="P63" s="226">
        <f t="shared" si="1"/>
        <v>0</v>
      </c>
      <c r="Q63" s="226">
        <f t="shared" si="1"/>
        <v>0</v>
      </c>
    </row>
    <row r="64" spans="1:17" ht="25.5" x14ac:dyDescent="0.2">
      <c r="A64" s="28" t="s">
        <v>141</v>
      </c>
      <c r="B64" s="23">
        <v>900</v>
      </c>
      <c r="C64" s="24" t="s">
        <v>12</v>
      </c>
      <c r="D64" s="24" t="s">
        <v>61</v>
      </c>
      <c r="E64" s="24" t="s">
        <v>404</v>
      </c>
      <c r="F64" s="27" t="s">
        <v>65</v>
      </c>
      <c r="G64" s="25">
        <v>3423.8</v>
      </c>
      <c r="H64" s="25">
        <v>3218</v>
      </c>
      <c r="I64" s="25">
        <v>3218</v>
      </c>
      <c r="J64" s="117"/>
      <c r="K64" s="117"/>
      <c r="L64" s="117"/>
      <c r="M64" s="117"/>
      <c r="N64" s="117"/>
      <c r="O64" s="117"/>
      <c r="P64" s="117"/>
      <c r="Q64" s="117"/>
    </row>
    <row r="65" spans="1:17" s="99" customFormat="1" ht="25.5" x14ac:dyDescent="0.2">
      <c r="A65" s="98" t="s">
        <v>5</v>
      </c>
      <c r="B65" s="64">
        <v>900</v>
      </c>
      <c r="C65" s="65" t="s">
        <v>16</v>
      </c>
      <c r="D65" s="65"/>
      <c r="E65" s="65"/>
      <c r="F65" s="65"/>
      <c r="G65" s="68">
        <v>8233.6999999999989</v>
      </c>
      <c r="H65" s="68">
        <v>14719.400000000001</v>
      </c>
      <c r="I65" s="68">
        <v>14661.300000000001</v>
      </c>
    </row>
    <row r="66" spans="1:17" s="9" customFormat="1" ht="38.25" x14ac:dyDescent="0.2">
      <c r="A66" s="11" t="s">
        <v>81</v>
      </c>
      <c r="B66" s="14">
        <v>900</v>
      </c>
      <c r="C66" s="8" t="s">
        <v>16</v>
      </c>
      <c r="D66" s="8" t="s">
        <v>26</v>
      </c>
      <c r="E66" s="8"/>
      <c r="F66" s="8"/>
      <c r="G66" s="4">
        <v>8233.6999999999989</v>
      </c>
      <c r="H66" s="4">
        <v>14719.400000000001</v>
      </c>
      <c r="I66" s="4">
        <v>14661.300000000001</v>
      </c>
      <c r="J66" s="127"/>
      <c r="K66" s="127"/>
      <c r="L66" s="127"/>
      <c r="M66" s="127"/>
      <c r="N66" s="127"/>
      <c r="O66" s="127"/>
      <c r="P66" s="127"/>
      <c r="Q66" s="127"/>
    </row>
    <row r="67" spans="1:17" ht="38.25" x14ac:dyDescent="0.2">
      <c r="A67" s="46" t="s">
        <v>159</v>
      </c>
      <c r="B67" s="44">
        <v>900</v>
      </c>
      <c r="C67" s="19" t="s">
        <v>16</v>
      </c>
      <c r="D67" s="19" t="s">
        <v>26</v>
      </c>
      <c r="E67" s="19" t="s">
        <v>158</v>
      </c>
      <c r="F67" s="19"/>
      <c r="G67" s="20">
        <v>3224.7999999999997</v>
      </c>
      <c r="H67" s="20">
        <v>0</v>
      </c>
      <c r="I67" s="20">
        <v>0</v>
      </c>
      <c r="J67" s="117"/>
      <c r="K67" s="117"/>
      <c r="L67" s="117"/>
      <c r="M67" s="117"/>
      <c r="N67" s="117"/>
      <c r="O67" s="117"/>
      <c r="P67" s="117"/>
      <c r="Q67" s="117"/>
    </row>
    <row r="68" spans="1:17" s="26" customFormat="1" ht="51" customHeight="1" x14ac:dyDescent="0.2">
      <c r="A68" s="30" t="s">
        <v>66</v>
      </c>
      <c r="B68" s="32">
        <v>900</v>
      </c>
      <c r="C68" s="24" t="s">
        <v>16</v>
      </c>
      <c r="D68" s="24" t="s">
        <v>26</v>
      </c>
      <c r="E68" s="24" t="s">
        <v>158</v>
      </c>
      <c r="F68" s="27" t="s">
        <v>67</v>
      </c>
      <c r="G68" s="25">
        <v>2658.7999999999997</v>
      </c>
      <c r="H68" s="25">
        <v>0</v>
      </c>
      <c r="I68" s="25">
        <v>0</v>
      </c>
      <c r="J68" s="118"/>
      <c r="K68" s="118"/>
      <c r="L68" s="118"/>
      <c r="M68" s="118"/>
      <c r="N68" s="118"/>
      <c r="O68" s="118"/>
      <c r="P68" s="118"/>
      <c r="Q68" s="118"/>
    </row>
    <row r="69" spans="1:17" s="26" customFormat="1" ht="25.5" x14ac:dyDescent="0.2">
      <c r="A69" s="28" t="s">
        <v>76</v>
      </c>
      <c r="B69" s="32">
        <v>900</v>
      </c>
      <c r="C69" s="24" t="s">
        <v>16</v>
      </c>
      <c r="D69" s="24" t="s">
        <v>26</v>
      </c>
      <c r="E69" s="24" t="s">
        <v>158</v>
      </c>
      <c r="F69" s="27" t="s">
        <v>68</v>
      </c>
      <c r="G69" s="25">
        <v>559.19999999999982</v>
      </c>
      <c r="H69" s="25">
        <v>0</v>
      </c>
      <c r="I69" s="25">
        <v>0</v>
      </c>
      <c r="J69" s="118"/>
      <c r="K69" s="118"/>
      <c r="L69" s="118"/>
      <c r="M69" s="118"/>
      <c r="N69" s="118"/>
      <c r="O69" s="118"/>
      <c r="P69" s="118"/>
      <c r="Q69" s="118"/>
    </row>
    <row r="70" spans="1:17" s="26" customFormat="1" x14ac:dyDescent="0.2">
      <c r="A70" s="28" t="s">
        <v>72</v>
      </c>
      <c r="B70" s="31">
        <v>900</v>
      </c>
      <c r="C70" s="24" t="s">
        <v>16</v>
      </c>
      <c r="D70" s="24" t="s">
        <v>26</v>
      </c>
      <c r="E70" s="24" t="s">
        <v>158</v>
      </c>
      <c r="F70" s="24" t="s">
        <v>73</v>
      </c>
      <c r="G70" s="25">
        <v>6.8</v>
      </c>
      <c r="H70" s="25">
        <v>0</v>
      </c>
      <c r="I70" s="25">
        <v>0</v>
      </c>
    </row>
    <row r="71" spans="1:17" s="26" customFormat="1" ht="76.5" x14ac:dyDescent="0.2">
      <c r="A71" s="18" t="s">
        <v>709</v>
      </c>
      <c r="B71" s="31">
        <v>900</v>
      </c>
      <c r="C71" s="24" t="s">
        <v>16</v>
      </c>
      <c r="D71" s="24" t="s">
        <v>26</v>
      </c>
      <c r="E71" s="24" t="s">
        <v>707</v>
      </c>
      <c r="F71" s="24"/>
      <c r="G71" s="25">
        <v>4817.5</v>
      </c>
      <c r="H71" s="25">
        <v>14551.2</v>
      </c>
      <c r="I71" s="25">
        <v>14493.1</v>
      </c>
      <c r="J71" s="118"/>
      <c r="K71" s="118"/>
      <c r="L71" s="118"/>
      <c r="M71" s="118"/>
      <c r="N71" s="118"/>
      <c r="O71" s="118"/>
      <c r="P71" s="118"/>
      <c r="Q71" s="118"/>
    </row>
    <row r="72" spans="1:17" s="26" customFormat="1" ht="25.5" x14ac:dyDescent="0.2">
      <c r="A72" s="28" t="s">
        <v>141</v>
      </c>
      <c r="B72" s="31">
        <v>900</v>
      </c>
      <c r="C72" s="24" t="s">
        <v>16</v>
      </c>
      <c r="D72" s="24" t="s">
        <v>26</v>
      </c>
      <c r="E72" s="24" t="s">
        <v>706</v>
      </c>
      <c r="F72" s="24" t="s">
        <v>65</v>
      </c>
      <c r="G72" s="25">
        <v>4817.5</v>
      </c>
      <c r="H72" s="25">
        <v>14551.2</v>
      </c>
      <c r="I72" s="25">
        <v>14493.1</v>
      </c>
      <c r="J72" s="118"/>
      <c r="K72" s="118"/>
      <c r="L72" s="118"/>
      <c r="M72" s="118"/>
      <c r="N72" s="118"/>
      <c r="O72" s="118"/>
      <c r="P72" s="118"/>
      <c r="Q72" s="118"/>
    </row>
    <row r="73" spans="1:17" s="12" customFormat="1" ht="25.5" x14ac:dyDescent="0.2">
      <c r="A73" s="17" t="s">
        <v>163</v>
      </c>
      <c r="B73" s="43">
        <v>900</v>
      </c>
      <c r="C73" s="19" t="s">
        <v>16</v>
      </c>
      <c r="D73" s="19" t="s">
        <v>26</v>
      </c>
      <c r="E73" s="19" t="s">
        <v>162</v>
      </c>
      <c r="F73" s="5"/>
      <c r="G73" s="6">
        <v>24.2</v>
      </c>
      <c r="H73" s="6">
        <v>1</v>
      </c>
      <c r="I73" s="6">
        <v>1</v>
      </c>
    </row>
    <row r="74" spans="1:17" s="26" customFormat="1" ht="25.5" x14ac:dyDescent="0.2">
      <c r="A74" s="28" t="s">
        <v>76</v>
      </c>
      <c r="B74" s="32">
        <v>900</v>
      </c>
      <c r="C74" s="24" t="s">
        <v>16</v>
      </c>
      <c r="D74" s="24" t="s">
        <v>26</v>
      </c>
      <c r="E74" s="24" t="s">
        <v>162</v>
      </c>
      <c r="F74" s="27" t="s">
        <v>68</v>
      </c>
      <c r="G74" s="25">
        <v>24.2</v>
      </c>
      <c r="H74" s="25">
        <v>0</v>
      </c>
      <c r="I74" s="25">
        <v>0</v>
      </c>
      <c r="J74" s="118"/>
      <c r="K74" s="118"/>
      <c r="L74" s="118"/>
      <c r="M74" s="118"/>
      <c r="N74" s="118"/>
      <c r="O74" s="118"/>
      <c r="P74" s="118"/>
      <c r="Q74" s="118"/>
    </row>
    <row r="75" spans="1:17" s="26" customFormat="1" ht="25.5" x14ac:dyDescent="0.2">
      <c r="A75" s="28" t="s">
        <v>141</v>
      </c>
      <c r="B75" s="32">
        <v>900</v>
      </c>
      <c r="C75" s="24" t="s">
        <v>16</v>
      </c>
      <c r="D75" s="24" t="s">
        <v>26</v>
      </c>
      <c r="E75" s="24" t="s">
        <v>162</v>
      </c>
      <c r="F75" s="27" t="s">
        <v>65</v>
      </c>
      <c r="G75" s="25"/>
      <c r="H75" s="25">
        <v>1</v>
      </c>
      <c r="I75" s="25">
        <v>1</v>
      </c>
      <c r="J75" s="118"/>
      <c r="K75" s="118"/>
      <c r="L75" s="118"/>
      <c r="M75" s="118"/>
      <c r="N75" s="118"/>
      <c r="O75" s="118"/>
      <c r="P75" s="118"/>
      <c r="Q75" s="118"/>
    </row>
    <row r="76" spans="1:17" s="95" customFormat="1" x14ac:dyDescent="0.2">
      <c r="A76" s="89" t="s">
        <v>164</v>
      </c>
      <c r="B76" s="92">
        <v>900</v>
      </c>
      <c r="C76" s="77" t="s">
        <v>16</v>
      </c>
      <c r="D76" s="77" t="s">
        <v>26</v>
      </c>
      <c r="E76" s="77" t="s">
        <v>165</v>
      </c>
      <c r="F76" s="90"/>
      <c r="G76" s="91">
        <v>132.19999999999999</v>
      </c>
      <c r="H76" s="91">
        <v>132.19999999999999</v>
      </c>
      <c r="I76" s="91">
        <v>132.19999999999999</v>
      </c>
    </row>
    <row r="77" spans="1:17" s="26" customFormat="1" ht="25.5" x14ac:dyDescent="0.2">
      <c r="A77" s="28" t="s">
        <v>141</v>
      </c>
      <c r="B77" s="32">
        <v>900</v>
      </c>
      <c r="C77" s="24" t="s">
        <v>16</v>
      </c>
      <c r="D77" s="24" t="s">
        <v>26</v>
      </c>
      <c r="E77" s="24" t="s">
        <v>165</v>
      </c>
      <c r="F77" s="27" t="s">
        <v>65</v>
      </c>
      <c r="G77" s="25">
        <v>132.19999999999999</v>
      </c>
      <c r="H77" s="25">
        <v>132.19999999999999</v>
      </c>
      <c r="I77" s="25">
        <v>132.19999999999999</v>
      </c>
      <c r="J77" s="118"/>
      <c r="K77" s="118"/>
      <c r="L77" s="118"/>
      <c r="M77" s="118"/>
      <c r="N77" s="118"/>
      <c r="O77" s="118"/>
      <c r="P77" s="118"/>
      <c r="Q77" s="118"/>
    </row>
    <row r="78" spans="1:17" s="12" customFormat="1" ht="25.5" x14ac:dyDescent="0.2">
      <c r="A78" s="17" t="s">
        <v>418</v>
      </c>
      <c r="B78" s="43">
        <v>900</v>
      </c>
      <c r="C78" s="19" t="s">
        <v>16</v>
      </c>
      <c r="D78" s="19" t="s">
        <v>26</v>
      </c>
      <c r="E78" s="19" t="s">
        <v>419</v>
      </c>
      <c r="F78" s="5"/>
      <c r="G78" s="6">
        <v>35</v>
      </c>
      <c r="H78" s="6">
        <v>35</v>
      </c>
      <c r="I78" s="6">
        <v>35</v>
      </c>
    </row>
    <row r="79" spans="1:17" s="26" customFormat="1" x14ac:dyDescent="0.2">
      <c r="A79" s="28" t="s">
        <v>69</v>
      </c>
      <c r="B79" s="32">
        <v>900</v>
      </c>
      <c r="C79" s="24" t="s">
        <v>16</v>
      </c>
      <c r="D79" s="24" t="s">
        <v>26</v>
      </c>
      <c r="E79" s="19" t="s">
        <v>419</v>
      </c>
      <c r="F79" s="27" t="s">
        <v>70</v>
      </c>
      <c r="G79" s="25">
        <v>35</v>
      </c>
      <c r="H79" s="25">
        <v>0</v>
      </c>
      <c r="I79" s="25">
        <v>0</v>
      </c>
    </row>
    <row r="80" spans="1:17" s="26" customFormat="1" ht="25.5" x14ac:dyDescent="0.2">
      <c r="A80" s="28" t="s">
        <v>141</v>
      </c>
      <c r="B80" s="32">
        <v>901</v>
      </c>
      <c r="C80" s="24" t="s">
        <v>16</v>
      </c>
      <c r="D80" s="24" t="s">
        <v>26</v>
      </c>
      <c r="E80" s="19" t="s">
        <v>419</v>
      </c>
      <c r="F80" s="27" t="s">
        <v>65</v>
      </c>
      <c r="G80" s="25"/>
      <c r="H80" s="25">
        <v>35</v>
      </c>
      <c r="I80" s="25">
        <v>35</v>
      </c>
    </row>
    <row r="81" spans="1:17" s="99" customFormat="1" x14ac:dyDescent="0.2">
      <c r="A81" s="98" t="s">
        <v>27</v>
      </c>
      <c r="B81" s="101">
        <v>900</v>
      </c>
      <c r="C81" s="65" t="s">
        <v>18</v>
      </c>
      <c r="D81" s="65"/>
      <c r="E81" s="65"/>
      <c r="F81" s="102"/>
      <c r="G81" s="68">
        <v>655</v>
      </c>
      <c r="H81" s="68">
        <v>0</v>
      </c>
      <c r="I81" s="68">
        <v>0</v>
      </c>
    </row>
    <row r="82" spans="1:17" s="74" customFormat="1" x14ac:dyDescent="0.2">
      <c r="A82" s="70" t="s">
        <v>29</v>
      </c>
      <c r="B82" s="71">
        <v>900</v>
      </c>
      <c r="C82" s="72" t="s">
        <v>18</v>
      </c>
      <c r="D82" s="72" t="s">
        <v>23</v>
      </c>
      <c r="E82" s="72"/>
      <c r="F82" s="72"/>
      <c r="G82" s="73">
        <v>655</v>
      </c>
      <c r="H82" s="73">
        <v>0</v>
      </c>
      <c r="I82" s="73">
        <v>0</v>
      </c>
    </row>
    <row r="83" spans="1:17" ht="25.5" x14ac:dyDescent="0.2">
      <c r="A83" s="18" t="s">
        <v>167</v>
      </c>
      <c r="B83" s="22">
        <v>900</v>
      </c>
      <c r="C83" s="19" t="s">
        <v>18</v>
      </c>
      <c r="D83" s="19" t="s">
        <v>23</v>
      </c>
      <c r="E83" s="19" t="s">
        <v>166</v>
      </c>
      <c r="F83" s="19"/>
      <c r="G83" s="20">
        <v>175</v>
      </c>
      <c r="H83" s="20">
        <v>0</v>
      </c>
      <c r="I83" s="20">
        <v>0</v>
      </c>
      <c r="J83" s="237"/>
      <c r="K83" s="237"/>
      <c r="L83" s="237"/>
      <c r="M83" s="237"/>
      <c r="N83" s="237"/>
      <c r="O83" s="237"/>
      <c r="P83" s="237"/>
      <c r="Q83" s="237"/>
    </row>
    <row r="84" spans="1:17" s="26" customFormat="1" ht="25.5" x14ac:dyDescent="0.2">
      <c r="A84" s="28" t="s">
        <v>76</v>
      </c>
      <c r="B84" s="31">
        <v>900</v>
      </c>
      <c r="C84" s="24" t="s">
        <v>18</v>
      </c>
      <c r="D84" s="24" t="s">
        <v>23</v>
      </c>
      <c r="E84" s="24" t="s">
        <v>166</v>
      </c>
      <c r="F84" s="24" t="s">
        <v>68</v>
      </c>
      <c r="G84" s="25">
        <v>175</v>
      </c>
      <c r="H84" s="62">
        <v>0</v>
      </c>
      <c r="I84" s="62">
        <v>0</v>
      </c>
    </row>
    <row r="85" spans="1:17" s="26" customFormat="1" ht="25.5" x14ac:dyDescent="0.2">
      <c r="A85" s="18" t="s">
        <v>710</v>
      </c>
      <c r="B85" s="31">
        <v>900</v>
      </c>
      <c r="C85" s="24" t="s">
        <v>18</v>
      </c>
      <c r="D85" s="24" t="s">
        <v>23</v>
      </c>
      <c r="E85" s="24" t="s">
        <v>711</v>
      </c>
      <c r="F85" s="24"/>
      <c r="G85" s="25">
        <v>480</v>
      </c>
      <c r="H85" s="25">
        <v>0</v>
      </c>
      <c r="I85" s="25">
        <v>0</v>
      </c>
      <c r="J85" s="118"/>
      <c r="K85" s="118"/>
      <c r="L85" s="118"/>
      <c r="M85" s="118"/>
      <c r="N85" s="118"/>
      <c r="O85" s="118"/>
      <c r="P85" s="118"/>
      <c r="Q85" s="118"/>
    </row>
    <row r="86" spans="1:17" s="26" customFormat="1" x14ac:dyDescent="0.2">
      <c r="A86" s="28" t="s">
        <v>72</v>
      </c>
      <c r="B86" s="31">
        <v>900</v>
      </c>
      <c r="C86" s="24" t="s">
        <v>18</v>
      </c>
      <c r="D86" s="24" t="s">
        <v>23</v>
      </c>
      <c r="E86" s="24" t="s">
        <v>711</v>
      </c>
      <c r="F86" s="24" t="s">
        <v>73</v>
      </c>
      <c r="G86" s="25">
        <v>480</v>
      </c>
      <c r="H86" s="25">
        <v>0</v>
      </c>
      <c r="I86" s="25">
        <v>0</v>
      </c>
      <c r="J86" s="118"/>
      <c r="K86" s="118"/>
      <c r="L86" s="118"/>
      <c r="M86" s="118"/>
      <c r="N86" s="118"/>
      <c r="O86" s="118"/>
      <c r="P86" s="118"/>
      <c r="Q86" s="118"/>
    </row>
    <row r="87" spans="1:17" s="99" customFormat="1" x14ac:dyDescent="0.2">
      <c r="A87" s="98" t="s">
        <v>30</v>
      </c>
      <c r="B87" s="64">
        <v>900</v>
      </c>
      <c r="C87" s="65" t="s">
        <v>31</v>
      </c>
      <c r="D87" s="65"/>
      <c r="E87" s="65"/>
      <c r="F87" s="65"/>
      <c r="G87" s="68">
        <v>146109.25690000001</v>
      </c>
      <c r="H87" s="68">
        <v>26831.921740000002</v>
      </c>
      <c r="I87" s="68">
        <v>100785.364</v>
      </c>
    </row>
    <row r="88" spans="1:17" s="74" customFormat="1" x14ac:dyDescent="0.2">
      <c r="A88" s="70" t="s">
        <v>32</v>
      </c>
      <c r="B88" s="71">
        <v>900</v>
      </c>
      <c r="C88" s="72" t="s">
        <v>31</v>
      </c>
      <c r="D88" s="72" t="s">
        <v>12</v>
      </c>
      <c r="E88" s="72"/>
      <c r="F88" s="72"/>
      <c r="G88" s="73">
        <v>146109.25690000001</v>
      </c>
      <c r="H88" s="73">
        <v>26831.921740000002</v>
      </c>
      <c r="I88" s="73">
        <v>100785.364</v>
      </c>
    </row>
    <row r="89" spans="1:17" ht="63.75" x14ac:dyDescent="0.2">
      <c r="A89" s="18" t="s">
        <v>696</v>
      </c>
      <c r="B89" s="22">
        <v>900</v>
      </c>
      <c r="C89" s="19" t="s">
        <v>31</v>
      </c>
      <c r="D89" s="19" t="s">
        <v>12</v>
      </c>
      <c r="E89" s="19" t="s">
        <v>719</v>
      </c>
      <c r="F89" s="19"/>
      <c r="G89" s="20">
        <v>110562.23375000001</v>
      </c>
      <c r="H89" s="20">
        <v>0</v>
      </c>
      <c r="I89" s="20">
        <v>0</v>
      </c>
      <c r="J89" s="117"/>
      <c r="K89" s="117"/>
      <c r="L89" s="117"/>
      <c r="M89" s="117"/>
      <c r="N89" s="117"/>
      <c r="O89" s="117"/>
      <c r="P89" s="117"/>
      <c r="Q89" s="117"/>
    </row>
    <row r="90" spans="1:17" ht="25.5" x14ac:dyDescent="0.2">
      <c r="A90" s="28" t="s">
        <v>83</v>
      </c>
      <c r="B90" s="22">
        <v>900</v>
      </c>
      <c r="C90" s="19" t="s">
        <v>31</v>
      </c>
      <c r="D90" s="19" t="s">
        <v>12</v>
      </c>
      <c r="E90" s="19" t="s">
        <v>719</v>
      </c>
      <c r="F90" s="19" t="s">
        <v>71</v>
      </c>
      <c r="G90" s="20">
        <v>110562.23375000001</v>
      </c>
      <c r="H90" s="20">
        <v>0</v>
      </c>
      <c r="I90" s="20">
        <v>0</v>
      </c>
      <c r="J90" s="117"/>
      <c r="K90" s="117"/>
      <c r="L90" s="117"/>
      <c r="M90" s="117"/>
      <c r="N90" s="117"/>
      <c r="O90" s="117"/>
      <c r="P90" s="117"/>
      <c r="Q90" s="117"/>
    </row>
    <row r="91" spans="1:17" s="79" customFormat="1" ht="63.75" x14ac:dyDescent="0.2">
      <c r="A91" s="75" t="s">
        <v>696</v>
      </c>
      <c r="B91" s="76">
        <v>900</v>
      </c>
      <c r="C91" s="77" t="s">
        <v>31</v>
      </c>
      <c r="D91" s="77" t="s">
        <v>12</v>
      </c>
      <c r="E91" s="77" t="s">
        <v>695</v>
      </c>
      <c r="F91" s="77"/>
      <c r="G91" s="78">
        <v>5675.6231500000004</v>
      </c>
      <c r="H91" s="78">
        <v>3946.9217400000002</v>
      </c>
      <c r="I91" s="78">
        <v>100785.364</v>
      </c>
    </row>
    <row r="92" spans="1:17" s="79" customFormat="1" ht="25.5" x14ac:dyDescent="0.2">
      <c r="A92" s="87" t="s">
        <v>83</v>
      </c>
      <c r="B92" s="76">
        <v>900</v>
      </c>
      <c r="C92" s="77" t="s">
        <v>31</v>
      </c>
      <c r="D92" s="77" t="s">
        <v>12</v>
      </c>
      <c r="E92" s="77" t="s">
        <v>695</v>
      </c>
      <c r="F92" s="77" t="s">
        <v>71</v>
      </c>
      <c r="G92" s="78">
        <v>5675.6231500000004</v>
      </c>
      <c r="H92" s="78">
        <v>3946.9217400000002</v>
      </c>
      <c r="I92" s="78">
        <v>100785.364</v>
      </c>
    </row>
    <row r="93" spans="1:17" s="79" customFormat="1" x14ac:dyDescent="0.2">
      <c r="A93" s="75" t="s">
        <v>400</v>
      </c>
      <c r="B93" s="75">
        <v>900</v>
      </c>
      <c r="C93" s="77" t="s">
        <v>31</v>
      </c>
      <c r="D93" s="77" t="s">
        <v>12</v>
      </c>
      <c r="E93" s="77" t="s">
        <v>401</v>
      </c>
      <c r="F93" s="103"/>
      <c r="G93" s="78">
        <v>1277</v>
      </c>
      <c r="H93" s="62">
        <v>0</v>
      </c>
      <c r="I93" s="62">
        <v>0</v>
      </c>
    </row>
    <row r="94" spans="1:17" s="84" customFormat="1" ht="25.5" x14ac:dyDescent="0.2">
      <c r="A94" s="87" t="s">
        <v>83</v>
      </c>
      <c r="B94" s="87">
        <v>900</v>
      </c>
      <c r="C94" s="82" t="s">
        <v>31</v>
      </c>
      <c r="D94" s="82" t="s">
        <v>12</v>
      </c>
      <c r="E94" s="82" t="s">
        <v>401</v>
      </c>
      <c r="F94" s="83" t="s">
        <v>71</v>
      </c>
      <c r="G94" s="62">
        <v>1277</v>
      </c>
      <c r="H94" s="62">
        <v>0</v>
      </c>
      <c r="I94" s="62">
        <v>0</v>
      </c>
    </row>
    <row r="95" spans="1:17" x14ac:dyDescent="0.2">
      <c r="A95" s="18" t="s">
        <v>172</v>
      </c>
      <c r="B95" s="22">
        <v>900</v>
      </c>
      <c r="C95" s="19" t="s">
        <v>31</v>
      </c>
      <c r="D95" s="19" t="s">
        <v>12</v>
      </c>
      <c r="E95" s="19" t="s">
        <v>171</v>
      </c>
      <c r="F95" s="19"/>
      <c r="G95" s="20">
        <v>17330.900000000001</v>
      </c>
      <c r="H95" s="20">
        <v>22885</v>
      </c>
      <c r="I95" s="20">
        <v>0</v>
      </c>
      <c r="J95" s="117"/>
      <c r="K95" s="117"/>
      <c r="L95" s="117"/>
      <c r="M95" s="117"/>
      <c r="N95" s="117"/>
      <c r="O95" s="117"/>
      <c r="P95" s="117"/>
      <c r="Q95" s="117"/>
    </row>
    <row r="96" spans="1:17" s="26" customFormat="1" ht="25.5" x14ac:dyDescent="0.2">
      <c r="A96" s="28" t="s">
        <v>76</v>
      </c>
      <c r="B96" s="32">
        <v>900</v>
      </c>
      <c r="C96" s="24" t="s">
        <v>31</v>
      </c>
      <c r="D96" s="24" t="s">
        <v>12</v>
      </c>
      <c r="E96" s="24" t="s">
        <v>171</v>
      </c>
      <c r="F96" s="27" t="s">
        <v>68</v>
      </c>
      <c r="G96" s="25">
        <v>14595.4</v>
      </c>
      <c r="H96" s="25">
        <v>0</v>
      </c>
      <c r="I96" s="25">
        <v>0</v>
      </c>
      <c r="J96" s="118"/>
      <c r="K96" s="118"/>
      <c r="L96" s="118"/>
      <c r="M96" s="118"/>
      <c r="N96" s="118"/>
      <c r="O96" s="118"/>
      <c r="P96" s="118"/>
      <c r="Q96" s="118"/>
    </row>
    <row r="97" spans="1:17" s="26" customFormat="1" ht="23.25" customHeight="1" x14ac:dyDescent="0.2">
      <c r="A97" s="28" t="s">
        <v>83</v>
      </c>
      <c r="B97" s="31">
        <v>900</v>
      </c>
      <c r="C97" s="24" t="s">
        <v>31</v>
      </c>
      <c r="D97" s="24" t="s">
        <v>12</v>
      </c>
      <c r="E97" s="24" t="s">
        <v>171</v>
      </c>
      <c r="F97" s="24" t="s">
        <v>71</v>
      </c>
      <c r="G97" s="25">
        <v>2735.5</v>
      </c>
      <c r="H97" s="25">
        <v>22885</v>
      </c>
      <c r="I97" s="25">
        <v>0</v>
      </c>
      <c r="J97" s="118"/>
      <c r="K97" s="118"/>
      <c r="L97" s="118"/>
      <c r="M97" s="118"/>
      <c r="N97" s="118"/>
      <c r="O97" s="118"/>
      <c r="P97" s="118"/>
      <c r="Q97" s="118"/>
    </row>
    <row r="98" spans="1:17" x14ac:dyDescent="0.2">
      <c r="A98" s="18" t="s">
        <v>174</v>
      </c>
      <c r="B98" s="22">
        <v>900</v>
      </c>
      <c r="C98" s="19" t="s">
        <v>31</v>
      </c>
      <c r="D98" s="19" t="s">
        <v>12</v>
      </c>
      <c r="E98" s="24" t="s">
        <v>173</v>
      </c>
      <c r="F98" s="19"/>
      <c r="G98" s="20">
        <v>11263.5</v>
      </c>
      <c r="H98" s="20">
        <v>0</v>
      </c>
      <c r="I98" s="20">
        <v>0</v>
      </c>
      <c r="J98" s="117"/>
      <c r="K98" s="117"/>
      <c r="L98" s="117"/>
      <c r="M98" s="117"/>
      <c r="N98" s="117"/>
      <c r="O98" s="117"/>
      <c r="P98" s="117"/>
      <c r="Q98" s="117"/>
    </row>
    <row r="99" spans="1:17" s="26" customFormat="1" ht="25.5" x14ac:dyDescent="0.2">
      <c r="A99" s="28" t="s">
        <v>76</v>
      </c>
      <c r="B99" s="22">
        <v>900</v>
      </c>
      <c r="C99" s="19" t="s">
        <v>31</v>
      </c>
      <c r="D99" s="19" t="s">
        <v>12</v>
      </c>
      <c r="E99" s="24" t="s">
        <v>173</v>
      </c>
      <c r="F99" s="24" t="s">
        <v>68</v>
      </c>
      <c r="G99" s="25">
        <v>9600</v>
      </c>
      <c r="H99" s="25">
        <v>0</v>
      </c>
      <c r="I99" s="25">
        <v>0</v>
      </c>
      <c r="J99" s="118"/>
      <c r="K99" s="118"/>
      <c r="L99" s="118"/>
      <c r="M99" s="118"/>
      <c r="N99" s="118"/>
      <c r="O99" s="118"/>
      <c r="P99" s="118"/>
      <c r="Q99" s="118"/>
    </row>
    <row r="100" spans="1:17" s="26" customFormat="1" ht="25.5" x14ac:dyDescent="0.2">
      <c r="A100" s="28" t="s">
        <v>83</v>
      </c>
      <c r="B100" s="22">
        <v>900</v>
      </c>
      <c r="C100" s="19" t="s">
        <v>31</v>
      </c>
      <c r="D100" s="19" t="s">
        <v>12</v>
      </c>
      <c r="E100" s="24" t="s">
        <v>173</v>
      </c>
      <c r="F100" s="24" t="s">
        <v>71</v>
      </c>
      <c r="G100" s="25">
        <v>1663.5</v>
      </c>
      <c r="H100" s="25">
        <v>0</v>
      </c>
      <c r="I100" s="25">
        <v>0</v>
      </c>
      <c r="J100" s="118"/>
      <c r="K100" s="118"/>
      <c r="L100" s="118"/>
      <c r="M100" s="118"/>
      <c r="N100" s="118"/>
      <c r="O100" s="118"/>
      <c r="P100" s="118"/>
      <c r="Q100" s="118"/>
    </row>
    <row r="101" spans="1:17" s="3" customFormat="1" x14ac:dyDescent="0.2">
      <c r="A101" s="13" t="s">
        <v>37</v>
      </c>
      <c r="B101" s="42">
        <v>900</v>
      </c>
      <c r="C101" s="1" t="s">
        <v>19</v>
      </c>
      <c r="D101" s="1"/>
      <c r="E101" s="1"/>
      <c r="F101" s="1"/>
      <c r="G101" s="2">
        <v>216.7</v>
      </c>
      <c r="H101" s="2">
        <v>116.7</v>
      </c>
      <c r="I101" s="2">
        <v>116.7</v>
      </c>
    </row>
    <row r="102" spans="1:17" s="9" customFormat="1" x14ac:dyDescent="0.2">
      <c r="A102" s="11" t="s">
        <v>40</v>
      </c>
      <c r="B102" s="14">
        <v>900</v>
      </c>
      <c r="C102" s="8" t="s">
        <v>19</v>
      </c>
      <c r="D102" s="8" t="s">
        <v>19</v>
      </c>
      <c r="E102" s="8"/>
      <c r="F102" s="8"/>
      <c r="G102" s="4">
        <v>216.7</v>
      </c>
      <c r="H102" s="4">
        <v>116.7</v>
      </c>
      <c r="I102" s="4">
        <v>116.7</v>
      </c>
      <c r="J102" s="127"/>
      <c r="K102" s="127"/>
      <c r="L102" s="127"/>
      <c r="M102" s="127"/>
      <c r="N102" s="127"/>
      <c r="O102" s="127"/>
      <c r="P102" s="127"/>
      <c r="Q102" s="127"/>
    </row>
    <row r="103" spans="1:17" ht="25.5" x14ac:dyDescent="0.2">
      <c r="A103" s="18" t="s">
        <v>176</v>
      </c>
      <c r="B103" s="22">
        <v>900</v>
      </c>
      <c r="C103" s="19" t="s">
        <v>19</v>
      </c>
      <c r="D103" s="19" t="s">
        <v>19</v>
      </c>
      <c r="E103" s="19" t="s">
        <v>175</v>
      </c>
      <c r="F103" s="19"/>
      <c r="G103" s="20">
        <v>216.7</v>
      </c>
      <c r="H103" s="20">
        <v>116.7</v>
      </c>
      <c r="I103" s="20">
        <v>116.7</v>
      </c>
      <c r="J103" s="117"/>
      <c r="K103" s="117"/>
      <c r="L103" s="117"/>
      <c r="M103" s="117"/>
      <c r="N103" s="117"/>
      <c r="O103" s="117"/>
      <c r="P103" s="117"/>
      <c r="Q103" s="117"/>
    </row>
    <row r="104" spans="1:17" s="26" customFormat="1" ht="25.5" x14ac:dyDescent="0.2">
      <c r="A104" s="28" t="s">
        <v>76</v>
      </c>
      <c r="B104" s="31">
        <v>900</v>
      </c>
      <c r="C104" s="24" t="s">
        <v>19</v>
      </c>
      <c r="D104" s="24" t="s">
        <v>19</v>
      </c>
      <c r="E104" s="24" t="s">
        <v>175</v>
      </c>
      <c r="F104" s="27" t="s">
        <v>68</v>
      </c>
      <c r="G104" s="25">
        <v>216.7</v>
      </c>
      <c r="H104" s="25">
        <v>116.7</v>
      </c>
      <c r="I104" s="25">
        <v>116.7</v>
      </c>
      <c r="J104" s="118"/>
      <c r="K104" s="118"/>
      <c r="L104" s="118"/>
      <c r="M104" s="118"/>
      <c r="N104" s="118"/>
      <c r="O104" s="118"/>
      <c r="P104" s="118"/>
      <c r="Q104" s="118"/>
    </row>
    <row r="105" spans="1:17" s="99" customFormat="1" x14ac:dyDescent="0.2">
      <c r="A105" s="98" t="s">
        <v>52</v>
      </c>
      <c r="B105" s="64">
        <v>900</v>
      </c>
      <c r="C105" s="65" t="s">
        <v>51</v>
      </c>
      <c r="D105" s="65"/>
      <c r="E105" s="65"/>
      <c r="F105" s="65"/>
      <c r="G105" s="68">
        <v>302984.55563000002</v>
      </c>
      <c r="H105" s="68">
        <v>367752.2</v>
      </c>
      <c r="I105" s="68">
        <v>298096</v>
      </c>
    </row>
    <row r="106" spans="1:17" s="9" customFormat="1" x14ac:dyDescent="0.2">
      <c r="A106" s="11" t="s">
        <v>55</v>
      </c>
      <c r="B106" s="14">
        <v>900</v>
      </c>
      <c r="C106" s="8" t="s">
        <v>51</v>
      </c>
      <c r="D106" s="8" t="s">
        <v>16</v>
      </c>
      <c r="E106" s="8"/>
      <c r="F106" s="8"/>
      <c r="G106" s="4">
        <v>302750.35563000001</v>
      </c>
      <c r="H106" s="4">
        <v>367638</v>
      </c>
      <c r="I106" s="4">
        <v>297981.8</v>
      </c>
      <c r="J106" s="127"/>
      <c r="K106" s="127"/>
      <c r="L106" s="127"/>
      <c r="M106" s="127"/>
      <c r="N106" s="127"/>
      <c r="O106" s="127"/>
      <c r="P106" s="127"/>
      <c r="Q106" s="127"/>
    </row>
    <row r="107" spans="1:17" ht="52.5" customHeight="1" x14ac:dyDescent="0.2">
      <c r="A107" s="18" t="s">
        <v>373</v>
      </c>
      <c r="B107" s="18">
        <v>900</v>
      </c>
      <c r="C107" s="19" t="s">
        <v>51</v>
      </c>
      <c r="D107" s="19" t="s">
        <v>16</v>
      </c>
      <c r="E107" s="19" t="s">
        <v>372</v>
      </c>
      <c r="F107" s="19"/>
      <c r="G107" s="20">
        <v>1329.3999999999999</v>
      </c>
      <c r="H107" s="20">
        <v>1330</v>
      </c>
      <c r="I107" s="20">
        <v>701.7</v>
      </c>
      <c r="J107" s="117"/>
      <c r="K107" s="117"/>
      <c r="L107" s="117"/>
      <c r="M107" s="117"/>
      <c r="N107" s="117"/>
      <c r="O107" s="117"/>
      <c r="P107" s="117"/>
      <c r="Q107" s="117"/>
    </row>
    <row r="108" spans="1:17" ht="25.5" x14ac:dyDescent="0.2">
      <c r="A108" s="28" t="s">
        <v>83</v>
      </c>
      <c r="B108" s="28">
        <v>900</v>
      </c>
      <c r="C108" s="24" t="s">
        <v>51</v>
      </c>
      <c r="D108" s="24" t="s">
        <v>16</v>
      </c>
      <c r="E108" s="24" t="s">
        <v>372</v>
      </c>
      <c r="F108" s="24" t="s">
        <v>71</v>
      </c>
      <c r="G108" s="25">
        <v>1329.3999999999999</v>
      </c>
      <c r="H108" s="25">
        <v>1330</v>
      </c>
      <c r="I108" s="25">
        <v>701.7</v>
      </c>
      <c r="J108" s="117"/>
      <c r="K108" s="117"/>
      <c r="L108" s="117"/>
      <c r="M108" s="117"/>
      <c r="N108" s="117"/>
      <c r="O108" s="117"/>
      <c r="P108" s="117"/>
      <c r="Q108" s="117"/>
    </row>
    <row r="109" spans="1:17" ht="89.25" x14ac:dyDescent="0.2">
      <c r="A109" s="18" t="s">
        <v>414</v>
      </c>
      <c r="B109" s="22">
        <v>900</v>
      </c>
      <c r="C109" s="19" t="s">
        <v>51</v>
      </c>
      <c r="D109" s="19" t="s">
        <v>16</v>
      </c>
      <c r="E109" s="19" t="s">
        <v>413</v>
      </c>
      <c r="F109" s="19"/>
      <c r="G109" s="20">
        <v>2515.8000000000002</v>
      </c>
      <c r="H109" s="20">
        <v>0</v>
      </c>
      <c r="I109" s="20">
        <v>0</v>
      </c>
      <c r="J109" s="117"/>
      <c r="K109" s="117"/>
      <c r="L109" s="117"/>
      <c r="M109" s="117"/>
      <c r="N109" s="117"/>
      <c r="O109" s="117"/>
      <c r="P109" s="117"/>
      <c r="Q109" s="117"/>
    </row>
    <row r="110" spans="1:17" x14ac:dyDescent="0.2">
      <c r="A110" s="59" t="s">
        <v>69</v>
      </c>
      <c r="B110" s="28">
        <v>900</v>
      </c>
      <c r="C110" s="24" t="s">
        <v>51</v>
      </c>
      <c r="D110" s="24" t="s">
        <v>16</v>
      </c>
      <c r="E110" s="24" t="s">
        <v>413</v>
      </c>
      <c r="F110" s="24" t="s">
        <v>70</v>
      </c>
      <c r="G110" s="20">
        <v>2515.8000000000002</v>
      </c>
      <c r="H110" s="25">
        <v>0</v>
      </c>
      <c r="I110" s="25">
        <v>0</v>
      </c>
      <c r="J110" s="117"/>
      <c r="K110" s="117"/>
      <c r="L110" s="117"/>
      <c r="M110" s="117"/>
      <c r="N110" s="117"/>
      <c r="O110" s="117"/>
      <c r="P110" s="117"/>
      <c r="Q110" s="117"/>
    </row>
    <row r="111" spans="1:17" ht="63.75" x14ac:dyDescent="0.2">
      <c r="A111" s="18" t="s">
        <v>179</v>
      </c>
      <c r="B111" s="22">
        <v>900</v>
      </c>
      <c r="C111" s="19" t="s">
        <v>51</v>
      </c>
      <c r="D111" s="19" t="s">
        <v>16</v>
      </c>
      <c r="E111" s="19" t="s">
        <v>89</v>
      </c>
      <c r="F111" s="19"/>
      <c r="G111" s="20">
        <v>3773.7</v>
      </c>
      <c r="H111" s="20">
        <v>2527.5</v>
      </c>
      <c r="I111" s="20">
        <v>1262.5</v>
      </c>
      <c r="J111" s="117"/>
      <c r="K111" s="117"/>
      <c r="L111" s="117"/>
      <c r="M111" s="117"/>
      <c r="N111" s="117"/>
      <c r="O111" s="117"/>
      <c r="P111" s="117"/>
      <c r="Q111" s="117"/>
    </row>
    <row r="112" spans="1:17" x14ac:dyDescent="0.2">
      <c r="A112" s="59" t="s">
        <v>69</v>
      </c>
      <c r="B112" s="28">
        <v>900</v>
      </c>
      <c r="C112" s="24" t="s">
        <v>51</v>
      </c>
      <c r="D112" s="24" t="s">
        <v>16</v>
      </c>
      <c r="E112" s="24" t="s">
        <v>89</v>
      </c>
      <c r="F112" s="24" t="s">
        <v>70</v>
      </c>
      <c r="G112" s="20">
        <v>3773.7</v>
      </c>
      <c r="H112" s="20">
        <v>2527.5</v>
      </c>
      <c r="I112" s="20">
        <v>1262.5</v>
      </c>
      <c r="J112" s="117"/>
      <c r="K112" s="117"/>
      <c r="L112" s="117"/>
      <c r="M112" s="117"/>
      <c r="N112" s="117"/>
      <c r="O112" s="117"/>
      <c r="P112" s="117"/>
      <c r="Q112" s="117"/>
    </row>
    <row r="113" spans="1:17" ht="25.5" x14ac:dyDescent="0.2">
      <c r="A113" s="18" t="s">
        <v>351</v>
      </c>
      <c r="B113" s="22">
        <v>900</v>
      </c>
      <c r="C113" s="19" t="s">
        <v>51</v>
      </c>
      <c r="D113" s="19" t="s">
        <v>16</v>
      </c>
      <c r="E113" s="19" t="s">
        <v>350</v>
      </c>
      <c r="F113" s="19"/>
      <c r="G113" s="20">
        <v>25414.9</v>
      </c>
      <c r="H113" s="20">
        <v>21142.799999999999</v>
      </c>
      <c r="I113" s="20">
        <v>21142.799999999999</v>
      </c>
      <c r="J113" s="117"/>
      <c r="K113" s="117"/>
      <c r="L113" s="117"/>
      <c r="M113" s="117"/>
      <c r="N113" s="117"/>
      <c r="O113" s="117"/>
      <c r="P113" s="117"/>
      <c r="Q113" s="117"/>
    </row>
    <row r="114" spans="1:17" s="26" customFormat="1" ht="25.5" x14ac:dyDescent="0.2">
      <c r="A114" s="28" t="s">
        <v>83</v>
      </c>
      <c r="B114" s="28">
        <v>900</v>
      </c>
      <c r="C114" s="24" t="s">
        <v>51</v>
      </c>
      <c r="D114" s="24" t="s">
        <v>16</v>
      </c>
      <c r="E114" s="24" t="s">
        <v>350</v>
      </c>
      <c r="F114" s="24" t="s">
        <v>71</v>
      </c>
      <c r="G114" s="25">
        <v>25414.9</v>
      </c>
      <c r="H114" s="25">
        <v>21142.799999999999</v>
      </c>
      <c r="I114" s="25">
        <v>21142.799999999999</v>
      </c>
      <c r="J114" s="118"/>
      <c r="K114" s="118"/>
      <c r="L114" s="118"/>
      <c r="M114" s="118"/>
      <c r="N114" s="118"/>
      <c r="O114" s="118"/>
      <c r="P114" s="118"/>
      <c r="Q114" s="118"/>
    </row>
    <row r="115" spans="1:17" ht="38.25" x14ac:dyDescent="0.2">
      <c r="A115" s="18" t="s">
        <v>341</v>
      </c>
      <c r="B115" s="22">
        <v>900</v>
      </c>
      <c r="C115" s="19" t="s">
        <v>51</v>
      </c>
      <c r="D115" s="19" t="s">
        <v>16</v>
      </c>
      <c r="E115" s="19" t="s">
        <v>170</v>
      </c>
      <c r="F115" s="19"/>
      <c r="G115" s="20">
        <v>1589.9</v>
      </c>
      <c r="H115" s="20">
        <v>0</v>
      </c>
      <c r="I115" s="20">
        <v>0</v>
      </c>
      <c r="J115" s="237"/>
      <c r="K115" s="237"/>
      <c r="L115" s="237"/>
      <c r="M115" s="237"/>
      <c r="N115" s="237"/>
      <c r="O115" s="237"/>
      <c r="P115" s="237"/>
      <c r="Q115" s="237"/>
    </row>
    <row r="116" spans="1:17" s="26" customFormat="1" ht="25.5" x14ac:dyDescent="0.2">
      <c r="A116" s="28" t="s">
        <v>83</v>
      </c>
      <c r="B116" s="31">
        <v>900</v>
      </c>
      <c r="C116" s="24" t="s">
        <v>51</v>
      </c>
      <c r="D116" s="24" t="s">
        <v>16</v>
      </c>
      <c r="E116" s="24" t="s">
        <v>170</v>
      </c>
      <c r="F116" s="24" t="s">
        <v>71</v>
      </c>
      <c r="G116" s="25">
        <v>1589.9</v>
      </c>
      <c r="H116" s="62">
        <v>0</v>
      </c>
      <c r="I116" s="62">
        <v>0</v>
      </c>
    </row>
    <row r="117" spans="1:17" ht="25.5" x14ac:dyDescent="0.2">
      <c r="A117" s="18" t="s">
        <v>386</v>
      </c>
      <c r="B117" s="22">
        <v>900</v>
      </c>
      <c r="C117" s="19" t="s">
        <v>51</v>
      </c>
      <c r="D117" s="19" t="s">
        <v>16</v>
      </c>
      <c r="E117" s="19" t="s">
        <v>385</v>
      </c>
      <c r="F117" s="19"/>
      <c r="G117" s="20">
        <v>5168.35563</v>
      </c>
      <c r="H117" s="20">
        <v>1966.3</v>
      </c>
      <c r="I117" s="20">
        <v>1966.3</v>
      </c>
      <c r="J117" s="117"/>
      <c r="K117" s="117"/>
      <c r="L117" s="117"/>
      <c r="M117" s="117"/>
      <c r="N117" s="117"/>
      <c r="O117" s="117"/>
      <c r="P117" s="117"/>
      <c r="Q117" s="117"/>
    </row>
    <row r="118" spans="1:17" s="26" customFormat="1" x14ac:dyDescent="0.2">
      <c r="A118" s="59" t="s">
        <v>69</v>
      </c>
      <c r="B118" s="31">
        <v>900</v>
      </c>
      <c r="C118" s="24" t="s">
        <v>51</v>
      </c>
      <c r="D118" s="24" t="s">
        <v>16</v>
      </c>
      <c r="E118" s="24" t="s">
        <v>385</v>
      </c>
      <c r="F118" s="29">
        <v>300</v>
      </c>
      <c r="G118" s="25">
        <v>5168.35563</v>
      </c>
      <c r="H118" s="25">
        <v>1966.3</v>
      </c>
      <c r="I118" s="25">
        <v>1966.3</v>
      </c>
      <c r="J118" s="118"/>
      <c r="K118" s="118"/>
      <c r="L118" s="118"/>
      <c r="M118" s="118"/>
      <c r="N118" s="118"/>
      <c r="O118" s="118"/>
      <c r="P118" s="118"/>
      <c r="Q118" s="118"/>
    </row>
    <row r="119" spans="1:17" s="79" customFormat="1" ht="25.5" x14ac:dyDescent="0.2">
      <c r="A119" s="75" t="s">
        <v>169</v>
      </c>
      <c r="B119" s="76">
        <v>900</v>
      </c>
      <c r="C119" s="77" t="s">
        <v>51</v>
      </c>
      <c r="D119" s="77" t="s">
        <v>16</v>
      </c>
      <c r="E119" s="77" t="s">
        <v>90</v>
      </c>
      <c r="F119" s="77"/>
      <c r="G119" s="78">
        <v>262958.3</v>
      </c>
      <c r="H119" s="78">
        <v>340671.4</v>
      </c>
      <c r="I119" s="78">
        <v>272908.5</v>
      </c>
    </row>
    <row r="120" spans="1:17" s="84" customFormat="1" x14ac:dyDescent="0.2">
      <c r="A120" s="87" t="s">
        <v>69</v>
      </c>
      <c r="B120" s="86">
        <v>900</v>
      </c>
      <c r="C120" s="82" t="s">
        <v>51</v>
      </c>
      <c r="D120" s="82" t="s">
        <v>16</v>
      </c>
      <c r="E120" s="82" t="s">
        <v>90</v>
      </c>
      <c r="F120" s="82" t="s">
        <v>70</v>
      </c>
      <c r="G120" s="62">
        <v>262958.3</v>
      </c>
      <c r="H120" s="62">
        <v>340671.4</v>
      </c>
      <c r="I120" s="62">
        <v>272908.5</v>
      </c>
    </row>
    <row r="121" spans="1:17" s="9" customFormat="1" x14ac:dyDescent="0.2">
      <c r="A121" s="11" t="s">
        <v>57</v>
      </c>
      <c r="B121" s="14">
        <v>900</v>
      </c>
      <c r="C121" s="8" t="s">
        <v>51</v>
      </c>
      <c r="D121" s="8" t="s">
        <v>50</v>
      </c>
      <c r="E121" s="8"/>
      <c r="F121" s="8"/>
      <c r="G121" s="4">
        <v>234.2</v>
      </c>
      <c r="H121" s="4">
        <v>114.19999999999999</v>
      </c>
      <c r="I121" s="4">
        <v>114.19999999999999</v>
      </c>
    </row>
    <row r="122" spans="1:17" x14ac:dyDescent="0.2">
      <c r="A122" s="18" t="s">
        <v>185</v>
      </c>
      <c r="B122" s="22">
        <v>900</v>
      </c>
      <c r="C122" s="19" t="s">
        <v>51</v>
      </c>
      <c r="D122" s="19" t="s">
        <v>50</v>
      </c>
      <c r="E122" s="19" t="s">
        <v>184</v>
      </c>
      <c r="F122" s="19"/>
      <c r="G122" s="20">
        <v>114.19999999999999</v>
      </c>
      <c r="H122" s="20">
        <v>114.19999999999999</v>
      </c>
      <c r="I122" s="20">
        <v>114.19999999999999</v>
      </c>
      <c r="J122" s="237"/>
      <c r="K122" s="237"/>
      <c r="L122" s="237"/>
      <c r="M122" s="237"/>
      <c r="N122" s="237"/>
      <c r="O122" s="237"/>
      <c r="P122" s="237"/>
      <c r="Q122" s="237"/>
    </row>
    <row r="123" spans="1:17" s="26" customFormat="1" ht="25.5" x14ac:dyDescent="0.2">
      <c r="A123" s="28" t="s">
        <v>76</v>
      </c>
      <c r="B123" s="23">
        <v>900</v>
      </c>
      <c r="C123" s="24" t="s">
        <v>51</v>
      </c>
      <c r="D123" s="24" t="s">
        <v>50</v>
      </c>
      <c r="E123" s="24" t="s">
        <v>184</v>
      </c>
      <c r="F123" s="27" t="s">
        <v>68</v>
      </c>
      <c r="G123" s="25">
        <v>0.6</v>
      </c>
      <c r="H123" s="25">
        <v>0.6</v>
      </c>
      <c r="I123" s="25">
        <v>0.6</v>
      </c>
    </row>
    <row r="124" spans="1:17" s="26" customFormat="1" x14ac:dyDescent="0.2">
      <c r="A124" s="28" t="s">
        <v>69</v>
      </c>
      <c r="B124" s="31">
        <v>900</v>
      </c>
      <c r="C124" s="24" t="s">
        <v>51</v>
      </c>
      <c r="D124" s="24" t="s">
        <v>50</v>
      </c>
      <c r="E124" s="24" t="s">
        <v>184</v>
      </c>
      <c r="F124" s="24" t="s">
        <v>70</v>
      </c>
      <c r="G124" s="25">
        <v>113.6</v>
      </c>
      <c r="H124" s="25">
        <v>113.6</v>
      </c>
      <c r="I124" s="25">
        <v>113.6</v>
      </c>
    </row>
    <row r="125" spans="1:17" x14ac:dyDescent="0.2">
      <c r="A125" s="18" t="s">
        <v>322</v>
      </c>
      <c r="B125" s="22">
        <v>900</v>
      </c>
      <c r="C125" s="19" t="s">
        <v>51</v>
      </c>
      <c r="D125" s="19" t="s">
        <v>50</v>
      </c>
      <c r="E125" s="19" t="s">
        <v>323</v>
      </c>
      <c r="F125" s="19"/>
      <c r="G125" s="20">
        <v>120</v>
      </c>
      <c r="H125" s="20">
        <v>0</v>
      </c>
      <c r="I125" s="20">
        <v>0</v>
      </c>
      <c r="J125" s="117"/>
      <c r="K125" s="117"/>
      <c r="L125" s="117"/>
      <c r="M125" s="117"/>
      <c r="N125" s="117"/>
      <c r="O125" s="117"/>
      <c r="P125" s="117"/>
      <c r="Q125" s="117"/>
    </row>
    <row r="126" spans="1:17" s="26" customFormat="1" ht="63.75" x14ac:dyDescent="0.2">
      <c r="A126" s="30" t="s">
        <v>66</v>
      </c>
      <c r="B126" s="31">
        <v>900</v>
      </c>
      <c r="C126" s="24" t="s">
        <v>51</v>
      </c>
      <c r="D126" s="24" t="s">
        <v>50</v>
      </c>
      <c r="E126" s="24" t="s">
        <v>323</v>
      </c>
      <c r="F126" s="24" t="s">
        <v>67</v>
      </c>
      <c r="G126" s="25">
        <v>60</v>
      </c>
      <c r="H126" s="25">
        <v>0</v>
      </c>
      <c r="I126" s="25">
        <v>0</v>
      </c>
      <c r="J126" s="118"/>
      <c r="K126" s="118"/>
      <c r="L126" s="118"/>
      <c r="M126" s="118"/>
      <c r="N126" s="118"/>
      <c r="O126" s="118"/>
      <c r="P126" s="118"/>
      <c r="Q126" s="118"/>
    </row>
    <row r="127" spans="1:17" s="26" customFormat="1" ht="25.5" x14ac:dyDescent="0.2">
      <c r="A127" s="28" t="s">
        <v>141</v>
      </c>
      <c r="B127" s="31">
        <v>900</v>
      </c>
      <c r="C127" s="24" t="s">
        <v>51</v>
      </c>
      <c r="D127" s="24" t="s">
        <v>50</v>
      </c>
      <c r="E127" s="24" t="s">
        <v>323</v>
      </c>
      <c r="F127" s="24" t="s">
        <v>65</v>
      </c>
      <c r="G127" s="25">
        <v>60</v>
      </c>
      <c r="H127" s="25">
        <v>0</v>
      </c>
      <c r="I127" s="25">
        <v>0</v>
      </c>
    </row>
    <row r="128" spans="1:17" s="3" customFormat="1" ht="25.5" x14ac:dyDescent="0.2">
      <c r="A128" s="13" t="s">
        <v>20</v>
      </c>
      <c r="B128" s="42">
        <v>900</v>
      </c>
      <c r="C128" s="1" t="s">
        <v>61</v>
      </c>
      <c r="D128" s="1"/>
      <c r="E128" s="1"/>
      <c r="F128" s="1"/>
      <c r="G128" s="2">
        <v>3503.9</v>
      </c>
      <c r="H128" s="2">
        <v>3503.9</v>
      </c>
      <c r="I128" s="2">
        <v>3503.9</v>
      </c>
    </row>
    <row r="129" spans="1:17" s="9" customFormat="1" ht="25.5" x14ac:dyDescent="0.2">
      <c r="A129" s="11" t="s">
        <v>3</v>
      </c>
      <c r="B129" s="14">
        <v>900</v>
      </c>
      <c r="C129" s="8" t="s">
        <v>61</v>
      </c>
      <c r="D129" s="8" t="s">
        <v>12</v>
      </c>
      <c r="E129" s="8"/>
      <c r="F129" s="8"/>
      <c r="G129" s="4">
        <v>3503.9</v>
      </c>
      <c r="H129" s="4">
        <v>3503.9</v>
      </c>
      <c r="I129" s="4">
        <v>3503.9</v>
      </c>
    </row>
    <row r="130" spans="1:17" ht="25.5" x14ac:dyDescent="0.2">
      <c r="A130" s="18" t="s">
        <v>187</v>
      </c>
      <c r="B130" s="22">
        <v>900</v>
      </c>
      <c r="C130" s="19" t="s">
        <v>61</v>
      </c>
      <c r="D130" s="19" t="s">
        <v>12</v>
      </c>
      <c r="E130" s="19" t="s">
        <v>186</v>
      </c>
      <c r="F130" s="19"/>
      <c r="G130" s="20">
        <v>3503.9</v>
      </c>
      <c r="H130" s="20">
        <v>3503.9</v>
      </c>
      <c r="I130" s="20">
        <v>3503.9</v>
      </c>
      <c r="J130" s="237"/>
      <c r="K130" s="237"/>
      <c r="L130" s="237"/>
      <c r="M130" s="237"/>
      <c r="N130" s="237"/>
      <c r="O130" s="237"/>
      <c r="P130" s="237"/>
      <c r="Q130" s="237"/>
    </row>
    <row r="131" spans="1:17" s="26" customFormat="1" x14ac:dyDescent="0.2">
      <c r="A131" s="28" t="s">
        <v>74</v>
      </c>
      <c r="B131" s="31">
        <v>900</v>
      </c>
      <c r="C131" s="24" t="s">
        <v>61</v>
      </c>
      <c r="D131" s="24" t="s">
        <v>12</v>
      </c>
      <c r="E131" s="19" t="s">
        <v>186</v>
      </c>
      <c r="F131" s="24" t="s">
        <v>75</v>
      </c>
      <c r="G131" s="25">
        <v>3503.9</v>
      </c>
      <c r="H131" s="25">
        <v>3503.9</v>
      </c>
      <c r="I131" s="25">
        <v>3503.9</v>
      </c>
    </row>
    <row r="132" spans="1:17" x14ac:dyDescent="0.2">
      <c r="A132" s="18" t="s">
        <v>363</v>
      </c>
      <c r="B132" s="22">
        <v>900</v>
      </c>
      <c r="C132" s="19" t="s">
        <v>364</v>
      </c>
      <c r="D132" s="19"/>
      <c r="E132" s="19"/>
      <c r="F132" s="19"/>
      <c r="G132" s="20"/>
      <c r="H132" s="20">
        <v>22381</v>
      </c>
      <c r="I132" s="20">
        <v>40567.9</v>
      </c>
      <c r="J132" s="117"/>
      <c r="K132" s="117"/>
      <c r="L132" s="117"/>
      <c r="M132" s="117"/>
      <c r="N132" s="117"/>
      <c r="O132" s="117"/>
      <c r="P132" s="117"/>
      <c r="Q132" s="117"/>
    </row>
    <row r="133" spans="1:17" x14ac:dyDescent="0.2">
      <c r="A133" s="18" t="s">
        <v>363</v>
      </c>
      <c r="B133" s="22">
        <v>900</v>
      </c>
      <c r="C133" s="19" t="s">
        <v>364</v>
      </c>
      <c r="D133" s="16" t="s">
        <v>364</v>
      </c>
      <c r="E133" s="19"/>
      <c r="F133" s="19"/>
      <c r="G133" s="20"/>
      <c r="H133" s="20">
        <v>22381</v>
      </c>
      <c r="I133" s="20">
        <v>40567.9</v>
      </c>
      <c r="J133" s="117"/>
      <c r="K133" s="117"/>
      <c r="L133" s="117"/>
      <c r="M133" s="117"/>
      <c r="N133" s="117"/>
      <c r="O133" s="117"/>
      <c r="P133" s="117"/>
      <c r="Q133" s="117"/>
    </row>
    <row r="134" spans="1:17" x14ac:dyDescent="0.2">
      <c r="A134" s="18" t="s">
        <v>363</v>
      </c>
      <c r="B134" s="22">
        <v>900</v>
      </c>
      <c r="C134" s="19" t="s">
        <v>364</v>
      </c>
      <c r="D134" s="19" t="s">
        <v>364</v>
      </c>
      <c r="E134" s="19" t="s">
        <v>365</v>
      </c>
      <c r="F134" s="19"/>
      <c r="G134" s="20"/>
      <c r="H134" s="20">
        <v>22381</v>
      </c>
      <c r="I134" s="20">
        <v>40567.9</v>
      </c>
      <c r="J134" s="117"/>
      <c r="K134" s="117"/>
      <c r="L134" s="117"/>
      <c r="M134" s="117"/>
      <c r="N134" s="117"/>
      <c r="O134" s="117"/>
      <c r="P134" s="117"/>
      <c r="Q134" s="117"/>
    </row>
    <row r="135" spans="1:17" s="26" customFormat="1" x14ac:dyDescent="0.2">
      <c r="A135" s="28" t="s">
        <v>363</v>
      </c>
      <c r="B135" s="31">
        <v>900</v>
      </c>
      <c r="C135" s="24" t="s">
        <v>364</v>
      </c>
      <c r="D135" s="24" t="s">
        <v>364</v>
      </c>
      <c r="E135" s="19" t="s">
        <v>365</v>
      </c>
      <c r="F135" s="24" t="s">
        <v>73</v>
      </c>
      <c r="G135" s="25"/>
      <c r="H135" s="25">
        <v>22381</v>
      </c>
      <c r="I135" s="25">
        <v>40567.9</v>
      </c>
      <c r="J135" s="118"/>
      <c r="K135" s="118"/>
      <c r="L135" s="118"/>
      <c r="M135" s="118"/>
      <c r="N135" s="118"/>
      <c r="O135" s="118"/>
      <c r="P135" s="118"/>
      <c r="Q135" s="118"/>
    </row>
    <row r="136" spans="1:17" s="9" customFormat="1" ht="38.25" x14ac:dyDescent="0.2">
      <c r="A136" s="40" t="s">
        <v>34</v>
      </c>
      <c r="B136" s="37">
        <v>904</v>
      </c>
      <c r="C136" s="41"/>
      <c r="D136" s="41"/>
      <c r="E136" s="41"/>
      <c r="F136" s="41"/>
      <c r="G136" s="39">
        <v>77159.299999999988</v>
      </c>
      <c r="H136" s="39">
        <v>63121.3</v>
      </c>
      <c r="I136" s="39">
        <v>62309.3</v>
      </c>
    </row>
    <row r="137" spans="1:17" s="3" customFormat="1" x14ac:dyDescent="0.2">
      <c r="A137" s="13" t="s">
        <v>0</v>
      </c>
      <c r="B137" s="42">
        <v>904</v>
      </c>
      <c r="C137" s="1" t="s">
        <v>21</v>
      </c>
      <c r="D137" s="1"/>
      <c r="E137" s="1"/>
      <c r="F137" s="1"/>
      <c r="G137" s="2">
        <v>77159.299999999988</v>
      </c>
      <c r="H137" s="2">
        <v>63121.3</v>
      </c>
      <c r="I137" s="2">
        <v>62309.3</v>
      </c>
      <c r="J137" s="126"/>
      <c r="K137" s="126"/>
      <c r="L137" s="126"/>
      <c r="M137" s="126"/>
      <c r="N137" s="126"/>
      <c r="O137" s="126"/>
      <c r="P137" s="126"/>
      <c r="Q137" s="126"/>
    </row>
    <row r="138" spans="1:17" s="9" customFormat="1" x14ac:dyDescent="0.2">
      <c r="A138" s="11" t="s">
        <v>1</v>
      </c>
      <c r="B138" s="14">
        <v>904</v>
      </c>
      <c r="C138" s="8" t="s">
        <v>21</v>
      </c>
      <c r="D138" s="8" t="s">
        <v>12</v>
      </c>
      <c r="E138" s="8"/>
      <c r="F138" s="8"/>
      <c r="G138" s="4">
        <v>71617.599999999991</v>
      </c>
      <c r="H138" s="4">
        <v>58500.800000000003</v>
      </c>
      <c r="I138" s="4">
        <v>57688.800000000003</v>
      </c>
      <c r="J138" s="127"/>
      <c r="K138" s="127"/>
      <c r="L138" s="127"/>
      <c r="M138" s="127"/>
      <c r="N138" s="127"/>
      <c r="O138" s="127"/>
      <c r="P138" s="127"/>
      <c r="Q138" s="127"/>
    </row>
    <row r="139" spans="1:17" ht="39.75" customHeight="1" x14ac:dyDescent="0.2">
      <c r="A139" s="18" t="s">
        <v>444</v>
      </c>
      <c r="B139" s="22">
        <v>904</v>
      </c>
      <c r="C139" s="19" t="s">
        <v>21</v>
      </c>
      <c r="D139" s="19" t="s">
        <v>12</v>
      </c>
      <c r="E139" s="19" t="s">
        <v>451</v>
      </c>
      <c r="F139" s="19"/>
      <c r="G139" s="20">
        <v>2800</v>
      </c>
      <c r="H139" s="20">
        <v>0</v>
      </c>
      <c r="I139" s="20">
        <v>0</v>
      </c>
      <c r="J139" s="117"/>
      <c r="K139" s="117"/>
      <c r="L139" s="117"/>
      <c r="M139" s="117"/>
      <c r="N139" s="117"/>
      <c r="O139" s="117"/>
      <c r="P139" s="117"/>
      <c r="Q139" s="117"/>
    </row>
    <row r="140" spans="1:17" s="26" customFormat="1" ht="25.5" x14ac:dyDescent="0.2">
      <c r="A140" s="28" t="s">
        <v>141</v>
      </c>
      <c r="B140" s="31">
        <v>904</v>
      </c>
      <c r="C140" s="24" t="s">
        <v>21</v>
      </c>
      <c r="D140" s="24" t="s">
        <v>12</v>
      </c>
      <c r="E140" s="19" t="s">
        <v>451</v>
      </c>
      <c r="F140" s="24" t="s">
        <v>65</v>
      </c>
      <c r="G140" s="25">
        <v>2800</v>
      </c>
      <c r="H140" s="25">
        <v>0</v>
      </c>
      <c r="I140" s="25">
        <v>0</v>
      </c>
      <c r="J140" s="118"/>
      <c r="K140" s="118"/>
      <c r="L140" s="118"/>
      <c r="M140" s="118"/>
      <c r="N140" s="118"/>
      <c r="O140" s="118"/>
      <c r="P140" s="118"/>
      <c r="Q140" s="118"/>
    </row>
    <row r="141" spans="1:17" s="12" customFormat="1" ht="25.5" x14ac:dyDescent="0.2">
      <c r="A141" s="17" t="s">
        <v>163</v>
      </c>
      <c r="B141" s="44">
        <v>904</v>
      </c>
      <c r="C141" s="19" t="s">
        <v>21</v>
      </c>
      <c r="D141" s="19" t="s">
        <v>12</v>
      </c>
      <c r="E141" s="19" t="s">
        <v>162</v>
      </c>
      <c r="F141" s="5"/>
      <c r="G141" s="6">
        <v>163.1</v>
      </c>
      <c r="H141" s="6">
        <v>120.3</v>
      </c>
      <c r="I141" s="6">
        <v>120.3</v>
      </c>
      <c r="J141" s="128"/>
      <c r="K141" s="128"/>
      <c r="L141" s="128"/>
      <c r="M141" s="128"/>
      <c r="N141" s="128"/>
      <c r="O141" s="128"/>
      <c r="P141" s="128"/>
      <c r="Q141" s="128"/>
    </row>
    <row r="142" spans="1:17" s="26" customFormat="1" ht="25.5" x14ac:dyDescent="0.2">
      <c r="A142" s="28" t="s">
        <v>141</v>
      </c>
      <c r="B142" s="31">
        <v>904</v>
      </c>
      <c r="C142" s="24" t="s">
        <v>21</v>
      </c>
      <c r="D142" s="24" t="s">
        <v>12</v>
      </c>
      <c r="E142" s="24" t="s">
        <v>162</v>
      </c>
      <c r="F142" s="24" t="s">
        <v>65</v>
      </c>
      <c r="G142" s="25">
        <v>163.1</v>
      </c>
      <c r="H142" s="25">
        <v>120.3</v>
      </c>
      <c r="I142" s="25">
        <v>120.3</v>
      </c>
      <c r="J142" s="118"/>
      <c r="K142" s="118"/>
      <c r="L142" s="118"/>
      <c r="M142" s="118"/>
      <c r="N142" s="118"/>
      <c r="O142" s="118"/>
      <c r="P142" s="118"/>
      <c r="Q142" s="118"/>
    </row>
    <row r="143" spans="1:17" ht="13.5" customHeight="1" x14ac:dyDescent="0.2">
      <c r="A143" s="18" t="s">
        <v>174</v>
      </c>
      <c r="B143" s="22">
        <v>904</v>
      </c>
      <c r="C143" s="19" t="s">
        <v>21</v>
      </c>
      <c r="D143" s="19" t="s">
        <v>12</v>
      </c>
      <c r="E143" s="24" t="s">
        <v>173</v>
      </c>
      <c r="F143" s="19"/>
      <c r="G143" s="20">
        <v>3529.2</v>
      </c>
      <c r="H143" s="20">
        <v>0</v>
      </c>
      <c r="I143" s="20">
        <v>0</v>
      </c>
      <c r="J143" s="117"/>
      <c r="K143" s="117"/>
      <c r="L143" s="117"/>
      <c r="M143" s="117"/>
      <c r="N143" s="117"/>
      <c r="O143" s="117"/>
      <c r="P143" s="117"/>
      <c r="Q143" s="117"/>
    </row>
    <row r="144" spans="1:17" s="26" customFormat="1" ht="25.5" x14ac:dyDescent="0.2">
      <c r="A144" s="28" t="s">
        <v>83</v>
      </c>
      <c r="B144" s="22">
        <v>904</v>
      </c>
      <c r="C144" s="24" t="s">
        <v>21</v>
      </c>
      <c r="D144" s="24" t="s">
        <v>12</v>
      </c>
      <c r="E144" s="24" t="s">
        <v>173</v>
      </c>
      <c r="F144" s="24" t="s">
        <v>71</v>
      </c>
      <c r="G144" s="25">
        <v>3529.2</v>
      </c>
      <c r="H144" s="25">
        <v>0</v>
      </c>
      <c r="I144" s="25">
        <v>0</v>
      </c>
      <c r="J144" s="118"/>
      <c r="K144" s="118"/>
      <c r="L144" s="118"/>
      <c r="M144" s="118"/>
      <c r="N144" s="118"/>
      <c r="O144" s="118"/>
      <c r="P144" s="118"/>
      <c r="Q144" s="118"/>
    </row>
    <row r="145" spans="1:17" ht="25.5" x14ac:dyDescent="0.2">
      <c r="A145" s="18" t="s">
        <v>191</v>
      </c>
      <c r="B145" s="22">
        <v>904</v>
      </c>
      <c r="C145" s="19" t="s">
        <v>21</v>
      </c>
      <c r="D145" s="19" t="s">
        <v>12</v>
      </c>
      <c r="E145" s="19" t="s">
        <v>190</v>
      </c>
      <c r="F145" s="19"/>
      <c r="G145" s="20">
        <v>15395.400000000001</v>
      </c>
      <c r="H145" s="20">
        <v>13695</v>
      </c>
      <c r="I145" s="20">
        <v>13302.199999999999</v>
      </c>
      <c r="J145" s="117"/>
      <c r="K145" s="117"/>
      <c r="L145" s="117"/>
      <c r="M145" s="117"/>
      <c r="N145" s="117"/>
      <c r="O145" s="117"/>
      <c r="P145" s="117"/>
      <c r="Q145" s="117"/>
    </row>
    <row r="146" spans="1:17" s="26" customFormat="1" ht="25.5" x14ac:dyDescent="0.2">
      <c r="A146" s="28" t="s">
        <v>141</v>
      </c>
      <c r="B146" s="31">
        <v>904</v>
      </c>
      <c r="C146" s="24" t="s">
        <v>21</v>
      </c>
      <c r="D146" s="24" t="s">
        <v>12</v>
      </c>
      <c r="E146" s="24" t="s">
        <v>190</v>
      </c>
      <c r="F146" s="24" t="s">
        <v>65</v>
      </c>
      <c r="G146" s="25">
        <v>15395.400000000001</v>
      </c>
      <c r="H146" s="25">
        <v>13695</v>
      </c>
      <c r="I146" s="25">
        <v>13302.199999999999</v>
      </c>
      <c r="J146" s="118"/>
      <c r="K146" s="118"/>
      <c r="L146" s="118"/>
      <c r="M146" s="118"/>
      <c r="N146" s="118"/>
      <c r="O146" s="118"/>
      <c r="P146" s="118"/>
      <c r="Q146" s="118"/>
    </row>
    <row r="147" spans="1:17" ht="38.25" x14ac:dyDescent="0.2">
      <c r="A147" s="18" t="s">
        <v>193</v>
      </c>
      <c r="B147" s="22">
        <v>904</v>
      </c>
      <c r="C147" s="19" t="s">
        <v>21</v>
      </c>
      <c r="D147" s="19" t="s">
        <v>12</v>
      </c>
      <c r="E147" s="19" t="s">
        <v>192</v>
      </c>
      <c r="F147" s="19"/>
      <c r="G147" s="20">
        <v>200</v>
      </c>
      <c r="H147" s="20">
        <v>200</v>
      </c>
      <c r="I147" s="20">
        <v>200</v>
      </c>
      <c r="J147" s="237"/>
      <c r="K147" s="237"/>
      <c r="L147" s="237"/>
      <c r="M147" s="237"/>
      <c r="N147" s="237"/>
      <c r="O147" s="237"/>
      <c r="P147" s="237"/>
      <c r="Q147" s="237"/>
    </row>
    <row r="148" spans="1:17" s="26" customFormat="1" ht="25.5" x14ac:dyDescent="0.2">
      <c r="A148" s="28" t="s">
        <v>76</v>
      </c>
      <c r="B148" s="32">
        <v>904</v>
      </c>
      <c r="C148" s="24" t="s">
        <v>21</v>
      </c>
      <c r="D148" s="24" t="s">
        <v>12</v>
      </c>
      <c r="E148" s="24" t="s">
        <v>192</v>
      </c>
      <c r="F148" s="27" t="s">
        <v>68</v>
      </c>
      <c r="G148" s="25">
        <v>200</v>
      </c>
      <c r="H148" s="25">
        <v>200</v>
      </c>
      <c r="I148" s="25">
        <v>200</v>
      </c>
    </row>
    <row r="149" spans="1:17" ht="25.5" x14ac:dyDescent="0.2">
      <c r="A149" s="18" t="s">
        <v>357</v>
      </c>
      <c r="B149" s="22">
        <v>904</v>
      </c>
      <c r="C149" s="19" t="s">
        <v>21</v>
      </c>
      <c r="D149" s="19" t="s">
        <v>12</v>
      </c>
      <c r="E149" s="19" t="s">
        <v>358</v>
      </c>
      <c r="F149" s="19"/>
      <c r="G149" s="20">
        <v>48737.899999999994</v>
      </c>
      <c r="H149" s="20">
        <v>44485.5</v>
      </c>
      <c r="I149" s="20">
        <v>44066.3</v>
      </c>
      <c r="J149" s="117"/>
      <c r="K149" s="117"/>
      <c r="L149" s="117"/>
      <c r="M149" s="117"/>
      <c r="N149" s="117"/>
      <c r="O149" s="117"/>
      <c r="P149" s="117"/>
      <c r="Q149" s="117"/>
    </row>
    <row r="150" spans="1:17" s="26" customFormat="1" ht="25.5" x14ac:dyDescent="0.2">
      <c r="A150" s="28" t="s">
        <v>141</v>
      </c>
      <c r="B150" s="32">
        <v>904</v>
      </c>
      <c r="C150" s="24" t="s">
        <v>21</v>
      </c>
      <c r="D150" s="24" t="s">
        <v>12</v>
      </c>
      <c r="E150" s="24" t="s">
        <v>358</v>
      </c>
      <c r="F150" s="27" t="s">
        <v>65</v>
      </c>
      <c r="G150" s="25">
        <v>48737.899999999994</v>
      </c>
      <c r="H150" s="25">
        <v>44485.5</v>
      </c>
      <c r="I150" s="25">
        <v>44066.3</v>
      </c>
      <c r="J150" s="118"/>
      <c r="K150" s="118"/>
      <c r="L150" s="118"/>
      <c r="M150" s="118"/>
      <c r="N150" s="118"/>
      <c r="O150" s="118"/>
      <c r="P150" s="118"/>
      <c r="Q150" s="118"/>
    </row>
    <row r="151" spans="1:17" s="26" customFormat="1" ht="20.25" customHeight="1" x14ac:dyDescent="0.2">
      <c r="A151" s="18" t="s">
        <v>714</v>
      </c>
      <c r="B151" s="22">
        <v>904</v>
      </c>
      <c r="C151" s="19" t="s">
        <v>21</v>
      </c>
      <c r="D151" s="19" t="s">
        <v>12</v>
      </c>
      <c r="E151" s="19" t="s">
        <v>728</v>
      </c>
      <c r="F151" s="19"/>
      <c r="G151" s="25">
        <v>720</v>
      </c>
      <c r="H151" s="25">
        <v>0</v>
      </c>
      <c r="I151" s="25">
        <v>0</v>
      </c>
      <c r="J151" s="118"/>
      <c r="K151" s="118"/>
      <c r="L151" s="118"/>
      <c r="M151" s="118"/>
      <c r="N151" s="118"/>
      <c r="O151" s="118"/>
      <c r="P151" s="118"/>
      <c r="Q151" s="118"/>
    </row>
    <row r="152" spans="1:17" s="26" customFormat="1" ht="25.5" x14ac:dyDescent="0.2">
      <c r="A152" s="28" t="s">
        <v>141</v>
      </c>
      <c r="B152" s="32">
        <v>904</v>
      </c>
      <c r="C152" s="24" t="s">
        <v>21</v>
      </c>
      <c r="D152" s="24" t="s">
        <v>12</v>
      </c>
      <c r="E152" s="24" t="s">
        <v>728</v>
      </c>
      <c r="F152" s="24" t="s">
        <v>65</v>
      </c>
      <c r="G152" s="25">
        <v>720</v>
      </c>
      <c r="H152" s="25">
        <v>0</v>
      </c>
      <c r="I152" s="25">
        <v>0</v>
      </c>
      <c r="J152" s="118"/>
      <c r="K152" s="118"/>
      <c r="L152" s="118"/>
      <c r="M152" s="118"/>
      <c r="N152" s="118"/>
      <c r="O152" s="118"/>
      <c r="P152" s="118"/>
      <c r="Q152" s="118"/>
    </row>
    <row r="153" spans="1:17" s="26" customFormat="1" x14ac:dyDescent="0.2">
      <c r="A153" s="18" t="s">
        <v>714</v>
      </c>
      <c r="B153" s="22">
        <v>904</v>
      </c>
      <c r="C153" s="19" t="s">
        <v>21</v>
      </c>
      <c r="D153" s="19" t="s">
        <v>12</v>
      </c>
      <c r="E153" s="19" t="s">
        <v>716</v>
      </c>
      <c r="F153" s="19"/>
      <c r="G153" s="25">
        <v>72</v>
      </c>
      <c r="H153" s="25">
        <v>0</v>
      </c>
      <c r="I153" s="25">
        <v>0</v>
      </c>
      <c r="J153" s="118"/>
      <c r="K153" s="118"/>
      <c r="L153" s="118"/>
      <c r="M153" s="118"/>
      <c r="N153" s="118"/>
      <c r="O153" s="118"/>
      <c r="P153" s="118"/>
      <c r="Q153" s="118"/>
    </row>
    <row r="154" spans="1:17" s="26" customFormat="1" ht="25.5" x14ac:dyDescent="0.2">
      <c r="A154" s="28" t="s">
        <v>141</v>
      </c>
      <c r="B154" s="32">
        <v>904</v>
      </c>
      <c r="C154" s="24" t="s">
        <v>21</v>
      </c>
      <c r="D154" s="24" t="s">
        <v>12</v>
      </c>
      <c r="E154" s="24" t="s">
        <v>716</v>
      </c>
      <c r="F154" s="24" t="s">
        <v>65</v>
      </c>
      <c r="G154" s="25">
        <v>72</v>
      </c>
      <c r="H154" s="25">
        <v>0</v>
      </c>
      <c r="I154" s="25">
        <v>0</v>
      </c>
      <c r="J154" s="118"/>
      <c r="K154" s="118"/>
      <c r="L154" s="118"/>
      <c r="M154" s="118"/>
      <c r="N154" s="118"/>
      <c r="O154" s="118"/>
      <c r="P154" s="118"/>
      <c r="Q154" s="118"/>
    </row>
    <row r="155" spans="1:17" s="9" customFormat="1" x14ac:dyDescent="0.2">
      <c r="A155" s="11" t="s">
        <v>2</v>
      </c>
      <c r="B155" s="14">
        <v>904</v>
      </c>
      <c r="C155" s="8" t="s">
        <v>21</v>
      </c>
      <c r="D155" s="8" t="s">
        <v>14</v>
      </c>
      <c r="E155" s="8"/>
      <c r="F155" s="8"/>
      <c r="G155" s="4">
        <v>370</v>
      </c>
      <c r="H155" s="4">
        <v>370</v>
      </c>
      <c r="I155" s="4">
        <v>370</v>
      </c>
      <c r="J155" s="127"/>
      <c r="K155" s="127"/>
      <c r="L155" s="127"/>
      <c r="M155" s="127"/>
      <c r="N155" s="127"/>
      <c r="O155" s="127"/>
      <c r="P155" s="127"/>
      <c r="Q155" s="127"/>
    </row>
    <row r="156" spans="1:17" ht="25.5" x14ac:dyDescent="0.2">
      <c r="A156" s="18" t="s">
        <v>195</v>
      </c>
      <c r="B156" s="22">
        <v>904</v>
      </c>
      <c r="C156" s="19" t="s">
        <v>21</v>
      </c>
      <c r="D156" s="19" t="s">
        <v>14</v>
      </c>
      <c r="E156" s="19" t="s">
        <v>194</v>
      </c>
      <c r="F156" s="19"/>
      <c r="G156" s="20">
        <v>370</v>
      </c>
      <c r="H156" s="20">
        <v>370</v>
      </c>
      <c r="I156" s="20">
        <v>370</v>
      </c>
      <c r="J156" s="117"/>
      <c r="K156" s="117"/>
      <c r="L156" s="117"/>
      <c r="M156" s="117"/>
      <c r="N156" s="117"/>
      <c r="O156" s="117"/>
      <c r="P156" s="117"/>
      <c r="Q156" s="117"/>
    </row>
    <row r="157" spans="1:17" ht="63.75" x14ac:dyDescent="0.2">
      <c r="A157" s="30" t="s">
        <v>66</v>
      </c>
      <c r="B157" s="32">
        <v>904</v>
      </c>
      <c r="C157" s="24" t="s">
        <v>21</v>
      </c>
      <c r="D157" s="24" t="s">
        <v>14</v>
      </c>
      <c r="E157" s="24" t="s">
        <v>194</v>
      </c>
      <c r="F157" s="19" t="s">
        <v>67</v>
      </c>
      <c r="G157" s="20">
        <v>42</v>
      </c>
      <c r="H157" s="20">
        <v>0</v>
      </c>
      <c r="I157" s="20">
        <v>0</v>
      </c>
      <c r="J157" s="117"/>
      <c r="K157" s="117"/>
      <c r="L157" s="117"/>
      <c r="M157" s="117"/>
      <c r="N157" s="117"/>
      <c r="O157" s="117"/>
      <c r="P157" s="117"/>
      <c r="Q157" s="117"/>
    </row>
    <row r="158" spans="1:17" s="26" customFormat="1" ht="25.5" x14ac:dyDescent="0.2">
      <c r="A158" s="28" t="s">
        <v>76</v>
      </c>
      <c r="B158" s="32">
        <v>904</v>
      </c>
      <c r="C158" s="24" t="s">
        <v>21</v>
      </c>
      <c r="D158" s="24" t="s">
        <v>14</v>
      </c>
      <c r="E158" s="24" t="s">
        <v>194</v>
      </c>
      <c r="F158" s="27" t="s">
        <v>68</v>
      </c>
      <c r="G158" s="25">
        <v>328</v>
      </c>
      <c r="H158" s="25">
        <v>370</v>
      </c>
      <c r="I158" s="25">
        <v>370</v>
      </c>
      <c r="J158" s="118"/>
      <c r="K158" s="118"/>
      <c r="L158" s="118"/>
      <c r="M158" s="118"/>
      <c r="N158" s="118"/>
      <c r="O158" s="118"/>
      <c r="P158" s="118"/>
      <c r="Q158" s="118"/>
    </row>
    <row r="159" spans="1:17" s="9" customFormat="1" ht="25.5" x14ac:dyDescent="0.2">
      <c r="A159" s="11" t="s">
        <v>4</v>
      </c>
      <c r="B159" s="14">
        <v>904</v>
      </c>
      <c r="C159" s="8" t="s">
        <v>21</v>
      </c>
      <c r="D159" s="8" t="s">
        <v>31</v>
      </c>
      <c r="E159" s="8"/>
      <c r="F159" s="8"/>
      <c r="G159" s="4">
        <v>5171.7</v>
      </c>
      <c r="H159" s="4">
        <v>4250.5</v>
      </c>
      <c r="I159" s="4">
        <v>4250.5</v>
      </c>
    </row>
    <row r="160" spans="1:17" ht="25.5" x14ac:dyDescent="0.2">
      <c r="A160" s="18" t="s">
        <v>191</v>
      </c>
      <c r="B160" s="22">
        <v>904</v>
      </c>
      <c r="C160" s="19" t="s">
        <v>21</v>
      </c>
      <c r="D160" s="19" t="s">
        <v>31</v>
      </c>
      <c r="E160" s="19" t="s">
        <v>196</v>
      </c>
      <c r="F160" s="19"/>
      <c r="G160" s="20">
        <v>1346.8</v>
      </c>
      <c r="H160" s="20">
        <v>1021.5</v>
      </c>
      <c r="I160" s="20">
        <v>1021.5</v>
      </c>
      <c r="J160" s="117"/>
      <c r="K160" s="117"/>
      <c r="L160" s="117"/>
      <c r="M160" s="117"/>
      <c r="N160" s="117"/>
      <c r="O160" s="117"/>
      <c r="P160" s="117"/>
      <c r="Q160" s="117"/>
    </row>
    <row r="161" spans="1:17" s="26" customFormat="1" ht="50.25" customHeight="1" x14ac:dyDescent="0.2">
      <c r="A161" s="30" t="s">
        <v>66</v>
      </c>
      <c r="B161" s="32">
        <v>904</v>
      </c>
      <c r="C161" s="24" t="s">
        <v>21</v>
      </c>
      <c r="D161" s="24" t="s">
        <v>31</v>
      </c>
      <c r="E161" s="24" t="s">
        <v>196</v>
      </c>
      <c r="F161" s="27" t="s">
        <v>67</v>
      </c>
      <c r="G161" s="25">
        <v>1304.8</v>
      </c>
      <c r="H161" s="25">
        <v>969.5</v>
      </c>
      <c r="I161" s="25">
        <v>969.5</v>
      </c>
      <c r="J161" s="118"/>
      <c r="K161" s="118"/>
      <c r="L161" s="118"/>
      <c r="M161" s="118"/>
      <c r="N161" s="118"/>
      <c r="O161" s="118"/>
      <c r="P161" s="118"/>
      <c r="Q161" s="118"/>
    </row>
    <row r="162" spans="1:17" s="26" customFormat="1" ht="25.5" x14ac:dyDescent="0.2">
      <c r="A162" s="28" t="s">
        <v>76</v>
      </c>
      <c r="B162" s="32">
        <v>904</v>
      </c>
      <c r="C162" s="24" t="s">
        <v>21</v>
      </c>
      <c r="D162" s="24" t="s">
        <v>31</v>
      </c>
      <c r="E162" s="24" t="s">
        <v>196</v>
      </c>
      <c r="F162" s="27" t="s">
        <v>68</v>
      </c>
      <c r="G162" s="25">
        <v>42</v>
      </c>
      <c r="H162" s="25">
        <v>52</v>
      </c>
      <c r="I162" s="25">
        <v>52</v>
      </c>
      <c r="J162" s="118"/>
      <c r="K162" s="118"/>
      <c r="L162" s="118"/>
      <c r="M162" s="118"/>
      <c r="N162" s="118"/>
      <c r="O162" s="118"/>
      <c r="P162" s="118"/>
      <c r="Q162" s="118"/>
    </row>
    <row r="163" spans="1:17" ht="25.5" x14ac:dyDescent="0.2">
      <c r="A163" s="18" t="s">
        <v>191</v>
      </c>
      <c r="B163" s="22">
        <v>904</v>
      </c>
      <c r="C163" s="19" t="s">
        <v>21</v>
      </c>
      <c r="D163" s="19" t="s">
        <v>31</v>
      </c>
      <c r="E163" s="19" t="s">
        <v>415</v>
      </c>
      <c r="F163" s="19"/>
      <c r="G163" s="20">
        <v>3824.9</v>
      </c>
      <c r="H163" s="20">
        <v>3229</v>
      </c>
      <c r="I163" s="20">
        <v>3229</v>
      </c>
      <c r="J163" s="117"/>
      <c r="K163" s="117"/>
      <c r="L163" s="117"/>
      <c r="M163" s="117"/>
      <c r="N163" s="117"/>
      <c r="O163" s="117"/>
      <c r="P163" s="117"/>
      <c r="Q163" s="117"/>
    </row>
    <row r="164" spans="1:17" s="26" customFormat="1" ht="27.75" customHeight="1" x14ac:dyDescent="0.2">
      <c r="A164" s="28" t="s">
        <v>141</v>
      </c>
      <c r="B164" s="32">
        <v>904</v>
      </c>
      <c r="C164" s="24" t="s">
        <v>21</v>
      </c>
      <c r="D164" s="24" t="s">
        <v>31</v>
      </c>
      <c r="E164" s="24" t="s">
        <v>415</v>
      </c>
      <c r="F164" s="27" t="s">
        <v>65</v>
      </c>
      <c r="G164" s="25">
        <v>3824.9</v>
      </c>
      <c r="H164" s="25">
        <v>3229</v>
      </c>
      <c r="I164" s="25">
        <v>3229</v>
      </c>
      <c r="J164" s="118"/>
      <c r="K164" s="118"/>
      <c r="L164" s="118"/>
      <c r="M164" s="118"/>
      <c r="N164" s="118"/>
      <c r="O164" s="118"/>
      <c r="P164" s="118"/>
      <c r="Q164" s="118"/>
    </row>
    <row r="165" spans="1:17" s="9" customFormat="1" ht="38.25" x14ac:dyDescent="0.2">
      <c r="A165" s="40" t="s">
        <v>47</v>
      </c>
      <c r="B165" s="37">
        <v>905</v>
      </c>
      <c r="C165" s="41"/>
      <c r="D165" s="41"/>
      <c r="E165" s="41"/>
      <c r="F165" s="41"/>
      <c r="G165" s="39">
        <v>136233.70000000001</v>
      </c>
      <c r="H165" s="39">
        <v>75804.600000000006</v>
      </c>
      <c r="I165" s="39">
        <v>75804.600000000006</v>
      </c>
    </row>
    <row r="166" spans="1:17" s="3" customFormat="1" x14ac:dyDescent="0.2">
      <c r="A166" s="13" t="s">
        <v>60</v>
      </c>
      <c r="B166" s="42">
        <v>905</v>
      </c>
      <c r="C166" s="1" t="s">
        <v>12</v>
      </c>
      <c r="D166" s="1"/>
      <c r="E166" s="1"/>
      <c r="F166" s="1"/>
      <c r="G166" s="2">
        <v>47847.4</v>
      </c>
      <c r="H166" s="2">
        <v>17380.400000000001</v>
      </c>
      <c r="I166" s="2">
        <v>17380.400000000001</v>
      </c>
      <c r="J166" s="126"/>
      <c r="K166" s="126"/>
      <c r="L166" s="126"/>
      <c r="M166" s="126"/>
      <c r="N166" s="126"/>
      <c r="O166" s="126"/>
      <c r="P166" s="126"/>
      <c r="Q166" s="126"/>
    </row>
    <row r="167" spans="1:17" s="9" customFormat="1" x14ac:dyDescent="0.2">
      <c r="A167" s="11" t="s">
        <v>24</v>
      </c>
      <c r="B167" s="14">
        <v>905</v>
      </c>
      <c r="C167" s="8" t="s">
        <v>12</v>
      </c>
      <c r="D167" s="8" t="s">
        <v>61</v>
      </c>
      <c r="E167" s="8"/>
      <c r="F167" s="8"/>
      <c r="G167" s="4">
        <v>47847.4</v>
      </c>
      <c r="H167" s="4">
        <v>17380.400000000001</v>
      </c>
      <c r="I167" s="4">
        <v>17380.400000000001</v>
      </c>
      <c r="J167" s="127"/>
      <c r="K167" s="127"/>
      <c r="L167" s="127"/>
      <c r="M167" s="127"/>
      <c r="N167" s="127"/>
      <c r="O167" s="127"/>
      <c r="P167" s="127"/>
      <c r="Q167" s="127"/>
    </row>
    <row r="168" spans="1:17" ht="25.5" x14ac:dyDescent="0.2">
      <c r="A168" s="18" t="s">
        <v>198</v>
      </c>
      <c r="B168" s="22">
        <v>905</v>
      </c>
      <c r="C168" s="19" t="s">
        <v>12</v>
      </c>
      <c r="D168" s="19" t="s">
        <v>61</v>
      </c>
      <c r="E168" s="5" t="s">
        <v>197</v>
      </c>
      <c r="F168" s="5"/>
      <c r="G168" s="6">
        <v>1050</v>
      </c>
      <c r="H168" s="6">
        <v>300</v>
      </c>
      <c r="I168" s="6">
        <v>300</v>
      </c>
      <c r="J168" s="117"/>
      <c r="K168" s="117"/>
      <c r="L168" s="117"/>
      <c r="M168" s="117"/>
      <c r="N168" s="117"/>
      <c r="O168" s="117"/>
      <c r="P168" s="117"/>
      <c r="Q168" s="117"/>
    </row>
    <row r="169" spans="1:17" s="26" customFormat="1" ht="25.5" x14ac:dyDescent="0.2">
      <c r="A169" s="28" t="s">
        <v>76</v>
      </c>
      <c r="B169" s="32">
        <v>905</v>
      </c>
      <c r="C169" s="24" t="s">
        <v>12</v>
      </c>
      <c r="D169" s="24" t="s">
        <v>61</v>
      </c>
      <c r="E169" s="24" t="s">
        <v>197</v>
      </c>
      <c r="F169" s="27" t="s">
        <v>68</v>
      </c>
      <c r="G169" s="25">
        <v>1050</v>
      </c>
      <c r="H169" s="25">
        <v>300</v>
      </c>
      <c r="I169" s="25">
        <v>300</v>
      </c>
      <c r="J169" s="118"/>
      <c r="K169" s="118"/>
      <c r="L169" s="118"/>
      <c r="M169" s="118"/>
      <c r="N169" s="118"/>
      <c r="O169" s="118"/>
      <c r="P169" s="118"/>
      <c r="Q169" s="118"/>
    </row>
    <row r="170" spans="1:17" ht="25.5" x14ac:dyDescent="0.2">
      <c r="A170" s="18" t="s">
        <v>199</v>
      </c>
      <c r="B170" s="22">
        <v>905</v>
      </c>
      <c r="C170" s="19" t="s">
        <v>12</v>
      </c>
      <c r="D170" s="19" t="s">
        <v>61</v>
      </c>
      <c r="E170" s="5" t="s">
        <v>200</v>
      </c>
      <c r="F170" s="5"/>
      <c r="G170" s="6">
        <v>600</v>
      </c>
      <c r="H170" s="6">
        <v>300</v>
      </c>
      <c r="I170" s="6">
        <v>300</v>
      </c>
      <c r="J170" s="117"/>
      <c r="K170" s="117"/>
      <c r="L170" s="117"/>
      <c r="M170" s="117"/>
      <c r="N170" s="117"/>
      <c r="O170" s="117"/>
      <c r="P170" s="117"/>
      <c r="Q170" s="117"/>
    </row>
    <row r="171" spans="1:17" s="26" customFormat="1" ht="25.5" x14ac:dyDescent="0.2">
      <c r="A171" s="28" t="s">
        <v>76</v>
      </c>
      <c r="B171" s="32">
        <v>905</v>
      </c>
      <c r="C171" s="24" t="s">
        <v>12</v>
      </c>
      <c r="D171" s="24" t="s">
        <v>61</v>
      </c>
      <c r="E171" s="24" t="s">
        <v>200</v>
      </c>
      <c r="F171" s="27" t="s">
        <v>68</v>
      </c>
      <c r="G171" s="25">
        <v>600</v>
      </c>
      <c r="H171" s="25">
        <v>300</v>
      </c>
      <c r="I171" s="25">
        <v>300</v>
      </c>
      <c r="J171" s="118"/>
      <c r="K171" s="118"/>
      <c r="L171" s="118"/>
      <c r="M171" s="118"/>
      <c r="N171" s="118"/>
      <c r="O171" s="118"/>
      <c r="P171" s="118"/>
      <c r="Q171" s="118"/>
    </row>
    <row r="172" spans="1:17" ht="38.25" x14ac:dyDescent="0.2">
      <c r="A172" s="18" t="s">
        <v>201</v>
      </c>
      <c r="B172" s="22">
        <v>905</v>
      </c>
      <c r="C172" s="19" t="s">
        <v>12</v>
      </c>
      <c r="D172" s="19" t="s">
        <v>61</v>
      </c>
      <c r="E172" s="19" t="s">
        <v>202</v>
      </c>
      <c r="F172" s="19"/>
      <c r="G172" s="20">
        <v>7310</v>
      </c>
      <c r="H172" s="20">
        <v>7310</v>
      </c>
      <c r="I172" s="20">
        <v>7310</v>
      </c>
      <c r="J172" s="237"/>
      <c r="K172" s="237"/>
      <c r="L172" s="237"/>
      <c r="M172" s="237"/>
      <c r="N172" s="237"/>
      <c r="O172" s="237"/>
      <c r="P172" s="237"/>
      <c r="Q172" s="237"/>
    </row>
    <row r="173" spans="1:17" s="26" customFormat="1" ht="25.5" x14ac:dyDescent="0.2">
      <c r="A173" s="28" t="s">
        <v>76</v>
      </c>
      <c r="B173" s="31">
        <v>905</v>
      </c>
      <c r="C173" s="24" t="s">
        <v>12</v>
      </c>
      <c r="D173" s="24" t="s">
        <v>61</v>
      </c>
      <c r="E173" s="24" t="s">
        <v>202</v>
      </c>
      <c r="F173" s="27" t="s">
        <v>68</v>
      </c>
      <c r="G173" s="25">
        <v>7310</v>
      </c>
      <c r="H173" s="25">
        <v>7310</v>
      </c>
      <c r="I173" s="25">
        <v>7310</v>
      </c>
    </row>
    <row r="174" spans="1:17" x14ac:dyDescent="0.2">
      <c r="A174" s="18" t="s">
        <v>203</v>
      </c>
      <c r="B174" s="22">
        <v>905</v>
      </c>
      <c r="C174" s="19" t="s">
        <v>12</v>
      </c>
      <c r="D174" s="19" t="s">
        <v>61</v>
      </c>
      <c r="E174" s="5" t="s">
        <v>204</v>
      </c>
      <c r="F174" s="5"/>
      <c r="G174" s="6">
        <v>4850</v>
      </c>
      <c r="H174" s="6">
        <v>400</v>
      </c>
      <c r="I174" s="6">
        <v>400</v>
      </c>
      <c r="J174" s="117"/>
      <c r="K174" s="117"/>
      <c r="L174" s="117"/>
      <c r="M174" s="117"/>
      <c r="N174" s="117"/>
      <c r="O174" s="117"/>
      <c r="P174" s="117"/>
      <c r="Q174" s="117"/>
    </row>
    <row r="175" spans="1:17" s="26" customFormat="1" ht="25.5" x14ac:dyDescent="0.2">
      <c r="A175" s="28" t="s">
        <v>76</v>
      </c>
      <c r="B175" s="32">
        <v>905</v>
      </c>
      <c r="C175" s="24" t="s">
        <v>12</v>
      </c>
      <c r="D175" s="24" t="s">
        <v>61</v>
      </c>
      <c r="E175" s="24" t="s">
        <v>204</v>
      </c>
      <c r="F175" s="27" t="s">
        <v>68</v>
      </c>
      <c r="G175" s="25">
        <v>4600</v>
      </c>
      <c r="H175" s="25">
        <v>150</v>
      </c>
      <c r="I175" s="25">
        <v>150</v>
      </c>
      <c r="J175" s="118"/>
      <c r="K175" s="118"/>
      <c r="L175" s="118"/>
      <c r="M175" s="118"/>
      <c r="N175" s="118"/>
      <c r="O175" s="118"/>
      <c r="P175" s="118"/>
      <c r="Q175" s="118"/>
    </row>
    <row r="176" spans="1:17" s="26" customFormat="1" x14ac:dyDescent="0.2">
      <c r="A176" s="28" t="s">
        <v>72</v>
      </c>
      <c r="B176" s="32">
        <v>905</v>
      </c>
      <c r="C176" s="24" t="s">
        <v>12</v>
      </c>
      <c r="D176" s="24" t="s">
        <v>61</v>
      </c>
      <c r="E176" s="24" t="s">
        <v>204</v>
      </c>
      <c r="F176" s="27" t="s">
        <v>73</v>
      </c>
      <c r="G176" s="25">
        <v>250</v>
      </c>
      <c r="H176" s="25">
        <v>250</v>
      </c>
      <c r="I176" s="25">
        <v>250</v>
      </c>
      <c r="J176" s="118"/>
      <c r="K176" s="118"/>
      <c r="L176" s="118"/>
      <c r="M176" s="118"/>
      <c r="N176" s="118"/>
      <c r="O176" s="118"/>
      <c r="P176" s="118"/>
      <c r="Q176" s="118"/>
    </row>
    <row r="177" spans="1:17" x14ac:dyDescent="0.2">
      <c r="A177" s="18" t="s">
        <v>206</v>
      </c>
      <c r="B177" s="22">
        <v>905</v>
      </c>
      <c r="C177" s="19" t="s">
        <v>12</v>
      </c>
      <c r="D177" s="19" t="s">
        <v>61</v>
      </c>
      <c r="E177" s="5" t="s">
        <v>205</v>
      </c>
      <c r="F177" s="5"/>
      <c r="G177" s="6">
        <v>700</v>
      </c>
      <c r="H177" s="6">
        <v>600</v>
      </c>
      <c r="I177" s="6">
        <v>600</v>
      </c>
      <c r="J177" s="117"/>
      <c r="K177" s="117"/>
      <c r="L177" s="117"/>
      <c r="M177" s="117"/>
      <c r="N177" s="117"/>
      <c r="O177" s="117"/>
      <c r="P177" s="117"/>
      <c r="Q177" s="117"/>
    </row>
    <row r="178" spans="1:17" s="26" customFormat="1" ht="25.5" x14ac:dyDescent="0.2">
      <c r="A178" s="28" t="s">
        <v>76</v>
      </c>
      <c r="B178" s="32">
        <v>905</v>
      </c>
      <c r="C178" s="24" t="s">
        <v>12</v>
      </c>
      <c r="D178" s="24" t="s">
        <v>61</v>
      </c>
      <c r="E178" s="24" t="s">
        <v>205</v>
      </c>
      <c r="F178" s="27" t="s">
        <v>68</v>
      </c>
      <c r="G178" s="25">
        <v>700</v>
      </c>
      <c r="H178" s="25">
        <v>600</v>
      </c>
      <c r="I178" s="25">
        <v>600</v>
      </c>
      <c r="J178" s="118"/>
      <c r="K178" s="118"/>
      <c r="L178" s="118"/>
      <c r="M178" s="118"/>
      <c r="N178" s="118"/>
      <c r="O178" s="118"/>
      <c r="P178" s="118"/>
      <c r="Q178" s="118"/>
    </row>
    <row r="179" spans="1:17" x14ac:dyDescent="0.2">
      <c r="A179" s="18" t="s">
        <v>207</v>
      </c>
      <c r="B179" s="22">
        <v>905</v>
      </c>
      <c r="C179" s="19" t="s">
        <v>12</v>
      </c>
      <c r="D179" s="19" t="s">
        <v>61</v>
      </c>
      <c r="E179" s="5" t="s">
        <v>208</v>
      </c>
      <c r="F179" s="5"/>
      <c r="G179" s="6">
        <v>23982.3</v>
      </c>
      <c r="H179" s="6">
        <v>288.3</v>
      </c>
      <c r="I179" s="6">
        <v>288.3</v>
      </c>
      <c r="J179" s="117"/>
      <c r="K179" s="117"/>
      <c r="L179" s="117"/>
      <c r="M179" s="117"/>
      <c r="N179" s="117"/>
      <c r="O179" s="117"/>
      <c r="P179" s="117"/>
      <c r="Q179" s="117"/>
    </row>
    <row r="180" spans="1:17" s="26" customFormat="1" ht="25.5" x14ac:dyDescent="0.2">
      <c r="A180" s="28" t="s">
        <v>76</v>
      </c>
      <c r="B180" s="23">
        <v>905</v>
      </c>
      <c r="C180" s="24" t="s">
        <v>12</v>
      </c>
      <c r="D180" s="24" t="s">
        <v>61</v>
      </c>
      <c r="E180" s="24" t="s">
        <v>208</v>
      </c>
      <c r="F180" s="27" t="s">
        <v>68</v>
      </c>
      <c r="G180" s="25">
        <v>88.3</v>
      </c>
      <c r="H180" s="25">
        <v>88.3</v>
      </c>
      <c r="I180" s="25">
        <v>88.3</v>
      </c>
    </row>
    <row r="181" spans="1:17" s="26" customFormat="1" x14ac:dyDescent="0.2">
      <c r="A181" s="28" t="s">
        <v>72</v>
      </c>
      <c r="B181" s="31">
        <v>905</v>
      </c>
      <c r="C181" s="19" t="s">
        <v>12</v>
      </c>
      <c r="D181" s="19" t="s">
        <v>61</v>
      </c>
      <c r="E181" s="24" t="s">
        <v>208</v>
      </c>
      <c r="F181" s="24" t="s">
        <v>73</v>
      </c>
      <c r="G181" s="25">
        <v>23894</v>
      </c>
      <c r="H181" s="25">
        <v>200</v>
      </c>
      <c r="I181" s="25">
        <v>200</v>
      </c>
      <c r="J181" s="118"/>
      <c r="K181" s="118"/>
      <c r="L181" s="118"/>
      <c r="M181" s="118"/>
      <c r="N181" s="118"/>
      <c r="O181" s="118"/>
      <c r="P181" s="118"/>
      <c r="Q181" s="118"/>
    </row>
    <row r="182" spans="1:17" ht="25.5" x14ac:dyDescent="0.2">
      <c r="A182" s="18" t="s">
        <v>209</v>
      </c>
      <c r="B182" s="22">
        <v>905</v>
      </c>
      <c r="C182" s="19" t="s">
        <v>12</v>
      </c>
      <c r="D182" s="19" t="s">
        <v>61</v>
      </c>
      <c r="E182" s="5" t="s">
        <v>210</v>
      </c>
      <c r="F182" s="19"/>
      <c r="G182" s="20">
        <v>9355.1</v>
      </c>
      <c r="H182" s="20">
        <v>8182.0999999999995</v>
      </c>
      <c r="I182" s="20">
        <v>8182.0999999999995</v>
      </c>
      <c r="J182" s="117"/>
      <c r="K182" s="117"/>
      <c r="L182" s="117"/>
      <c r="M182" s="117"/>
      <c r="N182" s="117"/>
      <c r="O182" s="117"/>
      <c r="P182" s="117"/>
      <c r="Q182" s="117"/>
    </row>
    <row r="183" spans="1:17" s="26" customFormat="1" ht="51" customHeight="1" x14ac:dyDescent="0.2">
      <c r="A183" s="30" t="s">
        <v>66</v>
      </c>
      <c r="B183" s="32">
        <v>905</v>
      </c>
      <c r="C183" s="24" t="s">
        <v>12</v>
      </c>
      <c r="D183" s="24" t="s">
        <v>61</v>
      </c>
      <c r="E183" s="24" t="s">
        <v>210</v>
      </c>
      <c r="F183" s="27" t="s">
        <v>67</v>
      </c>
      <c r="G183" s="25">
        <v>8442.7000000000007</v>
      </c>
      <c r="H183" s="25">
        <v>7269.7</v>
      </c>
      <c r="I183" s="25">
        <v>7269.7</v>
      </c>
      <c r="J183" s="118"/>
      <c r="K183" s="118"/>
      <c r="L183" s="118"/>
      <c r="M183" s="118"/>
      <c r="N183" s="118"/>
      <c r="O183" s="118"/>
      <c r="P183" s="118"/>
      <c r="Q183" s="118"/>
    </row>
    <row r="184" spans="1:17" s="84" customFormat="1" ht="25.5" x14ac:dyDescent="0.2">
      <c r="A184" s="87" t="s">
        <v>76</v>
      </c>
      <c r="B184" s="81">
        <v>905</v>
      </c>
      <c r="C184" s="82" t="s">
        <v>12</v>
      </c>
      <c r="D184" s="82" t="s">
        <v>61</v>
      </c>
      <c r="E184" s="82" t="s">
        <v>210</v>
      </c>
      <c r="F184" s="83" t="s">
        <v>68</v>
      </c>
      <c r="G184" s="62">
        <v>902.4</v>
      </c>
      <c r="H184" s="62">
        <v>902.4</v>
      </c>
      <c r="I184" s="62">
        <v>902.4</v>
      </c>
    </row>
    <row r="185" spans="1:17" s="26" customFormat="1" x14ac:dyDescent="0.2">
      <c r="A185" s="28" t="s">
        <v>72</v>
      </c>
      <c r="B185" s="32">
        <v>905</v>
      </c>
      <c r="C185" s="24" t="s">
        <v>12</v>
      </c>
      <c r="D185" s="24" t="s">
        <v>61</v>
      </c>
      <c r="E185" s="24" t="s">
        <v>210</v>
      </c>
      <c r="F185" s="27" t="s">
        <v>73</v>
      </c>
      <c r="G185" s="25">
        <v>10</v>
      </c>
      <c r="H185" s="25">
        <v>10</v>
      </c>
      <c r="I185" s="25">
        <v>10</v>
      </c>
    </row>
    <row r="186" spans="1:17" s="3" customFormat="1" x14ac:dyDescent="0.2">
      <c r="A186" s="13" t="s">
        <v>27</v>
      </c>
      <c r="B186" s="42">
        <v>905</v>
      </c>
      <c r="C186" s="1" t="s">
        <v>18</v>
      </c>
      <c r="D186" s="1"/>
      <c r="E186" s="1"/>
      <c r="F186" s="1"/>
      <c r="G186" s="2">
        <v>750</v>
      </c>
      <c r="H186" s="2">
        <v>600</v>
      </c>
      <c r="I186" s="2">
        <v>600</v>
      </c>
      <c r="J186" s="126"/>
      <c r="K186" s="126"/>
      <c r="L186" s="126"/>
      <c r="M186" s="126"/>
      <c r="N186" s="126"/>
      <c r="O186" s="126"/>
      <c r="P186" s="126"/>
      <c r="Q186" s="126"/>
    </row>
    <row r="187" spans="1:17" s="9" customFormat="1" x14ac:dyDescent="0.2">
      <c r="A187" s="11" t="s">
        <v>29</v>
      </c>
      <c r="B187" s="14">
        <v>905</v>
      </c>
      <c r="C187" s="8" t="s">
        <v>18</v>
      </c>
      <c r="D187" s="8" t="s">
        <v>23</v>
      </c>
      <c r="E187" s="8"/>
      <c r="F187" s="8"/>
      <c r="G187" s="4">
        <v>750</v>
      </c>
      <c r="H187" s="4">
        <v>600</v>
      </c>
      <c r="I187" s="4">
        <v>600</v>
      </c>
      <c r="J187" s="127"/>
      <c r="K187" s="127"/>
      <c r="L187" s="127"/>
      <c r="M187" s="127"/>
      <c r="N187" s="127"/>
      <c r="O187" s="127"/>
      <c r="P187" s="127"/>
      <c r="Q187" s="127"/>
    </row>
    <row r="188" spans="1:17" x14ac:dyDescent="0.2">
      <c r="A188" s="18" t="s">
        <v>212</v>
      </c>
      <c r="B188" s="22">
        <v>905</v>
      </c>
      <c r="C188" s="19" t="s">
        <v>18</v>
      </c>
      <c r="D188" s="19" t="s">
        <v>23</v>
      </c>
      <c r="E188" s="19" t="s">
        <v>211</v>
      </c>
      <c r="F188" s="19"/>
      <c r="G188" s="20">
        <v>700</v>
      </c>
      <c r="H188" s="20">
        <v>400</v>
      </c>
      <c r="I188" s="20">
        <v>400</v>
      </c>
      <c r="J188" s="117"/>
      <c r="K188" s="117"/>
      <c r="L188" s="117"/>
      <c r="M188" s="117"/>
      <c r="N188" s="117"/>
      <c r="O188" s="117"/>
      <c r="P188" s="117"/>
      <c r="Q188" s="117"/>
    </row>
    <row r="189" spans="1:17" s="26" customFormat="1" ht="25.5" x14ac:dyDescent="0.2">
      <c r="A189" s="28" t="s">
        <v>76</v>
      </c>
      <c r="B189" s="31">
        <v>905</v>
      </c>
      <c r="C189" s="24" t="s">
        <v>18</v>
      </c>
      <c r="D189" s="24" t="s">
        <v>23</v>
      </c>
      <c r="E189" s="24" t="s">
        <v>211</v>
      </c>
      <c r="F189" s="27" t="s">
        <v>68</v>
      </c>
      <c r="G189" s="25">
        <v>700</v>
      </c>
      <c r="H189" s="25">
        <v>400</v>
      </c>
      <c r="I189" s="25">
        <v>400</v>
      </c>
      <c r="J189" s="118"/>
      <c r="K189" s="118"/>
      <c r="L189" s="118"/>
      <c r="M189" s="118"/>
      <c r="N189" s="118"/>
      <c r="O189" s="118"/>
      <c r="P189" s="118"/>
      <c r="Q189" s="118"/>
    </row>
    <row r="190" spans="1:17" ht="38.25" x14ac:dyDescent="0.2">
      <c r="A190" s="18" t="s">
        <v>213</v>
      </c>
      <c r="B190" s="22">
        <v>905</v>
      </c>
      <c r="C190" s="19" t="s">
        <v>18</v>
      </c>
      <c r="D190" s="19" t="s">
        <v>23</v>
      </c>
      <c r="E190" s="19" t="s">
        <v>214</v>
      </c>
      <c r="F190" s="19"/>
      <c r="G190" s="20">
        <v>50</v>
      </c>
      <c r="H190" s="20">
        <v>200</v>
      </c>
      <c r="I190" s="20">
        <v>200</v>
      </c>
      <c r="J190" s="117"/>
      <c r="K190" s="117"/>
      <c r="L190" s="117"/>
      <c r="M190" s="117"/>
      <c r="N190" s="117"/>
      <c r="O190" s="117"/>
      <c r="P190" s="117"/>
      <c r="Q190" s="117"/>
    </row>
    <row r="191" spans="1:17" s="26" customFormat="1" ht="25.5" x14ac:dyDescent="0.2">
      <c r="A191" s="28" t="s">
        <v>76</v>
      </c>
      <c r="B191" s="32">
        <v>905</v>
      </c>
      <c r="C191" s="24" t="s">
        <v>18</v>
      </c>
      <c r="D191" s="24" t="s">
        <v>23</v>
      </c>
      <c r="E191" s="24" t="s">
        <v>214</v>
      </c>
      <c r="F191" s="27" t="s">
        <v>68</v>
      </c>
      <c r="G191" s="25">
        <v>50</v>
      </c>
      <c r="H191" s="25">
        <v>200</v>
      </c>
      <c r="I191" s="25">
        <v>200</v>
      </c>
      <c r="J191" s="118"/>
      <c r="K191" s="118"/>
      <c r="L191" s="118"/>
      <c r="M191" s="118"/>
      <c r="N191" s="118"/>
      <c r="O191" s="118"/>
      <c r="P191" s="118"/>
      <c r="Q191" s="118"/>
    </row>
    <row r="192" spans="1:17" s="3" customFormat="1" x14ac:dyDescent="0.2">
      <c r="A192" s="13" t="s">
        <v>30</v>
      </c>
      <c r="B192" s="42">
        <v>905</v>
      </c>
      <c r="C192" s="1" t="s">
        <v>31</v>
      </c>
      <c r="D192" s="1"/>
      <c r="E192" s="1"/>
      <c r="F192" s="1"/>
      <c r="G192" s="2">
        <v>2107.6999999999998</v>
      </c>
      <c r="H192" s="2">
        <v>0</v>
      </c>
      <c r="I192" s="2">
        <v>0</v>
      </c>
    </row>
    <row r="193" spans="1:23" s="9" customFormat="1" x14ac:dyDescent="0.2">
      <c r="A193" s="11" t="s">
        <v>32</v>
      </c>
      <c r="B193" s="14">
        <v>905</v>
      </c>
      <c r="C193" s="8" t="s">
        <v>31</v>
      </c>
      <c r="D193" s="8" t="s">
        <v>12</v>
      </c>
      <c r="E193" s="8"/>
      <c r="F193" s="8"/>
      <c r="G193" s="4">
        <v>2107.6999999999998</v>
      </c>
      <c r="H193" s="4">
        <v>0</v>
      </c>
      <c r="I193" s="4">
        <v>0</v>
      </c>
    </row>
    <row r="194" spans="1:23" ht="25.5" x14ac:dyDescent="0.2">
      <c r="A194" s="18" t="s">
        <v>215</v>
      </c>
      <c r="B194" s="22">
        <v>905</v>
      </c>
      <c r="C194" s="19" t="s">
        <v>31</v>
      </c>
      <c r="D194" s="19" t="s">
        <v>12</v>
      </c>
      <c r="E194" s="19" t="s">
        <v>216</v>
      </c>
      <c r="F194" s="19"/>
      <c r="G194" s="20">
        <v>2107.6999999999998</v>
      </c>
      <c r="H194" s="20">
        <v>0</v>
      </c>
      <c r="I194" s="20">
        <v>0</v>
      </c>
      <c r="J194" s="237"/>
      <c r="K194" s="237"/>
      <c r="L194" s="237"/>
      <c r="M194" s="237"/>
      <c r="N194" s="237"/>
      <c r="O194" s="237"/>
      <c r="P194" s="237"/>
      <c r="Q194" s="237"/>
    </row>
    <row r="195" spans="1:23" s="26" customFormat="1" ht="25.5" x14ac:dyDescent="0.2">
      <c r="A195" s="28" t="s">
        <v>76</v>
      </c>
      <c r="B195" s="31">
        <v>905</v>
      </c>
      <c r="C195" s="24" t="s">
        <v>31</v>
      </c>
      <c r="D195" s="24" t="s">
        <v>12</v>
      </c>
      <c r="E195" s="24" t="s">
        <v>216</v>
      </c>
      <c r="F195" s="24" t="s">
        <v>68</v>
      </c>
      <c r="G195" s="25">
        <v>2107.6999999999998</v>
      </c>
      <c r="H195" s="62">
        <v>0</v>
      </c>
      <c r="I195" s="62">
        <v>0</v>
      </c>
    </row>
    <row r="196" spans="1:23" s="9" customFormat="1" x14ac:dyDescent="0.2">
      <c r="A196" s="11" t="s">
        <v>52</v>
      </c>
      <c r="B196" s="14">
        <v>905</v>
      </c>
      <c r="C196" s="8" t="s">
        <v>51</v>
      </c>
      <c r="D196" s="8"/>
      <c r="E196" s="8"/>
      <c r="F196" s="8"/>
      <c r="G196" s="4">
        <v>85528.599999999991</v>
      </c>
      <c r="H196" s="4">
        <v>57824.2</v>
      </c>
      <c r="I196" s="4">
        <v>57824.2</v>
      </c>
    </row>
    <row r="197" spans="1:23" s="9" customFormat="1" x14ac:dyDescent="0.2">
      <c r="A197" s="11" t="s">
        <v>55</v>
      </c>
      <c r="B197" s="14">
        <v>905</v>
      </c>
      <c r="C197" s="8" t="s">
        <v>51</v>
      </c>
      <c r="D197" s="8" t="s">
        <v>16</v>
      </c>
      <c r="E197" s="8"/>
      <c r="F197" s="8"/>
      <c r="G197" s="4">
        <v>2568.1999999999998</v>
      </c>
      <c r="H197" s="4">
        <v>0</v>
      </c>
      <c r="I197" s="4">
        <v>0</v>
      </c>
      <c r="J197" s="127"/>
      <c r="K197" s="127"/>
      <c r="L197" s="127"/>
      <c r="M197" s="127"/>
      <c r="N197" s="127"/>
      <c r="O197" s="127"/>
      <c r="P197" s="127"/>
      <c r="Q197" s="127"/>
    </row>
    <row r="198" spans="1:23" ht="38.25" x14ac:dyDescent="0.2">
      <c r="A198" s="18" t="s">
        <v>341</v>
      </c>
      <c r="B198" s="22">
        <v>905</v>
      </c>
      <c r="C198" s="19" t="s">
        <v>51</v>
      </c>
      <c r="D198" s="19" t="s">
        <v>16</v>
      </c>
      <c r="E198" s="19" t="s">
        <v>170</v>
      </c>
      <c r="F198" s="19"/>
      <c r="G198" s="20">
        <v>2568.1999999999998</v>
      </c>
      <c r="H198" s="20">
        <v>0</v>
      </c>
      <c r="I198" s="20">
        <v>0</v>
      </c>
      <c r="J198" s="117"/>
      <c r="K198" s="117"/>
      <c r="L198" s="117"/>
      <c r="M198" s="117"/>
      <c r="N198" s="117"/>
      <c r="O198" s="117"/>
      <c r="P198" s="117"/>
      <c r="Q198" s="117"/>
    </row>
    <row r="199" spans="1:23" s="26" customFormat="1" ht="25.5" x14ac:dyDescent="0.2">
      <c r="A199" s="28" t="s">
        <v>83</v>
      </c>
      <c r="B199" s="31">
        <v>905</v>
      </c>
      <c r="C199" s="24" t="s">
        <v>51</v>
      </c>
      <c r="D199" s="24" t="s">
        <v>16</v>
      </c>
      <c r="E199" s="24" t="s">
        <v>170</v>
      </c>
      <c r="F199" s="24" t="s">
        <v>71</v>
      </c>
      <c r="G199" s="25">
        <v>2568.1999999999998</v>
      </c>
      <c r="H199" s="25">
        <v>0</v>
      </c>
      <c r="I199" s="25">
        <v>0</v>
      </c>
      <c r="J199" s="118"/>
      <c r="K199" s="118"/>
      <c r="L199" s="118"/>
      <c r="M199" s="118"/>
      <c r="N199" s="118"/>
      <c r="O199" s="118"/>
      <c r="P199" s="118"/>
      <c r="Q199" s="118"/>
    </row>
    <row r="200" spans="1:23" s="9" customFormat="1" x14ac:dyDescent="0.2">
      <c r="A200" s="11" t="s">
        <v>56</v>
      </c>
      <c r="B200" s="14">
        <v>905</v>
      </c>
      <c r="C200" s="8" t="s">
        <v>51</v>
      </c>
      <c r="D200" s="8" t="s">
        <v>18</v>
      </c>
      <c r="E200" s="8"/>
      <c r="F200" s="8"/>
      <c r="G200" s="4">
        <v>82960.399999999994</v>
      </c>
      <c r="H200" s="4">
        <v>57824.2</v>
      </c>
      <c r="I200" s="4">
        <v>57824.2</v>
      </c>
    </row>
    <row r="201" spans="1:23" ht="39" customHeight="1" x14ac:dyDescent="0.2">
      <c r="A201" s="18" t="s">
        <v>217</v>
      </c>
      <c r="B201" s="22">
        <v>905</v>
      </c>
      <c r="C201" s="19" t="s">
        <v>51</v>
      </c>
      <c r="D201" s="16" t="s">
        <v>18</v>
      </c>
      <c r="E201" s="19" t="s">
        <v>133</v>
      </c>
      <c r="F201" s="19"/>
      <c r="G201" s="20">
        <v>24881.1</v>
      </c>
      <c r="H201" s="20">
        <v>25876.2</v>
      </c>
      <c r="I201" s="20">
        <v>25876.2</v>
      </c>
      <c r="J201" s="237"/>
      <c r="K201" s="237"/>
      <c r="L201" s="237"/>
      <c r="M201" s="237"/>
      <c r="N201" s="237"/>
      <c r="O201" s="237"/>
      <c r="P201" s="237"/>
      <c r="Q201" s="237"/>
    </row>
    <row r="202" spans="1:23" s="26" customFormat="1" ht="25.5" x14ac:dyDescent="0.2">
      <c r="A202" s="28" t="s">
        <v>83</v>
      </c>
      <c r="B202" s="31">
        <v>905</v>
      </c>
      <c r="C202" s="24" t="s">
        <v>51</v>
      </c>
      <c r="D202" s="24" t="s">
        <v>18</v>
      </c>
      <c r="E202" s="19" t="s">
        <v>133</v>
      </c>
      <c r="F202" s="24" t="s">
        <v>71</v>
      </c>
      <c r="G202" s="25">
        <v>24881.1</v>
      </c>
      <c r="H202" s="25">
        <v>25876.2</v>
      </c>
      <c r="I202" s="25">
        <v>25876.2</v>
      </c>
    </row>
    <row r="203" spans="1:23" ht="41.25" customHeight="1" x14ac:dyDescent="0.2">
      <c r="A203" s="18" t="s">
        <v>217</v>
      </c>
      <c r="B203" s="18">
        <v>905</v>
      </c>
      <c r="C203" s="19" t="s">
        <v>51</v>
      </c>
      <c r="D203" s="16" t="s">
        <v>18</v>
      </c>
      <c r="E203" s="19" t="s">
        <v>353</v>
      </c>
      <c r="F203" s="19"/>
      <c r="G203" s="20">
        <v>58079.3</v>
      </c>
      <c r="H203" s="20">
        <v>31948</v>
      </c>
      <c r="I203" s="20">
        <v>31948</v>
      </c>
      <c r="J203" s="237"/>
      <c r="K203" s="237"/>
      <c r="L203" s="237"/>
      <c r="M203" s="237"/>
      <c r="N203" s="237"/>
      <c r="O203" s="237"/>
      <c r="P203" s="237"/>
      <c r="Q203" s="237"/>
      <c r="S203" s="270"/>
      <c r="T203" s="270"/>
      <c r="U203" s="270"/>
      <c r="V203" s="270"/>
      <c r="W203" s="270"/>
    </row>
    <row r="204" spans="1:23" s="79" customFormat="1" ht="25.5" x14ac:dyDescent="0.2">
      <c r="A204" s="87" t="s">
        <v>83</v>
      </c>
      <c r="B204" s="87">
        <v>905</v>
      </c>
      <c r="C204" s="82" t="s">
        <v>51</v>
      </c>
      <c r="D204" s="82" t="s">
        <v>18</v>
      </c>
      <c r="E204" s="77" t="s">
        <v>353</v>
      </c>
      <c r="F204" s="82" t="s">
        <v>71</v>
      </c>
      <c r="G204" s="62">
        <v>58079.3</v>
      </c>
      <c r="H204" s="62">
        <v>31948</v>
      </c>
      <c r="I204" s="62">
        <v>31948</v>
      </c>
      <c r="S204" s="270"/>
      <c r="T204" s="270"/>
      <c r="U204" s="270"/>
      <c r="V204" s="270"/>
      <c r="W204" s="270"/>
    </row>
    <row r="205" spans="1:23" s="9" customFormat="1" ht="25.5" x14ac:dyDescent="0.2">
      <c r="A205" s="40" t="s">
        <v>63</v>
      </c>
      <c r="B205" s="37">
        <v>906</v>
      </c>
      <c r="C205" s="41"/>
      <c r="D205" s="41"/>
      <c r="E205" s="41"/>
      <c r="F205" s="41"/>
      <c r="G205" s="39">
        <v>2941.3</v>
      </c>
      <c r="H205" s="39">
        <v>2528.4</v>
      </c>
      <c r="I205" s="39">
        <v>2528.4</v>
      </c>
    </row>
    <row r="206" spans="1:23" s="3" customFormat="1" x14ac:dyDescent="0.2">
      <c r="A206" s="13" t="s">
        <v>60</v>
      </c>
      <c r="B206" s="42">
        <v>906</v>
      </c>
      <c r="C206" s="1" t="s">
        <v>12</v>
      </c>
      <c r="D206" s="1"/>
      <c r="E206" s="1"/>
      <c r="F206" s="1"/>
      <c r="G206" s="2">
        <v>2941.3</v>
      </c>
      <c r="H206" s="2">
        <v>2528.4</v>
      </c>
      <c r="I206" s="2">
        <v>2528.4</v>
      </c>
    </row>
    <row r="207" spans="1:23" s="9" customFormat="1" ht="38.25" x14ac:dyDescent="0.2">
      <c r="A207" s="11" t="s">
        <v>82</v>
      </c>
      <c r="B207" s="14">
        <v>906</v>
      </c>
      <c r="C207" s="8" t="s">
        <v>12</v>
      </c>
      <c r="D207" s="8" t="s">
        <v>50</v>
      </c>
      <c r="E207" s="8"/>
      <c r="F207" s="8"/>
      <c r="G207" s="4">
        <v>2941.3</v>
      </c>
      <c r="H207" s="4">
        <v>2528.4</v>
      </c>
      <c r="I207" s="4">
        <v>2528.4</v>
      </c>
    </row>
    <row r="208" spans="1:23" x14ac:dyDescent="0.2">
      <c r="A208" s="18" t="s">
        <v>219</v>
      </c>
      <c r="B208" s="22">
        <v>906</v>
      </c>
      <c r="C208" s="19" t="s">
        <v>12</v>
      </c>
      <c r="D208" s="19" t="s">
        <v>50</v>
      </c>
      <c r="E208" s="19" t="s">
        <v>218</v>
      </c>
      <c r="F208" s="19"/>
      <c r="G208" s="20">
        <v>2175</v>
      </c>
      <c r="H208" s="20">
        <v>1889.9</v>
      </c>
      <c r="I208" s="20">
        <v>1889.9</v>
      </c>
      <c r="J208" s="117"/>
      <c r="K208" s="117"/>
      <c r="L208" s="117"/>
      <c r="M208" s="117"/>
      <c r="N208" s="117"/>
      <c r="O208" s="117"/>
      <c r="P208" s="117"/>
      <c r="Q208" s="117"/>
    </row>
    <row r="209" spans="1:17" s="26" customFormat="1" ht="53.25" customHeight="1" x14ac:dyDescent="0.2">
      <c r="A209" s="30" t="s">
        <v>66</v>
      </c>
      <c r="B209" s="32">
        <v>906</v>
      </c>
      <c r="C209" s="24" t="s">
        <v>12</v>
      </c>
      <c r="D209" s="24" t="s">
        <v>50</v>
      </c>
      <c r="E209" s="24" t="s">
        <v>218</v>
      </c>
      <c r="F209" s="27" t="s">
        <v>67</v>
      </c>
      <c r="G209" s="25">
        <v>1719.6</v>
      </c>
      <c r="H209" s="25">
        <v>1434.5</v>
      </c>
      <c r="I209" s="25">
        <v>1434.5</v>
      </c>
      <c r="J209" s="118"/>
      <c r="K209" s="118"/>
      <c r="L209" s="118"/>
      <c r="M209" s="118"/>
      <c r="N209" s="118"/>
      <c r="O209" s="118"/>
      <c r="P209" s="118"/>
      <c r="Q209" s="118"/>
    </row>
    <row r="210" spans="1:17" s="26" customFormat="1" ht="25.5" x14ac:dyDescent="0.2">
      <c r="A210" s="28" t="s">
        <v>76</v>
      </c>
      <c r="B210" s="31">
        <v>906</v>
      </c>
      <c r="C210" s="24" t="s">
        <v>12</v>
      </c>
      <c r="D210" s="24" t="s">
        <v>50</v>
      </c>
      <c r="E210" s="24" t="s">
        <v>218</v>
      </c>
      <c r="F210" s="27" t="s">
        <v>68</v>
      </c>
      <c r="G210" s="25">
        <v>455</v>
      </c>
      <c r="H210" s="25">
        <v>455</v>
      </c>
      <c r="I210" s="25">
        <v>455</v>
      </c>
    </row>
    <row r="211" spans="1:17" s="26" customFormat="1" x14ac:dyDescent="0.2">
      <c r="A211" s="28" t="s">
        <v>72</v>
      </c>
      <c r="B211" s="31">
        <v>906</v>
      </c>
      <c r="C211" s="24" t="s">
        <v>12</v>
      </c>
      <c r="D211" s="24" t="s">
        <v>50</v>
      </c>
      <c r="E211" s="24" t="s">
        <v>218</v>
      </c>
      <c r="F211" s="24" t="s">
        <v>73</v>
      </c>
      <c r="G211" s="25">
        <v>0.4</v>
      </c>
      <c r="H211" s="25">
        <v>0.4</v>
      </c>
      <c r="I211" s="25">
        <v>0.4</v>
      </c>
    </row>
    <row r="212" spans="1:17" x14ac:dyDescent="0.2">
      <c r="A212" s="18" t="s">
        <v>220</v>
      </c>
      <c r="B212" s="22">
        <v>906</v>
      </c>
      <c r="C212" s="19" t="s">
        <v>12</v>
      </c>
      <c r="D212" s="19" t="s">
        <v>50</v>
      </c>
      <c r="E212" s="19" t="s">
        <v>221</v>
      </c>
      <c r="F212" s="19"/>
      <c r="G212" s="20">
        <v>766.3</v>
      </c>
      <c r="H212" s="20">
        <v>638.5</v>
      </c>
      <c r="I212" s="20">
        <v>638.5</v>
      </c>
      <c r="J212" s="117"/>
      <c r="K212" s="117"/>
      <c r="L212" s="117"/>
      <c r="M212" s="117"/>
      <c r="N212" s="117"/>
      <c r="O212" s="117"/>
      <c r="P212" s="117"/>
      <c r="Q212" s="117"/>
    </row>
    <row r="213" spans="1:17" s="26" customFormat="1" ht="51" customHeight="1" x14ac:dyDescent="0.2">
      <c r="A213" s="30" t="s">
        <v>66</v>
      </c>
      <c r="B213" s="32">
        <v>906</v>
      </c>
      <c r="C213" s="24" t="s">
        <v>12</v>
      </c>
      <c r="D213" s="24" t="s">
        <v>50</v>
      </c>
      <c r="E213" s="24" t="s">
        <v>221</v>
      </c>
      <c r="F213" s="27" t="s">
        <v>67</v>
      </c>
      <c r="G213" s="25">
        <v>766.3</v>
      </c>
      <c r="H213" s="25">
        <v>638.5</v>
      </c>
      <c r="I213" s="25">
        <v>638.5</v>
      </c>
      <c r="J213" s="118"/>
      <c r="K213" s="118"/>
      <c r="L213" s="118"/>
      <c r="M213" s="118"/>
      <c r="N213" s="118"/>
      <c r="O213" s="118"/>
      <c r="P213" s="118"/>
      <c r="Q213" s="118"/>
    </row>
    <row r="214" spans="1:17" s="9" customFormat="1" ht="25.5" x14ac:dyDescent="0.2">
      <c r="A214" s="40" t="s">
        <v>77</v>
      </c>
      <c r="B214" s="37">
        <v>907</v>
      </c>
      <c r="C214" s="41"/>
      <c r="D214" s="41"/>
      <c r="E214" s="41"/>
      <c r="F214" s="41"/>
      <c r="G214" s="39">
        <v>8410.8999999999978</v>
      </c>
      <c r="H214" s="39">
        <v>7479.4000000000005</v>
      </c>
      <c r="I214" s="39">
        <v>7479.4000000000005</v>
      </c>
    </row>
    <row r="215" spans="1:17" s="3" customFormat="1" x14ac:dyDescent="0.2">
      <c r="A215" s="13" t="s">
        <v>60</v>
      </c>
      <c r="B215" s="42">
        <v>907</v>
      </c>
      <c r="C215" s="1" t="s">
        <v>12</v>
      </c>
      <c r="D215" s="1"/>
      <c r="E215" s="1"/>
      <c r="F215" s="1"/>
      <c r="G215" s="2">
        <v>8410.8999999999978</v>
      </c>
      <c r="H215" s="2">
        <v>7479.4000000000005</v>
      </c>
      <c r="I215" s="2">
        <v>7479.4000000000005</v>
      </c>
    </row>
    <row r="216" spans="1:17" s="9" customFormat="1" ht="51" x14ac:dyDescent="0.2">
      <c r="A216" s="11" t="s">
        <v>15</v>
      </c>
      <c r="B216" s="14">
        <v>907</v>
      </c>
      <c r="C216" s="8" t="s">
        <v>12</v>
      </c>
      <c r="D216" s="8" t="s">
        <v>16</v>
      </c>
      <c r="E216" s="8"/>
      <c r="F216" s="8"/>
      <c r="G216" s="4">
        <v>8266.5999999999985</v>
      </c>
      <c r="H216" s="4">
        <v>7335.1</v>
      </c>
      <c r="I216" s="4">
        <v>7335.1</v>
      </c>
      <c r="J216" s="127"/>
      <c r="K216" s="127"/>
      <c r="L216" s="127"/>
      <c r="M216" s="127"/>
      <c r="N216" s="127"/>
      <c r="O216" s="127"/>
      <c r="P216" s="127"/>
      <c r="Q216" s="127"/>
    </row>
    <row r="217" spans="1:17" x14ac:dyDescent="0.2">
      <c r="A217" s="18" t="s">
        <v>219</v>
      </c>
      <c r="B217" s="22">
        <v>907</v>
      </c>
      <c r="C217" s="19" t="s">
        <v>12</v>
      </c>
      <c r="D217" s="19" t="s">
        <v>16</v>
      </c>
      <c r="E217" s="19" t="s">
        <v>218</v>
      </c>
      <c r="F217" s="19"/>
      <c r="G217" s="20">
        <v>3446.2999999999997</v>
      </c>
      <c r="H217" s="20">
        <v>3003.7</v>
      </c>
      <c r="I217" s="20">
        <v>3003.7</v>
      </c>
      <c r="J217" s="117"/>
      <c r="K217" s="117"/>
      <c r="L217" s="117"/>
      <c r="M217" s="117"/>
      <c r="N217" s="117"/>
      <c r="O217" s="117"/>
      <c r="P217" s="117"/>
      <c r="Q217" s="117"/>
    </row>
    <row r="218" spans="1:17" s="26" customFormat="1" ht="51.75" customHeight="1" x14ac:dyDescent="0.2">
      <c r="A218" s="30" t="s">
        <v>66</v>
      </c>
      <c r="B218" s="32">
        <v>907</v>
      </c>
      <c r="C218" s="24" t="s">
        <v>12</v>
      </c>
      <c r="D218" s="24" t="s">
        <v>16</v>
      </c>
      <c r="E218" s="24" t="s">
        <v>218</v>
      </c>
      <c r="F218" s="27" t="s">
        <v>67</v>
      </c>
      <c r="G218" s="25">
        <v>2990.2</v>
      </c>
      <c r="H218" s="25">
        <v>2547.6</v>
      </c>
      <c r="I218" s="25">
        <v>2547.6</v>
      </c>
      <c r="J218" s="118"/>
      <c r="K218" s="118"/>
      <c r="L218" s="118"/>
      <c r="M218" s="118"/>
      <c r="N218" s="118"/>
      <c r="O218" s="118"/>
      <c r="P218" s="118"/>
      <c r="Q218" s="118"/>
    </row>
    <row r="219" spans="1:17" s="26" customFormat="1" ht="25.5" x14ac:dyDescent="0.2">
      <c r="A219" s="28" t="s">
        <v>76</v>
      </c>
      <c r="B219" s="32">
        <v>907</v>
      </c>
      <c r="C219" s="24" t="s">
        <v>12</v>
      </c>
      <c r="D219" s="24" t="s">
        <v>16</v>
      </c>
      <c r="E219" s="24" t="s">
        <v>218</v>
      </c>
      <c r="F219" s="27" t="s">
        <v>68</v>
      </c>
      <c r="G219" s="25">
        <v>454.1</v>
      </c>
      <c r="H219" s="25">
        <v>454.1</v>
      </c>
      <c r="I219" s="25">
        <v>454.1</v>
      </c>
    </row>
    <row r="220" spans="1:17" s="26" customFormat="1" x14ac:dyDescent="0.2">
      <c r="A220" s="28" t="s">
        <v>72</v>
      </c>
      <c r="B220" s="31">
        <v>907</v>
      </c>
      <c r="C220" s="24" t="s">
        <v>12</v>
      </c>
      <c r="D220" s="24" t="s">
        <v>16</v>
      </c>
      <c r="E220" s="24" t="s">
        <v>218</v>
      </c>
      <c r="F220" s="24" t="s">
        <v>73</v>
      </c>
      <c r="G220" s="25">
        <v>2</v>
      </c>
      <c r="H220" s="25">
        <v>2</v>
      </c>
      <c r="I220" s="25">
        <v>2</v>
      </c>
    </row>
    <row r="221" spans="1:17" ht="25.5" x14ac:dyDescent="0.2">
      <c r="A221" s="18" t="s">
        <v>222</v>
      </c>
      <c r="B221" s="22">
        <v>907</v>
      </c>
      <c r="C221" s="19" t="s">
        <v>12</v>
      </c>
      <c r="D221" s="19" t="s">
        <v>16</v>
      </c>
      <c r="E221" s="19" t="s">
        <v>224</v>
      </c>
      <c r="F221" s="19"/>
      <c r="G221" s="20">
        <v>1817</v>
      </c>
      <c r="H221" s="20">
        <v>1514.4</v>
      </c>
      <c r="I221" s="20">
        <v>1514.4</v>
      </c>
      <c r="J221" s="117"/>
      <c r="K221" s="117"/>
      <c r="L221" s="117"/>
      <c r="M221" s="117"/>
      <c r="N221" s="117"/>
      <c r="O221" s="117"/>
      <c r="P221" s="117"/>
      <c r="Q221" s="117"/>
    </row>
    <row r="222" spans="1:17" s="26" customFormat="1" ht="51.75" customHeight="1" x14ac:dyDescent="0.2">
      <c r="A222" s="30" t="s">
        <v>66</v>
      </c>
      <c r="B222" s="32">
        <v>907</v>
      </c>
      <c r="C222" s="24" t="s">
        <v>12</v>
      </c>
      <c r="D222" s="24" t="s">
        <v>16</v>
      </c>
      <c r="E222" s="24" t="s">
        <v>224</v>
      </c>
      <c r="F222" s="27" t="s">
        <v>67</v>
      </c>
      <c r="G222" s="25">
        <v>1817</v>
      </c>
      <c r="H222" s="25">
        <v>1514.4</v>
      </c>
      <c r="I222" s="25">
        <v>1514.4</v>
      </c>
      <c r="J222" s="118"/>
      <c r="K222" s="118"/>
      <c r="L222" s="118"/>
      <c r="M222" s="118"/>
      <c r="N222" s="118"/>
      <c r="O222" s="118"/>
      <c r="P222" s="118"/>
      <c r="Q222" s="118"/>
    </row>
    <row r="223" spans="1:17" ht="25.5" x14ac:dyDescent="0.2">
      <c r="A223" s="18" t="s">
        <v>223</v>
      </c>
      <c r="B223" s="22">
        <v>907</v>
      </c>
      <c r="C223" s="19" t="s">
        <v>12</v>
      </c>
      <c r="D223" s="19" t="s">
        <v>16</v>
      </c>
      <c r="E223" s="19" t="s">
        <v>225</v>
      </c>
      <c r="F223" s="19"/>
      <c r="G223" s="20">
        <v>3003.3</v>
      </c>
      <c r="H223" s="20">
        <v>2817</v>
      </c>
      <c r="I223" s="20">
        <v>2817</v>
      </c>
      <c r="J223" s="117"/>
      <c r="K223" s="117"/>
      <c r="L223" s="117"/>
      <c r="M223" s="117"/>
      <c r="N223" s="117"/>
      <c r="O223" s="117"/>
      <c r="P223" s="117"/>
      <c r="Q223" s="117"/>
    </row>
    <row r="224" spans="1:17" s="26" customFormat="1" ht="51" customHeight="1" x14ac:dyDescent="0.2">
      <c r="A224" s="30" t="s">
        <v>66</v>
      </c>
      <c r="B224" s="32">
        <v>907</v>
      </c>
      <c r="C224" s="24" t="s">
        <v>12</v>
      </c>
      <c r="D224" s="24" t="s">
        <v>16</v>
      </c>
      <c r="E224" s="24" t="s">
        <v>225</v>
      </c>
      <c r="F224" s="27" t="s">
        <v>67</v>
      </c>
      <c r="G224" s="25">
        <v>3003.3</v>
      </c>
      <c r="H224" s="25">
        <v>2817</v>
      </c>
      <c r="I224" s="25">
        <v>2817</v>
      </c>
      <c r="J224" s="118"/>
      <c r="K224" s="118"/>
      <c r="L224" s="118"/>
      <c r="M224" s="118"/>
      <c r="N224" s="118"/>
      <c r="O224" s="118"/>
      <c r="P224" s="118"/>
      <c r="Q224" s="118"/>
    </row>
    <row r="225" spans="1:17" s="9" customFormat="1" x14ac:dyDescent="0.2">
      <c r="A225" s="11" t="s">
        <v>24</v>
      </c>
      <c r="B225" s="14">
        <v>907</v>
      </c>
      <c r="C225" s="8" t="s">
        <v>12</v>
      </c>
      <c r="D225" s="8" t="s">
        <v>61</v>
      </c>
      <c r="E225" s="8"/>
      <c r="F225" s="8"/>
      <c r="G225" s="4">
        <v>144.30000000000001</v>
      </c>
      <c r="H225" s="4">
        <v>144.30000000000001</v>
      </c>
      <c r="I225" s="4">
        <v>144.30000000000001</v>
      </c>
    </row>
    <row r="226" spans="1:17" x14ac:dyDescent="0.2">
      <c r="A226" s="18" t="s">
        <v>227</v>
      </c>
      <c r="B226" s="22">
        <v>907</v>
      </c>
      <c r="C226" s="19" t="s">
        <v>12</v>
      </c>
      <c r="D226" s="19" t="s">
        <v>61</v>
      </c>
      <c r="E226" s="19" t="s">
        <v>226</v>
      </c>
      <c r="F226" s="19"/>
      <c r="G226" s="20">
        <v>144.30000000000001</v>
      </c>
      <c r="H226" s="20">
        <v>144.30000000000001</v>
      </c>
      <c r="I226" s="20">
        <v>144.30000000000001</v>
      </c>
      <c r="J226" s="237"/>
      <c r="K226" s="237"/>
      <c r="L226" s="237"/>
      <c r="M226" s="237"/>
      <c r="N226" s="237"/>
      <c r="O226" s="237"/>
      <c r="P226" s="237"/>
      <c r="Q226" s="237"/>
    </row>
    <row r="227" spans="1:17" s="26" customFormat="1" x14ac:dyDescent="0.2">
      <c r="A227" s="28" t="s">
        <v>69</v>
      </c>
      <c r="B227" s="31">
        <v>907</v>
      </c>
      <c r="C227" s="24" t="s">
        <v>12</v>
      </c>
      <c r="D227" s="24" t="s">
        <v>61</v>
      </c>
      <c r="E227" s="24" t="s">
        <v>226</v>
      </c>
      <c r="F227" s="24" t="s">
        <v>70</v>
      </c>
      <c r="G227" s="25">
        <v>144.30000000000001</v>
      </c>
      <c r="H227" s="25">
        <v>144.30000000000001</v>
      </c>
      <c r="I227" s="25">
        <v>144.30000000000001</v>
      </c>
    </row>
    <row r="228" spans="1:17" s="9" customFormat="1" ht="25.5" x14ac:dyDescent="0.2">
      <c r="A228" s="40" t="s">
        <v>46</v>
      </c>
      <c r="B228" s="37">
        <v>911</v>
      </c>
      <c r="C228" s="41"/>
      <c r="D228" s="41"/>
      <c r="E228" s="41"/>
      <c r="F228" s="41"/>
      <c r="G228" s="39">
        <v>1421667.3375000001</v>
      </c>
      <c r="H228" s="39">
        <v>1219267.2000000002</v>
      </c>
      <c r="I228" s="39">
        <v>1172635.6000000001</v>
      </c>
    </row>
    <row r="229" spans="1:17" s="99" customFormat="1" x14ac:dyDescent="0.2">
      <c r="A229" s="98" t="s">
        <v>37</v>
      </c>
      <c r="B229" s="64">
        <v>911</v>
      </c>
      <c r="C229" s="65" t="s">
        <v>19</v>
      </c>
      <c r="D229" s="65"/>
      <c r="E229" s="65"/>
      <c r="F229" s="65"/>
      <c r="G229" s="68">
        <v>1360963.5375000001</v>
      </c>
      <c r="H229" s="68">
        <v>1159429.0000000002</v>
      </c>
      <c r="I229" s="68">
        <v>1114746.5</v>
      </c>
    </row>
    <row r="230" spans="1:17" s="9" customFormat="1" x14ac:dyDescent="0.2">
      <c r="A230" s="11" t="s">
        <v>38</v>
      </c>
      <c r="B230" s="14">
        <v>911</v>
      </c>
      <c r="C230" s="8" t="s">
        <v>19</v>
      </c>
      <c r="D230" s="8" t="s">
        <v>12</v>
      </c>
      <c r="E230" s="8"/>
      <c r="F230" s="8"/>
      <c r="G230" s="4">
        <v>460052.4</v>
      </c>
      <c r="H230" s="4">
        <v>439750.1</v>
      </c>
      <c r="I230" s="4">
        <v>431938.5</v>
      </c>
    </row>
    <row r="231" spans="1:17" ht="25.5" x14ac:dyDescent="0.2">
      <c r="A231" s="17" t="s">
        <v>163</v>
      </c>
      <c r="B231" s="17">
        <v>911</v>
      </c>
      <c r="C231" s="19" t="s">
        <v>19</v>
      </c>
      <c r="D231" s="19" t="s">
        <v>12</v>
      </c>
      <c r="E231" s="19" t="s">
        <v>162</v>
      </c>
      <c r="F231" s="5"/>
      <c r="G231" s="6">
        <v>8853.5</v>
      </c>
      <c r="H231" s="6">
        <v>6701.7999999999993</v>
      </c>
      <c r="I231" s="6">
        <v>6701.7999999999993</v>
      </c>
      <c r="J231" s="117"/>
      <c r="K231" s="117"/>
      <c r="L231" s="117"/>
      <c r="M231" s="117"/>
      <c r="N231" s="117"/>
      <c r="O231" s="117"/>
      <c r="P231" s="117"/>
      <c r="Q231" s="117"/>
    </row>
    <row r="232" spans="1:17" ht="25.5" x14ac:dyDescent="0.2">
      <c r="A232" s="28" t="s">
        <v>76</v>
      </c>
      <c r="B232" s="28">
        <v>911</v>
      </c>
      <c r="C232" s="24" t="s">
        <v>19</v>
      </c>
      <c r="D232" s="24" t="s">
        <v>12</v>
      </c>
      <c r="E232" s="24" t="s">
        <v>162</v>
      </c>
      <c r="F232" s="24" t="s">
        <v>68</v>
      </c>
      <c r="G232" s="25">
        <v>2038.6</v>
      </c>
      <c r="H232" s="25">
        <v>1177</v>
      </c>
      <c r="I232" s="25">
        <v>1177</v>
      </c>
      <c r="J232" s="117"/>
      <c r="K232" s="117"/>
      <c r="L232" s="117"/>
      <c r="M232" s="117"/>
      <c r="N232" s="117"/>
      <c r="O232" s="117"/>
      <c r="P232" s="117"/>
      <c r="Q232" s="117"/>
    </row>
    <row r="233" spans="1:17" ht="25.5" x14ac:dyDescent="0.2">
      <c r="A233" s="28" t="s">
        <v>141</v>
      </c>
      <c r="B233" s="28">
        <v>911</v>
      </c>
      <c r="C233" s="24" t="s">
        <v>19</v>
      </c>
      <c r="D233" s="24" t="s">
        <v>12</v>
      </c>
      <c r="E233" s="24" t="s">
        <v>162</v>
      </c>
      <c r="F233" s="24" t="s">
        <v>65</v>
      </c>
      <c r="G233" s="25">
        <v>6814.9</v>
      </c>
      <c r="H233" s="25">
        <v>5524.7999999999993</v>
      </c>
      <c r="I233" s="25">
        <v>5524.7999999999993</v>
      </c>
      <c r="J233" s="117"/>
      <c r="K233" s="117"/>
      <c r="L233" s="117"/>
      <c r="M233" s="117"/>
      <c r="N233" s="117"/>
      <c r="O233" s="117"/>
      <c r="P233" s="117"/>
      <c r="Q233" s="117"/>
    </row>
    <row r="234" spans="1:17" x14ac:dyDescent="0.2">
      <c r="A234" s="18" t="s">
        <v>174</v>
      </c>
      <c r="B234" s="22">
        <v>911</v>
      </c>
      <c r="C234" s="19" t="s">
        <v>19</v>
      </c>
      <c r="D234" s="19" t="s">
        <v>12</v>
      </c>
      <c r="E234" s="24" t="s">
        <v>173</v>
      </c>
      <c r="F234" s="19"/>
      <c r="G234" s="20">
        <v>4135.5</v>
      </c>
      <c r="H234" s="20">
        <v>0</v>
      </c>
      <c r="I234" s="20">
        <v>0</v>
      </c>
      <c r="J234" s="117"/>
      <c r="K234" s="117"/>
      <c r="L234" s="117"/>
      <c r="M234" s="117"/>
      <c r="N234" s="117"/>
      <c r="O234" s="117"/>
      <c r="P234" s="117"/>
      <c r="Q234" s="117"/>
    </row>
    <row r="235" spans="1:17" s="26" customFormat="1" ht="25.5" x14ac:dyDescent="0.2">
      <c r="A235" s="28" t="s">
        <v>83</v>
      </c>
      <c r="B235" s="22">
        <v>911</v>
      </c>
      <c r="C235" s="19" t="s">
        <v>19</v>
      </c>
      <c r="D235" s="19" t="s">
        <v>12</v>
      </c>
      <c r="E235" s="24" t="s">
        <v>173</v>
      </c>
      <c r="F235" s="24" t="s">
        <v>71</v>
      </c>
      <c r="G235" s="25">
        <v>4135.5</v>
      </c>
      <c r="H235" s="25">
        <v>0</v>
      </c>
      <c r="I235" s="25">
        <v>0</v>
      </c>
      <c r="J235" s="118"/>
      <c r="K235" s="118"/>
      <c r="L235" s="118"/>
      <c r="M235" s="118"/>
      <c r="N235" s="118"/>
      <c r="O235" s="118"/>
      <c r="P235" s="118"/>
      <c r="Q235" s="118"/>
    </row>
    <row r="236" spans="1:17" ht="51" x14ac:dyDescent="0.2">
      <c r="A236" s="60" t="s">
        <v>360</v>
      </c>
      <c r="B236" s="22">
        <v>911</v>
      </c>
      <c r="C236" s="19" t="s">
        <v>19</v>
      </c>
      <c r="D236" s="19" t="s">
        <v>12</v>
      </c>
      <c r="E236" s="19" t="s">
        <v>123</v>
      </c>
      <c r="F236" s="19"/>
      <c r="G236" s="20">
        <v>245466.7</v>
      </c>
      <c r="H236" s="20">
        <v>256466.7</v>
      </c>
      <c r="I236" s="20">
        <v>256466.7</v>
      </c>
      <c r="J236" s="117"/>
      <c r="K236" s="117"/>
      <c r="L236" s="117"/>
      <c r="M236" s="117"/>
      <c r="N236" s="117"/>
      <c r="O236" s="117"/>
      <c r="P236" s="117"/>
      <c r="Q236" s="117"/>
    </row>
    <row r="237" spans="1:17" ht="49.5" customHeight="1" x14ac:dyDescent="0.2">
      <c r="A237" s="30" t="s">
        <v>66</v>
      </c>
      <c r="B237" s="23">
        <v>911</v>
      </c>
      <c r="C237" s="24" t="s">
        <v>19</v>
      </c>
      <c r="D237" s="24" t="s">
        <v>12</v>
      </c>
      <c r="E237" s="24" t="s">
        <v>123</v>
      </c>
      <c r="F237" s="27" t="s">
        <v>67</v>
      </c>
      <c r="G237" s="25">
        <v>40850.5</v>
      </c>
      <c r="H237" s="25">
        <v>41527.5</v>
      </c>
      <c r="I237" s="25">
        <v>41527.5</v>
      </c>
      <c r="J237" s="117"/>
      <c r="K237" s="117"/>
      <c r="L237" s="117"/>
      <c r="M237" s="117"/>
      <c r="N237" s="117"/>
      <c r="O237" s="117"/>
      <c r="P237" s="117"/>
      <c r="Q237" s="117"/>
    </row>
    <row r="238" spans="1:17" ht="25.5" x14ac:dyDescent="0.2">
      <c r="A238" s="28" t="s">
        <v>76</v>
      </c>
      <c r="B238" s="23">
        <v>911</v>
      </c>
      <c r="C238" s="24" t="s">
        <v>19</v>
      </c>
      <c r="D238" s="24" t="s">
        <v>12</v>
      </c>
      <c r="E238" s="24" t="s">
        <v>123</v>
      </c>
      <c r="F238" s="27" t="s">
        <v>68</v>
      </c>
      <c r="G238" s="25">
        <v>148.4</v>
      </c>
      <c r="H238" s="25">
        <v>148.4</v>
      </c>
      <c r="I238" s="25">
        <v>148.4</v>
      </c>
      <c r="J238" s="237"/>
      <c r="K238" s="237"/>
      <c r="L238" s="237"/>
      <c r="M238" s="237"/>
      <c r="N238" s="237"/>
      <c r="O238" s="237"/>
      <c r="P238" s="237"/>
      <c r="Q238" s="237"/>
    </row>
    <row r="239" spans="1:17" s="26" customFormat="1" ht="25.5" x14ac:dyDescent="0.2">
      <c r="A239" s="28" t="s">
        <v>141</v>
      </c>
      <c r="B239" s="31">
        <v>911</v>
      </c>
      <c r="C239" s="24" t="s">
        <v>19</v>
      </c>
      <c r="D239" s="24" t="s">
        <v>12</v>
      </c>
      <c r="E239" s="24" t="s">
        <v>123</v>
      </c>
      <c r="F239" s="24" t="s">
        <v>65</v>
      </c>
      <c r="G239" s="25">
        <v>204467.80000000002</v>
      </c>
      <c r="H239" s="25">
        <v>214790.80000000002</v>
      </c>
      <c r="I239" s="25">
        <v>214790.80000000002</v>
      </c>
      <c r="J239" s="118"/>
      <c r="K239" s="118"/>
      <c r="L239" s="118"/>
      <c r="M239" s="118"/>
      <c r="N239" s="118"/>
      <c r="O239" s="118"/>
      <c r="P239" s="118"/>
      <c r="Q239" s="118"/>
    </row>
    <row r="240" spans="1:17" ht="63.75" x14ac:dyDescent="0.2">
      <c r="A240" s="18" t="s">
        <v>344</v>
      </c>
      <c r="B240" s="22">
        <v>911</v>
      </c>
      <c r="C240" s="19" t="s">
        <v>19</v>
      </c>
      <c r="D240" s="19" t="s">
        <v>12</v>
      </c>
      <c r="E240" s="19" t="s">
        <v>237</v>
      </c>
      <c r="F240" s="19"/>
      <c r="G240" s="20">
        <v>201332.69999999998</v>
      </c>
      <c r="H240" s="20">
        <v>176581.59999999998</v>
      </c>
      <c r="I240" s="20">
        <v>168770</v>
      </c>
      <c r="J240" s="117"/>
      <c r="K240" s="117"/>
      <c r="L240" s="117"/>
      <c r="M240" s="117"/>
      <c r="N240" s="117"/>
      <c r="O240" s="117"/>
      <c r="P240" s="117"/>
      <c r="Q240" s="117"/>
    </row>
    <row r="241" spans="1:17" ht="53.25" customHeight="1" x14ac:dyDescent="0.2">
      <c r="A241" s="30" t="s">
        <v>66</v>
      </c>
      <c r="B241" s="22">
        <v>911</v>
      </c>
      <c r="C241" s="19" t="s">
        <v>19</v>
      </c>
      <c r="D241" s="19" t="s">
        <v>12</v>
      </c>
      <c r="E241" s="19" t="s">
        <v>237</v>
      </c>
      <c r="F241" s="19" t="s">
        <v>67</v>
      </c>
      <c r="G241" s="20">
        <v>24355.5</v>
      </c>
      <c r="H241" s="20">
        <v>22781.9</v>
      </c>
      <c r="I241" s="20">
        <v>22781.9</v>
      </c>
      <c r="J241" s="117"/>
      <c r="K241" s="117"/>
      <c r="L241" s="117"/>
      <c r="M241" s="117"/>
      <c r="N241" s="117"/>
      <c r="O241" s="117"/>
      <c r="P241" s="117"/>
      <c r="Q241" s="117"/>
    </row>
    <row r="242" spans="1:17" ht="25.5" x14ac:dyDescent="0.2">
      <c r="A242" s="28" t="s">
        <v>76</v>
      </c>
      <c r="B242" s="23">
        <v>911</v>
      </c>
      <c r="C242" s="24" t="s">
        <v>19</v>
      </c>
      <c r="D242" s="24" t="s">
        <v>12</v>
      </c>
      <c r="E242" s="24" t="s">
        <v>237</v>
      </c>
      <c r="F242" s="27" t="s">
        <v>68</v>
      </c>
      <c r="G242" s="25">
        <v>11641.2</v>
      </c>
      <c r="H242" s="25">
        <v>9706.3000000000011</v>
      </c>
      <c r="I242" s="25">
        <v>8796.7000000000007</v>
      </c>
      <c r="J242" s="117"/>
      <c r="K242" s="117"/>
      <c r="L242" s="117"/>
      <c r="M242" s="117"/>
      <c r="N242" s="117"/>
      <c r="O242" s="117"/>
      <c r="P242" s="117"/>
      <c r="Q242" s="117"/>
    </row>
    <row r="243" spans="1:17" s="26" customFormat="1" ht="25.5" x14ac:dyDescent="0.2">
      <c r="A243" s="28" t="s">
        <v>141</v>
      </c>
      <c r="B243" s="31">
        <v>911</v>
      </c>
      <c r="C243" s="24" t="s">
        <v>19</v>
      </c>
      <c r="D243" s="24" t="s">
        <v>12</v>
      </c>
      <c r="E243" s="24" t="s">
        <v>237</v>
      </c>
      <c r="F243" s="24" t="s">
        <v>65</v>
      </c>
      <c r="G243" s="25">
        <v>164966.19999999998</v>
      </c>
      <c r="H243" s="25">
        <v>143502.9</v>
      </c>
      <c r="I243" s="25">
        <v>136600.9</v>
      </c>
      <c r="J243" s="118"/>
      <c r="K243" s="118"/>
      <c r="L243" s="118"/>
      <c r="M243" s="118"/>
      <c r="N243" s="118"/>
      <c r="O243" s="118"/>
      <c r="P243" s="118"/>
      <c r="Q243" s="118"/>
    </row>
    <row r="244" spans="1:17" s="26" customFormat="1" x14ac:dyDescent="0.2">
      <c r="A244" s="28" t="s">
        <v>72</v>
      </c>
      <c r="B244" s="31">
        <v>911</v>
      </c>
      <c r="C244" s="24" t="s">
        <v>19</v>
      </c>
      <c r="D244" s="24" t="s">
        <v>12</v>
      </c>
      <c r="E244" s="24" t="s">
        <v>237</v>
      </c>
      <c r="F244" s="24" t="s">
        <v>73</v>
      </c>
      <c r="G244" s="25">
        <v>369.79999999999995</v>
      </c>
      <c r="H244" s="25">
        <v>590.5</v>
      </c>
      <c r="I244" s="25">
        <v>590.5</v>
      </c>
      <c r="J244" s="118"/>
      <c r="K244" s="118"/>
      <c r="L244" s="118"/>
      <c r="M244" s="118"/>
      <c r="N244" s="118"/>
      <c r="O244" s="118"/>
      <c r="P244" s="118"/>
      <c r="Q244" s="118"/>
    </row>
    <row r="245" spans="1:17" s="26" customFormat="1" ht="25.5" x14ac:dyDescent="0.2">
      <c r="A245" s="18" t="s">
        <v>699</v>
      </c>
      <c r="B245" s="22">
        <v>911</v>
      </c>
      <c r="C245" s="19" t="s">
        <v>19</v>
      </c>
      <c r="D245" s="19" t="s">
        <v>12</v>
      </c>
      <c r="E245" s="19" t="s">
        <v>717</v>
      </c>
      <c r="F245" s="24"/>
      <c r="G245" s="25">
        <v>264</v>
      </c>
      <c r="H245" s="25">
        <v>0</v>
      </c>
      <c r="I245" s="25">
        <v>0</v>
      </c>
      <c r="J245" s="118"/>
      <c r="K245" s="118"/>
      <c r="L245" s="118"/>
      <c r="M245" s="118"/>
      <c r="N245" s="118"/>
      <c r="O245" s="118"/>
      <c r="P245" s="118"/>
      <c r="Q245" s="118"/>
    </row>
    <row r="246" spans="1:17" s="26" customFormat="1" ht="25.5" x14ac:dyDescent="0.2">
      <c r="A246" s="28" t="s">
        <v>76</v>
      </c>
      <c r="B246" s="31">
        <v>911</v>
      </c>
      <c r="C246" s="24" t="s">
        <v>19</v>
      </c>
      <c r="D246" s="24" t="s">
        <v>12</v>
      </c>
      <c r="E246" s="24" t="s">
        <v>717</v>
      </c>
      <c r="F246" s="24" t="s">
        <v>68</v>
      </c>
      <c r="G246" s="25">
        <v>264</v>
      </c>
      <c r="H246" s="25">
        <v>0</v>
      </c>
      <c r="I246" s="25">
        <v>0</v>
      </c>
      <c r="J246" s="118"/>
      <c r="K246" s="118"/>
      <c r="L246" s="118"/>
      <c r="M246" s="118"/>
      <c r="N246" s="118"/>
      <c r="O246" s="118"/>
      <c r="P246" s="118"/>
      <c r="Q246" s="118"/>
    </row>
    <row r="247" spans="1:17" s="9" customFormat="1" x14ac:dyDescent="0.2">
      <c r="A247" s="11" t="s">
        <v>39</v>
      </c>
      <c r="B247" s="14">
        <v>911</v>
      </c>
      <c r="C247" s="8" t="s">
        <v>19</v>
      </c>
      <c r="D247" s="8" t="s">
        <v>14</v>
      </c>
      <c r="E247" s="8"/>
      <c r="F247" s="8"/>
      <c r="G247" s="4">
        <v>675145.23749999993</v>
      </c>
      <c r="H247" s="4">
        <v>517636.20000000007</v>
      </c>
      <c r="I247" s="4">
        <v>484731.7</v>
      </c>
      <c r="J247" s="127"/>
      <c r="K247" s="127"/>
      <c r="L247" s="127"/>
      <c r="M247" s="127"/>
      <c r="N247" s="127"/>
      <c r="O247" s="127"/>
      <c r="P247" s="127"/>
      <c r="Q247" s="127"/>
    </row>
    <row r="248" spans="1:17" s="9" customFormat="1" ht="25.5" x14ac:dyDescent="0.2">
      <c r="A248" s="18" t="s">
        <v>443</v>
      </c>
      <c r="B248" s="18">
        <v>911</v>
      </c>
      <c r="C248" s="19" t="s">
        <v>19</v>
      </c>
      <c r="D248" s="19" t="s">
        <v>14</v>
      </c>
      <c r="E248" s="19" t="s">
        <v>691</v>
      </c>
      <c r="F248" s="19"/>
      <c r="G248" s="20">
        <v>1321.6100000000001</v>
      </c>
      <c r="H248" s="20">
        <v>0</v>
      </c>
      <c r="I248" s="20">
        <v>0</v>
      </c>
      <c r="J248" s="127"/>
      <c r="K248" s="127"/>
      <c r="L248" s="127"/>
      <c r="M248" s="127"/>
      <c r="N248" s="127"/>
      <c r="O248" s="127"/>
      <c r="P248" s="127"/>
      <c r="Q248" s="127"/>
    </row>
    <row r="249" spans="1:17" s="9" customFormat="1" ht="25.5" x14ac:dyDescent="0.2">
      <c r="A249" s="28" t="s">
        <v>141</v>
      </c>
      <c r="B249" s="28">
        <v>911</v>
      </c>
      <c r="C249" s="24" t="s">
        <v>19</v>
      </c>
      <c r="D249" s="24" t="s">
        <v>14</v>
      </c>
      <c r="E249" s="24" t="s">
        <v>691</v>
      </c>
      <c r="F249" s="24" t="s">
        <v>65</v>
      </c>
      <c r="G249" s="25">
        <v>1321.6100000000001</v>
      </c>
      <c r="H249" s="25">
        <v>0</v>
      </c>
      <c r="I249" s="25">
        <v>0</v>
      </c>
      <c r="J249" s="127"/>
      <c r="K249" s="127"/>
      <c r="L249" s="127"/>
      <c r="M249" s="127"/>
      <c r="N249" s="127"/>
      <c r="O249" s="127"/>
      <c r="P249" s="127"/>
      <c r="Q249" s="127"/>
    </row>
    <row r="250" spans="1:17" s="9" customFormat="1" ht="25.5" x14ac:dyDescent="0.2">
      <c r="A250" s="18" t="s">
        <v>443</v>
      </c>
      <c r="B250" s="18">
        <v>911</v>
      </c>
      <c r="C250" s="19" t="s">
        <v>19</v>
      </c>
      <c r="D250" s="19" t="s">
        <v>14</v>
      </c>
      <c r="E250" s="19" t="s">
        <v>721</v>
      </c>
      <c r="F250" s="19"/>
      <c r="G250" s="20">
        <v>1250</v>
      </c>
      <c r="H250" s="20">
        <v>0</v>
      </c>
      <c r="I250" s="20">
        <v>0</v>
      </c>
      <c r="J250" s="127"/>
      <c r="K250" s="127"/>
      <c r="L250" s="127"/>
      <c r="M250" s="127"/>
      <c r="N250" s="127"/>
      <c r="O250" s="127"/>
      <c r="P250" s="127"/>
      <c r="Q250" s="127"/>
    </row>
    <row r="251" spans="1:17" s="9" customFormat="1" ht="25.5" x14ac:dyDescent="0.2">
      <c r="A251" s="28" t="s">
        <v>141</v>
      </c>
      <c r="B251" s="28">
        <v>911</v>
      </c>
      <c r="C251" s="24" t="s">
        <v>19</v>
      </c>
      <c r="D251" s="24" t="s">
        <v>14</v>
      </c>
      <c r="E251" s="24" t="s">
        <v>721</v>
      </c>
      <c r="F251" s="24" t="s">
        <v>65</v>
      </c>
      <c r="G251" s="25">
        <v>1250</v>
      </c>
      <c r="H251" s="25">
        <v>0</v>
      </c>
      <c r="I251" s="25">
        <v>0</v>
      </c>
      <c r="J251" s="127"/>
      <c r="K251" s="127"/>
      <c r="L251" s="127"/>
      <c r="M251" s="127"/>
      <c r="N251" s="127"/>
      <c r="O251" s="127"/>
      <c r="P251" s="127"/>
      <c r="Q251" s="127"/>
    </row>
    <row r="252" spans="1:17" ht="25.5" x14ac:dyDescent="0.2">
      <c r="A252" s="17" t="s">
        <v>163</v>
      </c>
      <c r="B252" s="17">
        <v>911</v>
      </c>
      <c r="C252" s="19" t="s">
        <v>19</v>
      </c>
      <c r="D252" s="19" t="s">
        <v>14</v>
      </c>
      <c r="E252" s="19" t="s">
        <v>162</v>
      </c>
      <c r="F252" s="5"/>
      <c r="G252" s="6">
        <v>12421.895</v>
      </c>
      <c r="H252" s="6">
        <v>6744.9</v>
      </c>
      <c r="I252" s="6">
        <v>6744.9</v>
      </c>
      <c r="J252" s="117"/>
      <c r="K252" s="117"/>
      <c r="L252" s="117"/>
      <c r="M252" s="117"/>
      <c r="N252" s="117"/>
      <c r="O252" s="117"/>
      <c r="P252" s="117"/>
      <c r="Q252" s="117"/>
    </row>
    <row r="253" spans="1:17" ht="25.5" x14ac:dyDescent="0.2">
      <c r="A253" s="28" t="s">
        <v>76</v>
      </c>
      <c r="B253" s="28">
        <v>911</v>
      </c>
      <c r="C253" s="24" t="s">
        <v>19</v>
      </c>
      <c r="D253" s="24" t="s">
        <v>14</v>
      </c>
      <c r="E253" s="24" t="s">
        <v>162</v>
      </c>
      <c r="F253" s="24" t="s">
        <v>68</v>
      </c>
      <c r="G253" s="25">
        <v>2968.8950000000004</v>
      </c>
      <c r="H253" s="25">
        <v>2002.1</v>
      </c>
      <c r="I253" s="25">
        <v>2002.1</v>
      </c>
      <c r="J253" s="117"/>
      <c r="K253" s="117"/>
      <c r="L253" s="117"/>
      <c r="M253" s="117"/>
      <c r="N253" s="117"/>
      <c r="O253" s="117"/>
      <c r="P253" s="117"/>
      <c r="Q253" s="117"/>
    </row>
    <row r="254" spans="1:17" ht="25.5" x14ac:dyDescent="0.2">
      <c r="A254" s="28" t="s">
        <v>141</v>
      </c>
      <c r="B254" s="28">
        <v>911</v>
      </c>
      <c r="C254" s="24" t="s">
        <v>19</v>
      </c>
      <c r="D254" s="24" t="s">
        <v>14</v>
      </c>
      <c r="E254" s="24" t="s">
        <v>162</v>
      </c>
      <c r="F254" s="24" t="s">
        <v>65</v>
      </c>
      <c r="G254" s="25">
        <v>9453</v>
      </c>
      <c r="H254" s="25">
        <v>4742.7999999999993</v>
      </c>
      <c r="I254" s="25">
        <v>4742.7999999999993</v>
      </c>
      <c r="J254" s="117"/>
      <c r="K254" s="117"/>
      <c r="L254" s="117"/>
      <c r="M254" s="117"/>
      <c r="N254" s="117"/>
      <c r="O254" s="117"/>
      <c r="P254" s="117"/>
      <c r="Q254" s="117"/>
    </row>
    <row r="255" spans="1:17" ht="38.25" x14ac:dyDescent="0.2">
      <c r="A255" s="18" t="s">
        <v>685</v>
      </c>
      <c r="B255" s="18">
        <v>911</v>
      </c>
      <c r="C255" s="19" t="s">
        <v>19</v>
      </c>
      <c r="D255" s="19" t="s">
        <v>14</v>
      </c>
      <c r="E255" s="19" t="s">
        <v>686</v>
      </c>
      <c r="F255" s="19"/>
      <c r="G255" s="20">
        <v>126558.6425</v>
      </c>
      <c r="H255" s="20">
        <v>0</v>
      </c>
      <c r="I255" s="20">
        <v>0</v>
      </c>
      <c r="J255" s="117"/>
      <c r="K255" s="117"/>
      <c r="L255" s="117"/>
      <c r="M255" s="117"/>
      <c r="N255" s="117"/>
      <c r="O255" s="117"/>
      <c r="P255" s="117"/>
      <c r="Q255" s="117"/>
    </row>
    <row r="256" spans="1:17" s="26" customFormat="1" ht="25.5" x14ac:dyDescent="0.2">
      <c r="A256" s="28" t="s">
        <v>141</v>
      </c>
      <c r="B256" s="28">
        <v>911</v>
      </c>
      <c r="C256" s="24" t="s">
        <v>19</v>
      </c>
      <c r="D256" s="24" t="s">
        <v>14</v>
      </c>
      <c r="E256" s="24" t="s">
        <v>686</v>
      </c>
      <c r="F256" s="24" t="s">
        <v>65</v>
      </c>
      <c r="G256" s="25">
        <v>126558.6425</v>
      </c>
      <c r="H256" s="25">
        <v>0</v>
      </c>
      <c r="I256" s="25">
        <v>0</v>
      </c>
      <c r="J256" s="118"/>
      <c r="K256" s="118"/>
      <c r="L256" s="118"/>
      <c r="M256" s="118"/>
      <c r="N256" s="118"/>
      <c r="O256" s="118"/>
      <c r="P256" s="118"/>
      <c r="Q256" s="118"/>
    </row>
    <row r="257" spans="1:17" s="26" customFormat="1" ht="38.25" x14ac:dyDescent="0.2">
      <c r="A257" s="18" t="s">
        <v>685</v>
      </c>
      <c r="B257" s="18">
        <v>911</v>
      </c>
      <c r="C257" s="19" t="s">
        <v>19</v>
      </c>
      <c r="D257" s="19" t="s">
        <v>14</v>
      </c>
      <c r="E257" s="19" t="s">
        <v>692</v>
      </c>
      <c r="F257" s="19"/>
      <c r="G257" s="20">
        <v>12187.400000000001</v>
      </c>
      <c r="H257" s="20">
        <v>0</v>
      </c>
      <c r="I257" s="20">
        <v>0</v>
      </c>
      <c r="J257" s="118"/>
      <c r="K257" s="118"/>
      <c r="L257" s="118"/>
      <c r="M257" s="118"/>
      <c r="N257" s="118"/>
      <c r="O257" s="118"/>
      <c r="P257" s="118"/>
      <c r="Q257" s="118"/>
    </row>
    <row r="258" spans="1:17" s="26" customFormat="1" ht="25.5" x14ac:dyDescent="0.2">
      <c r="A258" s="28" t="s">
        <v>141</v>
      </c>
      <c r="B258" s="28">
        <v>911</v>
      </c>
      <c r="C258" s="24" t="s">
        <v>19</v>
      </c>
      <c r="D258" s="24" t="s">
        <v>14</v>
      </c>
      <c r="E258" s="24" t="s">
        <v>692</v>
      </c>
      <c r="F258" s="24" t="s">
        <v>65</v>
      </c>
      <c r="G258" s="25">
        <v>12187.400000000001</v>
      </c>
      <c r="H258" s="25">
        <v>0</v>
      </c>
      <c r="I258" s="25">
        <v>0</v>
      </c>
      <c r="J258" s="118"/>
      <c r="K258" s="118"/>
      <c r="L258" s="118"/>
      <c r="M258" s="118"/>
      <c r="N258" s="118"/>
      <c r="O258" s="118"/>
      <c r="P258" s="118"/>
      <c r="Q258" s="118"/>
    </row>
    <row r="259" spans="1:17" ht="24.75" customHeight="1" x14ac:dyDescent="0.2">
      <c r="A259" s="18" t="s">
        <v>228</v>
      </c>
      <c r="B259" s="22">
        <v>911</v>
      </c>
      <c r="C259" s="19" t="s">
        <v>19</v>
      </c>
      <c r="D259" s="19" t="s">
        <v>14</v>
      </c>
      <c r="E259" s="19" t="s">
        <v>121</v>
      </c>
      <c r="F259" s="19"/>
      <c r="G259" s="20">
        <v>48898.299999999996</v>
      </c>
      <c r="H259" s="20">
        <v>46674.7</v>
      </c>
      <c r="I259" s="20">
        <v>46674.7</v>
      </c>
      <c r="J259" s="117"/>
      <c r="K259" s="117"/>
      <c r="L259" s="117"/>
      <c r="M259" s="117"/>
      <c r="N259" s="117"/>
      <c r="O259" s="117"/>
      <c r="P259" s="117"/>
      <c r="Q259" s="117"/>
    </row>
    <row r="260" spans="1:17" s="26" customFormat="1" ht="50.25" customHeight="1" x14ac:dyDescent="0.2">
      <c r="A260" s="23" t="s">
        <v>66</v>
      </c>
      <c r="B260" s="31">
        <v>911</v>
      </c>
      <c r="C260" s="24" t="s">
        <v>19</v>
      </c>
      <c r="D260" s="24" t="s">
        <v>14</v>
      </c>
      <c r="E260" s="24" t="s">
        <v>121</v>
      </c>
      <c r="F260" s="27" t="s">
        <v>67</v>
      </c>
      <c r="G260" s="25">
        <v>34833.299999999996</v>
      </c>
      <c r="H260" s="25">
        <v>34853.199999999997</v>
      </c>
      <c r="I260" s="25">
        <v>34853.199999999997</v>
      </c>
      <c r="J260" s="118"/>
      <c r="K260" s="118"/>
      <c r="L260" s="118"/>
      <c r="M260" s="118"/>
      <c r="N260" s="118"/>
      <c r="O260" s="118"/>
      <c r="P260" s="118"/>
      <c r="Q260" s="118"/>
    </row>
    <row r="261" spans="1:17" s="26" customFormat="1" ht="24.75" customHeight="1" x14ac:dyDescent="0.2">
      <c r="A261" s="28" t="s">
        <v>76</v>
      </c>
      <c r="B261" s="31">
        <v>911</v>
      </c>
      <c r="C261" s="24" t="s">
        <v>19</v>
      </c>
      <c r="D261" s="24" t="s">
        <v>14</v>
      </c>
      <c r="E261" s="24" t="s">
        <v>121</v>
      </c>
      <c r="F261" s="27" t="s">
        <v>68</v>
      </c>
      <c r="G261" s="25">
        <v>12979.1</v>
      </c>
      <c r="H261" s="25">
        <v>11046.2</v>
      </c>
      <c r="I261" s="25">
        <v>11046.2</v>
      </c>
      <c r="J261" s="118"/>
      <c r="K261" s="118"/>
      <c r="L261" s="118"/>
      <c r="M261" s="118"/>
      <c r="N261" s="118"/>
      <c r="O261" s="118"/>
      <c r="P261" s="118"/>
      <c r="Q261" s="118"/>
    </row>
    <row r="262" spans="1:17" s="26" customFormat="1" x14ac:dyDescent="0.2">
      <c r="A262" s="28" t="s">
        <v>72</v>
      </c>
      <c r="B262" s="31">
        <v>911</v>
      </c>
      <c r="C262" s="24" t="s">
        <v>19</v>
      </c>
      <c r="D262" s="24" t="s">
        <v>14</v>
      </c>
      <c r="E262" s="24" t="s">
        <v>121</v>
      </c>
      <c r="F262" s="24" t="s">
        <v>73</v>
      </c>
      <c r="G262" s="25">
        <v>1085.9000000000001</v>
      </c>
      <c r="H262" s="25">
        <v>775.3</v>
      </c>
      <c r="I262" s="25">
        <v>775.3</v>
      </c>
      <c r="J262" s="118"/>
      <c r="K262" s="118"/>
      <c r="L262" s="118"/>
      <c r="M262" s="118"/>
      <c r="N262" s="118"/>
      <c r="O262" s="118"/>
      <c r="P262" s="118"/>
      <c r="Q262" s="118"/>
    </row>
    <row r="263" spans="1:17" ht="76.5" x14ac:dyDescent="0.2">
      <c r="A263" s="18" t="s">
        <v>229</v>
      </c>
      <c r="B263" s="22">
        <v>911</v>
      </c>
      <c r="C263" s="19" t="s">
        <v>19</v>
      </c>
      <c r="D263" s="19" t="s">
        <v>14</v>
      </c>
      <c r="E263" s="19" t="s">
        <v>119</v>
      </c>
      <c r="F263" s="19"/>
      <c r="G263" s="20">
        <v>391631.39999999997</v>
      </c>
      <c r="H263" s="20">
        <v>400168.9</v>
      </c>
      <c r="I263" s="20">
        <v>400168.9</v>
      </c>
      <c r="J263" s="117"/>
      <c r="K263" s="117"/>
      <c r="L263" s="117"/>
      <c r="M263" s="117"/>
      <c r="N263" s="117"/>
      <c r="O263" s="117"/>
      <c r="P263" s="117"/>
      <c r="Q263" s="117"/>
    </row>
    <row r="264" spans="1:17" s="26" customFormat="1" ht="63.75" x14ac:dyDescent="0.2">
      <c r="A264" s="23" t="s">
        <v>66</v>
      </c>
      <c r="B264" s="31">
        <v>911</v>
      </c>
      <c r="C264" s="24" t="s">
        <v>19</v>
      </c>
      <c r="D264" s="24" t="s">
        <v>14</v>
      </c>
      <c r="E264" s="24" t="s">
        <v>119</v>
      </c>
      <c r="F264" s="27" t="s">
        <v>67</v>
      </c>
      <c r="G264" s="25">
        <v>67627.399999999994</v>
      </c>
      <c r="H264" s="25">
        <v>70933.8</v>
      </c>
      <c r="I264" s="25">
        <v>70933.8</v>
      </c>
      <c r="J264" s="118"/>
      <c r="K264" s="118"/>
      <c r="L264" s="118"/>
      <c r="M264" s="118"/>
      <c r="N264" s="118"/>
      <c r="O264" s="118"/>
      <c r="P264" s="118"/>
      <c r="Q264" s="118"/>
    </row>
    <row r="265" spans="1:17" s="26" customFormat="1" ht="25.5" x14ac:dyDescent="0.2">
      <c r="A265" s="28" t="s">
        <v>76</v>
      </c>
      <c r="B265" s="31">
        <v>911</v>
      </c>
      <c r="C265" s="24" t="s">
        <v>19</v>
      </c>
      <c r="D265" s="24" t="s">
        <v>14</v>
      </c>
      <c r="E265" s="24" t="s">
        <v>119</v>
      </c>
      <c r="F265" s="27" t="s">
        <v>68</v>
      </c>
      <c r="G265" s="25">
        <v>1777.3</v>
      </c>
      <c r="H265" s="25">
        <v>1869.2</v>
      </c>
      <c r="I265" s="25">
        <v>1869.2</v>
      </c>
      <c r="J265" s="118"/>
      <c r="K265" s="118"/>
      <c r="L265" s="118"/>
      <c r="M265" s="118"/>
      <c r="N265" s="118"/>
      <c r="O265" s="118"/>
      <c r="P265" s="118"/>
      <c r="Q265" s="118"/>
    </row>
    <row r="266" spans="1:17" s="26" customFormat="1" ht="25.5" x14ac:dyDescent="0.2">
      <c r="A266" s="28" t="s">
        <v>141</v>
      </c>
      <c r="B266" s="31">
        <v>911</v>
      </c>
      <c r="C266" s="24" t="s">
        <v>19</v>
      </c>
      <c r="D266" s="24" t="s">
        <v>14</v>
      </c>
      <c r="E266" s="24" t="s">
        <v>119</v>
      </c>
      <c r="F266" s="24" t="s">
        <v>65</v>
      </c>
      <c r="G266" s="25">
        <v>322226.7</v>
      </c>
      <c r="H266" s="25">
        <v>327365.90000000002</v>
      </c>
      <c r="I266" s="25">
        <v>327365.90000000002</v>
      </c>
      <c r="J266" s="118"/>
      <c r="K266" s="118"/>
      <c r="L266" s="118"/>
      <c r="M266" s="118"/>
      <c r="N266" s="118"/>
      <c r="O266" s="118"/>
      <c r="P266" s="118"/>
      <c r="Q266" s="118"/>
    </row>
    <row r="267" spans="1:17" ht="38.25" x14ac:dyDescent="0.2">
      <c r="A267" s="18" t="s">
        <v>230</v>
      </c>
      <c r="B267" s="22">
        <v>911</v>
      </c>
      <c r="C267" s="19" t="s">
        <v>19</v>
      </c>
      <c r="D267" s="19" t="s">
        <v>14</v>
      </c>
      <c r="E267" s="19" t="s">
        <v>120</v>
      </c>
      <c r="F267" s="19"/>
      <c r="G267" s="20">
        <v>3738</v>
      </c>
      <c r="H267" s="20">
        <v>3738</v>
      </c>
      <c r="I267" s="20">
        <v>3738</v>
      </c>
      <c r="J267" s="237"/>
      <c r="K267" s="237"/>
      <c r="L267" s="237"/>
      <c r="M267" s="237"/>
      <c r="N267" s="237"/>
      <c r="O267" s="237"/>
      <c r="P267" s="237"/>
      <c r="Q267" s="237"/>
    </row>
    <row r="268" spans="1:17" s="26" customFormat="1" ht="25.5" x14ac:dyDescent="0.2">
      <c r="A268" s="28" t="s">
        <v>76</v>
      </c>
      <c r="B268" s="31">
        <v>911</v>
      </c>
      <c r="C268" s="24" t="s">
        <v>19</v>
      </c>
      <c r="D268" s="24" t="s">
        <v>14</v>
      </c>
      <c r="E268" s="24" t="s">
        <v>120</v>
      </c>
      <c r="F268" s="27" t="s">
        <v>68</v>
      </c>
      <c r="G268" s="25">
        <v>3738</v>
      </c>
      <c r="H268" s="25">
        <v>3738</v>
      </c>
      <c r="I268" s="25">
        <v>3738</v>
      </c>
    </row>
    <row r="269" spans="1:17" ht="63.75" x14ac:dyDescent="0.2">
      <c r="A269" s="18" t="s">
        <v>344</v>
      </c>
      <c r="B269" s="22">
        <v>911</v>
      </c>
      <c r="C269" s="19" t="s">
        <v>19</v>
      </c>
      <c r="D269" s="19" t="s">
        <v>14</v>
      </c>
      <c r="E269" s="19" t="s">
        <v>232</v>
      </c>
      <c r="F269" s="19"/>
      <c r="G269" s="20">
        <v>68271.09</v>
      </c>
      <c r="H269" s="20">
        <v>51697.999999999993</v>
      </c>
      <c r="I269" s="20">
        <v>19586.399999999994</v>
      </c>
      <c r="J269" s="117"/>
      <c r="K269" s="117"/>
      <c r="L269" s="117"/>
      <c r="M269" s="117"/>
      <c r="N269" s="117"/>
      <c r="O269" s="117"/>
      <c r="P269" s="117"/>
      <c r="Q269" s="117"/>
    </row>
    <row r="270" spans="1:17" s="26" customFormat="1" ht="25.5" x14ac:dyDescent="0.2">
      <c r="A270" s="28" t="s">
        <v>141</v>
      </c>
      <c r="B270" s="31">
        <v>911</v>
      </c>
      <c r="C270" s="24" t="s">
        <v>19</v>
      </c>
      <c r="D270" s="24" t="s">
        <v>14</v>
      </c>
      <c r="E270" s="24" t="s">
        <v>232</v>
      </c>
      <c r="F270" s="24" t="s">
        <v>65</v>
      </c>
      <c r="G270" s="25">
        <v>68271.09</v>
      </c>
      <c r="H270" s="25">
        <v>51697.999999999993</v>
      </c>
      <c r="I270" s="25">
        <v>19586.399999999994</v>
      </c>
      <c r="J270" s="118"/>
      <c r="K270" s="118"/>
      <c r="L270" s="118"/>
      <c r="M270" s="118"/>
      <c r="N270" s="118"/>
      <c r="O270" s="118"/>
      <c r="P270" s="118"/>
      <c r="Q270" s="118"/>
    </row>
    <row r="271" spans="1:17" ht="63.75" x14ac:dyDescent="0.2">
      <c r="A271" s="18" t="s">
        <v>235</v>
      </c>
      <c r="B271" s="22">
        <v>911</v>
      </c>
      <c r="C271" s="19" t="s">
        <v>19</v>
      </c>
      <c r="D271" s="19" t="s">
        <v>14</v>
      </c>
      <c r="E271" s="19" t="s">
        <v>234</v>
      </c>
      <c r="F271" s="19"/>
      <c r="G271" s="20">
        <v>6248.4000000000005</v>
      </c>
      <c r="H271" s="20">
        <v>6143.2000000000007</v>
      </c>
      <c r="I271" s="20">
        <v>5402.6</v>
      </c>
      <c r="J271" s="117"/>
      <c r="K271" s="117"/>
      <c r="L271" s="117"/>
      <c r="M271" s="117"/>
      <c r="N271" s="117"/>
      <c r="O271" s="117"/>
      <c r="P271" s="117"/>
      <c r="Q271" s="117"/>
    </row>
    <row r="272" spans="1:17" s="84" customFormat="1" ht="54.75" customHeight="1" x14ac:dyDescent="0.2">
      <c r="A272" s="80" t="s">
        <v>66</v>
      </c>
      <c r="B272" s="81">
        <v>911</v>
      </c>
      <c r="C272" s="82" t="s">
        <v>19</v>
      </c>
      <c r="D272" s="82" t="s">
        <v>14</v>
      </c>
      <c r="E272" s="82" t="s">
        <v>234</v>
      </c>
      <c r="F272" s="83" t="s">
        <v>67</v>
      </c>
      <c r="G272" s="62">
        <v>3.3</v>
      </c>
      <c r="H272" s="62">
        <v>3.3</v>
      </c>
      <c r="I272" s="62">
        <v>3.3</v>
      </c>
    </row>
    <row r="273" spans="1:17" s="26" customFormat="1" ht="25.5" x14ac:dyDescent="0.2">
      <c r="A273" s="28" t="s">
        <v>76</v>
      </c>
      <c r="B273" s="32">
        <v>911</v>
      </c>
      <c r="C273" s="24" t="s">
        <v>19</v>
      </c>
      <c r="D273" s="24" t="s">
        <v>14</v>
      </c>
      <c r="E273" s="24" t="s">
        <v>234</v>
      </c>
      <c r="F273" s="27" t="s">
        <v>68</v>
      </c>
      <c r="G273" s="25">
        <v>5775.3</v>
      </c>
      <c r="H273" s="25">
        <v>4930.1000000000004</v>
      </c>
      <c r="I273" s="25">
        <v>4189.5</v>
      </c>
      <c r="J273" s="118"/>
      <c r="K273" s="118"/>
      <c r="L273" s="118"/>
      <c r="M273" s="118"/>
      <c r="N273" s="118"/>
      <c r="O273" s="118"/>
      <c r="P273" s="118"/>
      <c r="Q273" s="118"/>
    </row>
    <row r="274" spans="1:17" s="26" customFormat="1" x14ac:dyDescent="0.2">
      <c r="A274" s="28" t="s">
        <v>72</v>
      </c>
      <c r="B274" s="31">
        <v>911</v>
      </c>
      <c r="C274" s="24" t="s">
        <v>19</v>
      </c>
      <c r="D274" s="24" t="s">
        <v>14</v>
      </c>
      <c r="E274" s="24" t="s">
        <v>234</v>
      </c>
      <c r="F274" s="24" t="s">
        <v>73</v>
      </c>
      <c r="G274" s="25">
        <v>469.79999999999995</v>
      </c>
      <c r="H274" s="25">
        <v>1209.8</v>
      </c>
      <c r="I274" s="25">
        <v>1209.8</v>
      </c>
      <c r="J274" s="118"/>
      <c r="K274" s="118"/>
      <c r="L274" s="118"/>
      <c r="M274" s="118"/>
      <c r="N274" s="118"/>
      <c r="O274" s="118"/>
      <c r="P274" s="118"/>
      <c r="Q274" s="118"/>
    </row>
    <row r="275" spans="1:17" ht="63.75" x14ac:dyDescent="0.2">
      <c r="A275" s="18" t="s">
        <v>235</v>
      </c>
      <c r="B275" s="22">
        <v>911</v>
      </c>
      <c r="C275" s="19" t="s">
        <v>19</v>
      </c>
      <c r="D275" s="19" t="s">
        <v>14</v>
      </c>
      <c r="E275" s="19" t="s">
        <v>238</v>
      </c>
      <c r="F275" s="19"/>
      <c r="G275" s="20">
        <v>759.8</v>
      </c>
      <c r="H275" s="20">
        <v>759.8</v>
      </c>
      <c r="I275" s="20">
        <v>707.5</v>
      </c>
      <c r="J275" s="117"/>
      <c r="K275" s="117"/>
      <c r="L275" s="117"/>
      <c r="M275" s="117"/>
      <c r="N275" s="117"/>
      <c r="O275" s="117"/>
      <c r="P275" s="117"/>
      <c r="Q275" s="117"/>
    </row>
    <row r="276" spans="1:17" s="26" customFormat="1" ht="25.5" x14ac:dyDescent="0.2">
      <c r="A276" s="28" t="s">
        <v>76</v>
      </c>
      <c r="B276" s="32">
        <v>911</v>
      </c>
      <c r="C276" s="24" t="s">
        <v>19</v>
      </c>
      <c r="D276" s="24" t="s">
        <v>14</v>
      </c>
      <c r="E276" s="24" t="s">
        <v>238</v>
      </c>
      <c r="F276" s="27" t="s">
        <v>68</v>
      </c>
      <c r="G276" s="25">
        <v>747.8</v>
      </c>
      <c r="H276" s="25">
        <v>759.8</v>
      </c>
      <c r="I276" s="25">
        <v>707.5</v>
      </c>
      <c r="J276" s="118"/>
      <c r="K276" s="118"/>
      <c r="L276" s="118"/>
      <c r="M276" s="118"/>
      <c r="N276" s="118"/>
      <c r="O276" s="118"/>
      <c r="P276" s="118"/>
      <c r="Q276" s="118"/>
    </row>
    <row r="277" spans="1:17" s="26" customFormat="1" x14ac:dyDescent="0.2">
      <c r="A277" s="28" t="s">
        <v>72</v>
      </c>
      <c r="B277" s="32">
        <v>911</v>
      </c>
      <c r="C277" s="24" t="s">
        <v>19</v>
      </c>
      <c r="D277" s="24" t="s">
        <v>14</v>
      </c>
      <c r="E277" s="24" t="s">
        <v>238</v>
      </c>
      <c r="F277" s="27" t="s">
        <v>73</v>
      </c>
      <c r="G277" s="25">
        <v>12</v>
      </c>
      <c r="H277" s="25">
        <v>0</v>
      </c>
      <c r="I277" s="25">
        <v>0</v>
      </c>
      <c r="J277" s="118"/>
      <c r="K277" s="118"/>
      <c r="L277" s="118"/>
      <c r="M277" s="118"/>
      <c r="N277" s="118"/>
      <c r="O277" s="118"/>
      <c r="P277" s="118"/>
      <c r="Q277" s="118"/>
    </row>
    <row r="278" spans="1:17" ht="25.5" x14ac:dyDescent="0.2">
      <c r="A278" s="18" t="s">
        <v>231</v>
      </c>
      <c r="B278" s="18">
        <v>911</v>
      </c>
      <c r="C278" s="19" t="s">
        <v>19</v>
      </c>
      <c r="D278" s="19" t="s">
        <v>14</v>
      </c>
      <c r="E278" s="19" t="s">
        <v>137</v>
      </c>
      <c r="F278" s="19"/>
      <c r="G278" s="20">
        <v>249.7</v>
      </c>
      <c r="H278" s="20">
        <v>249.7</v>
      </c>
      <c r="I278" s="20">
        <v>249.7</v>
      </c>
      <c r="J278" s="237"/>
      <c r="K278" s="237"/>
      <c r="L278" s="237"/>
      <c r="M278" s="237"/>
      <c r="N278" s="237"/>
      <c r="O278" s="237"/>
      <c r="P278" s="237"/>
      <c r="Q278" s="237"/>
    </row>
    <row r="279" spans="1:17" s="26" customFormat="1" ht="25.5" x14ac:dyDescent="0.2">
      <c r="A279" s="28" t="s">
        <v>76</v>
      </c>
      <c r="B279" s="28">
        <v>911</v>
      </c>
      <c r="C279" s="24" t="s">
        <v>19</v>
      </c>
      <c r="D279" s="24" t="s">
        <v>14</v>
      </c>
      <c r="E279" s="24" t="s">
        <v>137</v>
      </c>
      <c r="F279" s="27" t="s">
        <v>68</v>
      </c>
      <c r="G279" s="25">
        <v>57.7</v>
      </c>
      <c r="H279" s="25">
        <v>57.7</v>
      </c>
      <c r="I279" s="25">
        <v>57.7</v>
      </c>
    </row>
    <row r="280" spans="1:17" ht="25.5" x14ac:dyDescent="0.2">
      <c r="A280" s="28" t="s">
        <v>141</v>
      </c>
      <c r="B280" s="28">
        <v>911</v>
      </c>
      <c r="C280" s="24" t="s">
        <v>19</v>
      </c>
      <c r="D280" s="24" t="s">
        <v>14</v>
      </c>
      <c r="E280" s="24" t="s">
        <v>137</v>
      </c>
      <c r="F280" s="24" t="s">
        <v>65</v>
      </c>
      <c r="G280" s="25">
        <v>192</v>
      </c>
      <c r="H280" s="25">
        <v>192</v>
      </c>
      <c r="I280" s="25">
        <v>192</v>
      </c>
      <c r="J280" s="237"/>
      <c r="K280" s="237"/>
      <c r="L280" s="237"/>
      <c r="M280" s="237"/>
      <c r="N280" s="237"/>
      <c r="O280" s="237"/>
      <c r="P280" s="237"/>
      <c r="Q280" s="237"/>
    </row>
    <row r="281" spans="1:17" ht="25.5" x14ac:dyDescent="0.2">
      <c r="A281" s="18" t="s">
        <v>236</v>
      </c>
      <c r="B281" s="18">
        <v>911</v>
      </c>
      <c r="C281" s="19" t="s">
        <v>19</v>
      </c>
      <c r="D281" s="19" t="s">
        <v>14</v>
      </c>
      <c r="E281" s="19" t="s">
        <v>138</v>
      </c>
      <c r="F281" s="19"/>
      <c r="G281" s="20">
        <v>1209</v>
      </c>
      <c r="H281" s="20">
        <v>1209</v>
      </c>
      <c r="I281" s="20">
        <v>1209</v>
      </c>
      <c r="J281" s="237"/>
      <c r="K281" s="237"/>
      <c r="L281" s="237"/>
      <c r="M281" s="237"/>
      <c r="N281" s="237"/>
      <c r="O281" s="237"/>
      <c r="P281" s="237"/>
      <c r="Q281" s="237"/>
    </row>
    <row r="282" spans="1:17" s="9" customFormat="1" x14ac:dyDescent="0.2">
      <c r="A282" s="28" t="s">
        <v>69</v>
      </c>
      <c r="B282" s="28">
        <v>911</v>
      </c>
      <c r="C282" s="24" t="s">
        <v>19</v>
      </c>
      <c r="D282" s="24" t="s">
        <v>14</v>
      </c>
      <c r="E282" s="19" t="s">
        <v>138</v>
      </c>
      <c r="F282" s="24" t="s">
        <v>70</v>
      </c>
      <c r="G282" s="25">
        <v>30</v>
      </c>
      <c r="H282" s="25">
        <v>30</v>
      </c>
      <c r="I282" s="25">
        <v>30</v>
      </c>
    </row>
    <row r="283" spans="1:17" ht="25.5" x14ac:dyDescent="0.2">
      <c r="A283" s="28" t="s">
        <v>141</v>
      </c>
      <c r="B283" s="28">
        <v>911</v>
      </c>
      <c r="C283" s="24" t="s">
        <v>19</v>
      </c>
      <c r="D283" s="24" t="s">
        <v>14</v>
      </c>
      <c r="E283" s="19" t="s">
        <v>138</v>
      </c>
      <c r="F283" s="24" t="s">
        <v>65</v>
      </c>
      <c r="G283" s="25">
        <v>1179</v>
      </c>
      <c r="H283" s="25">
        <v>1179</v>
      </c>
      <c r="I283" s="25">
        <v>1179</v>
      </c>
      <c r="J283" s="237"/>
      <c r="K283" s="237"/>
      <c r="L283" s="237"/>
      <c r="M283" s="237"/>
      <c r="N283" s="237"/>
      <c r="O283" s="237"/>
      <c r="P283" s="237"/>
      <c r="Q283" s="237"/>
    </row>
    <row r="284" spans="1:17" ht="25.5" x14ac:dyDescent="0.2">
      <c r="A284" s="18" t="s">
        <v>347</v>
      </c>
      <c r="B284" s="18">
        <v>911</v>
      </c>
      <c r="C284" s="19" t="s">
        <v>19</v>
      </c>
      <c r="D284" s="19" t="s">
        <v>14</v>
      </c>
      <c r="E284" s="19" t="s">
        <v>330</v>
      </c>
      <c r="F284" s="19"/>
      <c r="G284" s="20">
        <v>400</v>
      </c>
      <c r="H284" s="20">
        <v>250</v>
      </c>
      <c r="I284" s="20">
        <v>250</v>
      </c>
      <c r="J284" s="117"/>
      <c r="K284" s="117"/>
      <c r="L284" s="117"/>
      <c r="M284" s="117"/>
      <c r="N284" s="117"/>
      <c r="O284" s="117"/>
      <c r="P284" s="117"/>
      <c r="Q284" s="117"/>
    </row>
    <row r="285" spans="1:17" x14ac:dyDescent="0.2">
      <c r="A285" s="28" t="s">
        <v>69</v>
      </c>
      <c r="B285" s="28">
        <v>911</v>
      </c>
      <c r="C285" s="24" t="s">
        <v>19</v>
      </c>
      <c r="D285" s="24" t="s">
        <v>14</v>
      </c>
      <c r="E285" s="19" t="s">
        <v>330</v>
      </c>
      <c r="F285" s="24" t="s">
        <v>70</v>
      </c>
      <c r="G285" s="25">
        <v>12</v>
      </c>
      <c r="H285" s="25">
        <v>2</v>
      </c>
      <c r="I285" s="25">
        <v>2</v>
      </c>
      <c r="J285" s="117"/>
      <c r="K285" s="117"/>
      <c r="L285" s="117"/>
      <c r="M285" s="117"/>
      <c r="N285" s="117"/>
      <c r="O285" s="117"/>
      <c r="P285" s="117"/>
      <c r="Q285" s="117"/>
    </row>
    <row r="286" spans="1:17" ht="25.5" x14ac:dyDescent="0.2">
      <c r="A286" s="28" t="s">
        <v>141</v>
      </c>
      <c r="B286" s="28">
        <v>911</v>
      </c>
      <c r="C286" s="24" t="s">
        <v>19</v>
      </c>
      <c r="D286" s="24" t="s">
        <v>14</v>
      </c>
      <c r="E286" s="19" t="s">
        <v>330</v>
      </c>
      <c r="F286" s="24" t="s">
        <v>65</v>
      </c>
      <c r="G286" s="25">
        <v>388</v>
      </c>
      <c r="H286" s="25">
        <v>248</v>
      </c>
      <c r="I286" s="25">
        <v>248</v>
      </c>
      <c r="J286" s="117"/>
      <c r="K286" s="117"/>
      <c r="L286" s="117"/>
      <c r="M286" s="117"/>
      <c r="N286" s="117"/>
      <c r="O286" s="117"/>
      <c r="P286" s="117"/>
      <c r="Q286" s="117"/>
    </row>
    <row r="287" spans="1:17" s="74" customFormat="1" x14ac:dyDescent="0.2">
      <c r="A287" s="70" t="s">
        <v>331</v>
      </c>
      <c r="B287" s="71">
        <v>911</v>
      </c>
      <c r="C287" s="72" t="s">
        <v>19</v>
      </c>
      <c r="D287" s="72" t="s">
        <v>16</v>
      </c>
      <c r="E287" s="72"/>
      <c r="F287" s="72"/>
      <c r="G287" s="73">
        <v>144208.80000000002</v>
      </c>
      <c r="H287" s="73">
        <v>127634.1</v>
      </c>
      <c r="I287" s="73">
        <v>124875.3</v>
      </c>
    </row>
    <row r="288" spans="1:17" ht="25.5" x14ac:dyDescent="0.2">
      <c r="A288" s="17" t="s">
        <v>163</v>
      </c>
      <c r="B288" s="17">
        <v>911</v>
      </c>
      <c r="C288" s="19" t="s">
        <v>19</v>
      </c>
      <c r="D288" s="19" t="s">
        <v>16</v>
      </c>
      <c r="E288" s="19" t="s">
        <v>162</v>
      </c>
      <c r="F288" s="5"/>
      <c r="G288" s="6">
        <v>3028</v>
      </c>
      <c r="H288" s="6">
        <v>1968.7</v>
      </c>
      <c r="I288" s="6">
        <v>1968.7</v>
      </c>
      <c r="J288" s="117"/>
      <c r="K288" s="117"/>
      <c r="L288" s="117"/>
      <c r="M288" s="117"/>
      <c r="N288" s="117"/>
      <c r="O288" s="117"/>
      <c r="P288" s="117"/>
      <c r="Q288" s="117"/>
    </row>
    <row r="289" spans="1:17" ht="25.5" x14ac:dyDescent="0.2">
      <c r="A289" s="28" t="s">
        <v>141</v>
      </c>
      <c r="B289" s="28">
        <v>911</v>
      </c>
      <c r="C289" s="24" t="s">
        <v>19</v>
      </c>
      <c r="D289" s="24" t="s">
        <v>16</v>
      </c>
      <c r="E289" s="24" t="s">
        <v>162</v>
      </c>
      <c r="F289" s="24" t="s">
        <v>65</v>
      </c>
      <c r="G289" s="25">
        <v>3028</v>
      </c>
      <c r="H289" s="25">
        <v>1968.7</v>
      </c>
      <c r="I289" s="25">
        <v>1968.7</v>
      </c>
      <c r="J289" s="117"/>
      <c r="K289" s="117"/>
      <c r="L289" s="117"/>
      <c r="M289" s="117"/>
      <c r="N289" s="117"/>
      <c r="O289" s="117"/>
      <c r="P289" s="117"/>
      <c r="Q289" s="117"/>
    </row>
    <row r="290" spans="1:17" ht="25.5" x14ac:dyDescent="0.2">
      <c r="A290" s="18" t="s">
        <v>231</v>
      </c>
      <c r="B290" s="18">
        <v>911</v>
      </c>
      <c r="C290" s="19" t="s">
        <v>19</v>
      </c>
      <c r="D290" s="19" t="s">
        <v>16</v>
      </c>
      <c r="E290" s="19" t="s">
        <v>137</v>
      </c>
      <c r="F290" s="19"/>
      <c r="G290" s="20">
        <v>115.3</v>
      </c>
      <c r="H290" s="20">
        <v>115.3</v>
      </c>
      <c r="I290" s="20">
        <v>115.3</v>
      </c>
      <c r="J290" s="237"/>
      <c r="K290" s="237"/>
      <c r="L290" s="237"/>
      <c r="M290" s="237"/>
      <c r="N290" s="237"/>
      <c r="O290" s="237"/>
      <c r="P290" s="237"/>
      <c r="Q290" s="237"/>
    </row>
    <row r="291" spans="1:17" ht="25.5" x14ac:dyDescent="0.2">
      <c r="A291" s="28" t="s">
        <v>141</v>
      </c>
      <c r="B291" s="28">
        <v>911</v>
      </c>
      <c r="C291" s="24" t="s">
        <v>19</v>
      </c>
      <c r="D291" s="24" t="s">
        <v>16</v>
      </c>
      <c r="E291" s="24" t="s">
        <v>137</v>
      </c>
      <c r="F291" s="24" t="s">
        <v>65</v>
      </c>
      <c r="G291" s="25">
        <v>115.3</v>
      </c>
      <c r="H291" s="25">
        <v>115.3</v>
      </c>
      <c r="I291" s="25">
        <v>115.3</v>
      </c>
      <c r="J291" s="237"/>
      <c r="K291" s="237"/>
      <c r="L291" s="237"/>
      <c r="M291" s="237"/>
      <c r="N291" s="237"/>
      <c r="O291" s="237"/>
      <c r="P291" s="237"/>
      <c r="Q291" s="237"/>
    </row>
    <row r="292" spans="1:17" ht="63.75" x14ac:dyDescent="0.2">
      <c r="A292" s="18" t="s">
        <v>344</v>
      </c>
      <c r="B292" s="22">
        <v>911</v>
      </c>
      <c r="C292" s="19" t="s">
        <v>19</v>
      </c>
      <c r="D292" s="19" t="s">
        <v>16</v>
      </c>
      <c r="E292" s="19" t="s">
        <v>233</v>
      </c>
      <c r="F292" s="19"/>
      <c r="G292" s="20">
        <v>134986.30000000002</v>
      </c>
      <c r="H292" s="20">
        <v>125550.1</v>
      </c>
      <c r="I292" s="20">
        <v>122791.3</v>
      </c>
      <c r="J292" s="117"/>
      <c r="K292" s="117"/>
      <c r="L292" s="117"/>
      <c r="M292" s="117"/>
      <c r="N292" s="117"/>
      <c r="O292" s="117"/>
      <c r="P292" s="117"/>
      <c r="Q292" s="117"/>
    </row>
    <row r="293" spans="1:17" s="26" customFormat="1" ht="25.5" x14ac:dyDescent="0.2">
      <c r="A293" s="28" t="s">
        <v>141</v>
      </c>
      <c r="B293" s="31">
        <v>911</v>
      </c>
      <c r="C293" s="24" t="s">
        <v>19</v>
      </c>
      <c r="D293" s="24" t="s">
        <v>16</v>
      </c>
      <c r="E293" s="24" t="s">
        <v>233</v>
      </c>
      <c r="F293" s="24" t="s">
        <v>65</v>
      </c>
      <c r="G293" s="25">
        <v>134986.30000000002</v>
      </c>
      <c r="H293" s="25">
        <v>125550.1</v>
      </c>
      <c r="I293" s="25">
        <v>122791.3</v>
      </c>
      <c r="J293" s="118"/>
      <c r="K293" s="118"/>
      <c r="L293" s="118"/>
      <c r="M293" s="118"/>
      <c r="N293" s="118"/>
      <c r="O293" s="118"/>
      <c r="P293" s="118"/>
      <c r="Q293" s="118"/>
    </row>
    <row r="294" spans="1:17" ht="25.5" x14ac:dyDescent="0.2">
      <c r="A294" s="18" t="s">
        <v>701</v>
      </c>
      <c r="B294" s="22">
        <v>911</v>
      </c>
      <c r="C294" s="19" t="s">
        <v>19</v>
      </c>
      <c r="D294" s="19" t="s">
        <v>16</v>
      </c>
      <c r="E294" s="19" t="s">
        <v>702</v>
      </c>
      <c r="F294" s="19"/>
      <c r="G294" s="20">
        <v>6079.2</v>
      </c>
      <c r="H294" s="20">
        <v>0</v>
      </c>
      <c r="I294" s="20">
        <v>0</v>
      </c>
      <c r="J294" s="117"/>
      <c r="K294" s="117"/>
      <c r="L294" s="117"/>
      <c r="M294" s="117"/>
      <c r="N294" s="117"/>
      <c r="O294" s="117"/>
      <c r="P294" s="117"/>
      <c r="Q294" s="117"/>
    </row>
    <row r="295" spans="1:17" s="26" customFormat="1" ht="25.5" x14ac:dyDescent="0.2">
      <c r="A295" s="28" t="s">
        <v>141</v>
      </c>
      <c r="B295" s="31">
        <v>911</v>
      </c>
      <c r="C295" s="24" t="s">
        <v>19</v>
      </c>
      <c r="D295" s="24" t="s">
        <v>16</v>
      </c>
      <c r="E295" s="24" t="s">
        <v>702</v>
      </c>
      <c r="F295" s="24" t="s">
        <v>65</v>
      </c>
      <c r="G295" s="25">
        <v>6079.2</v>
      </c>
      <c r="H295" s="25">
        <v>0</v>
      </c>
      <c r="I295" s="25">
        <v>0</v>
      </c>
      <c r="J295" s="118"/>
      <c r="K295" s="118"/>
      <c r="L295" s="118"/>
      <c r="M295" s="118"/>
      <c r="N295" s="118"/>
      <c r="O295" s="118"/>
      <c r="P295" s="118"/>
      <c r="Q295" s="118"/>
    </row>
    <row r="296" spans="1:17" s="74" customFormat="1" x14ac:dyDescent="0.2">
      <c r="A296" s="70" t="s">
        <v>41</v>
      </c>
      <c r="B296" s="71">
        <v>911</v>
      </c>
      <c r="C296" s="72" t="s">
        <v>19</v>
      </c>
      <c r="D296" s="72" t="s">
        <v>26</v>
      </c>
      <c r="E296" s="72"/>
      <c r="F296" s="72"/>
      <c r="G296" s="73">
        <v>81557.100000000006</v>
      </c>
      <c r="H296" s="73">
        <v>74408.599999999991</v>
      </c>
      <c r="I296" s="73">
        <v>73201</v>
      </c>
    </row>
    <row r="297" spans="1:17" s="79" customFormat="1" ht="25.5" x14ac:dyDescent="0.2">
      <c r="A297" s="89" t="s">
        <v>163</v>
      </c>
      <c r="B297" s="89">
        <v>911</v>
      </c>
      <c r="C297" s="77" t="s">
        <v>19</v>
      </c>
      <c r="D297" s="77" t="s">
        <v>26</v>
      </c>
      <c r="E297" s="77" t="s">
        <v>162</v>
      </c>
      <c r="F297" s="90"/>
      <c r="G297" s="91">
        <v>173.7</v>
      </c>
      <c r="H297" s="91">
        <v>173.7</v>
      </c>
      <c r="I297" s="91">
        <v>173.7</v>
      </c>
    </row>
    <row r="298" spans="1:17" s="79" customFormat="1" ht="25.5" x14ac:dyDescent="0.2">
      <c r="A298" s="28" t="s">
        <v>76</v>
      </c>
      <c r="B298" s="87">
        <v>911</v>
      </c>
      <c r="C298" s="82" t="s">
        <v>19</v>
      </c>
      <c r="D298" s="82" t="s">
        <v>26</v>
      </c>
      <c r="E298" s="82" t="s">
        <v>162</v>
      </c>
      <c r="F298" s="82" t="s">
        <v>68</v>
      </c>
      <c r="G298" s="62">
        <v>110</v>
      </c>
      <c r="H298" s="62">
        <v>110</v>
      </c>
      <c r="I298" s="62">
        <v>110</v>
      </c>
    </row>
    <row r="299" spans="1:17" s="79" customFormat="1" ht="25.5" x14ac:dyDescent="0.2">
      <c r="A299" s="87" t="s">
        <v>141</v>
      </c>
      <c r="B299" s="87">
        <v>911</v>
      </c>
      <c r="C299" s="82" t="s">
        <v>19</v>
      </c>
      <c r="D299" s="82" t="s">
        <v>26</v>
      </c>
      <c r="E299" s="82" t="s">
        <v>162</v>
      </c>
      <c r="F299" s="82" t="s">
        <v>65</v>
      </c>
      <c r="G299" s="62">
        <v>63.7</v>
      </c>
      <c r="H299" s="62">
        <v>63.7</v>
      </c>
      <c r="I299" s="62">
        <v>63.7</v>
      </c>
    </row>
    <row r="300" spans="1:17" ht="25.5" x14ac:dyDescent="0.2">
      <c r="A300" s="18" t="s">
        <v>231</v>
      </c>
      <c r="B300" s="18">
        <v>911</v>
      </c>
      <c r="C300" s="19" t="s">
        <v>19</v>
      </c>
      <c r="D300" s="19" t="s">
        <v>14</v>
      </c>
      <c r="E300" s="19" t="s">
        <v>137</v>
      </c>
      <c r="F300" s="19"/>
      <c r="G300" s="20">
        <v>100</v>
      </c>
      <c r="H300" s="20">
        <v>0</v>
      </c>
      <c r="I300" s="20">
        <v>0</v>
      </c>
      <c r="J300" s="117"/>
      <c r="K300" s="117"/>
      <c r="L300" s="117"/>
      <c r="M300" s="117"/>
      <c r="N300" s="117"/>
      <c r="O300" s="117"/>
      <c r="P300" s="117"/>
      <c r="Q300" s="117"/>
    </row>
    <row r="301" spans="1:17" ht="25.5" x14ac:dyDescent="0.2">
      <c r="A301" s="28" t="s">
        <v>141</v>
      </c>
      <c r="B301" s="28">
        <v>911</v>
      </c>
      <c r="C301" s="24" t="s">
        <v>19</v>
      </c>
      <c r="D301" s="24" t="s">
        <v>14</v>
      </c>
      <c r="E301" s="24" t="s">
        <v>137</v>
      </c>
      <c r="F301" s="24" t="s">
        <v>65</v>
      </c>
      <c r="G301" s="25">
        <v>100</v>
      </c>
      <c r="H301" s="25">
        <v>0</v>
      </c>
      <c r="I301" s="25">
        <v>0</v>
      </c>
      <c r="J301" s="117"/>
      <c r="K301" s="117"/>
      <c r="L301" s="117"/>
      <c r="M301" s="117"/>
      <c r="N301" s="117"/>
      <c r="O301" s="117"/>
      <c r="P301" s="117"/>
      <c r="Q301" s="117"/>
    </row>
    <row r="302" spans="1:17" ht="25.5" x14ac:dyDescent="0.2">
      <c r="A302" s="18" t="s">
        <v>188</v>
      </c>
      <c r="B302" s="18">
        <v>911</v>
      </c>
      <c r="C302" s="19" t="s">
        <v>19</v>
      </c>
      <c r="D302" s="19" t="s">
        <v>26</v>
      </c>
      <c r="E302" s="19" t="s">
        <v>136</v>
      </c>
      <c r="F302" s="19"/>
      <c r="G302" s="20">
        <v>4391</v>
      </c>
      <c r="H302" s="20">
        <v>4391</v>
      </c>
      <c r="I302" s="20">
        <v>4391</v>
      </c>
      <c r="J302" s="117"/>
      <c r="K302" s="117"/>
      <c r="L302" s="117"/>
      <c r="M302" s="117"/>
      <c r="N302" s="117"/>
      <c r="O302" s="117"/>
      <c r="P302" s="117"/>
      <c r="Q302" s="117"/>
    </row>
    <row r="303" spans="1:17" ht="25.5" x14ac:dyDescent="0.2">
      <c r="A303" s="28" t="s">
        <v>76</v>
      </c>
      <c r="B303" s="28">
        <v>911</v>
      </c>
      <c r="C303" s="24" t="s">
        <v>19</v>
      </c>
      <c r="D303" s="24" t="s">
        <v>26</v>
      </c>
      <c r="E303" s="24" t="s">
        <v>136</v>
      </c>
      <c r="F303" s="24" t="s">
        <v>68</v>
      </c>
      <c r="G303" s="25">
        <v>113.8</v>
      </c>
      <c r="H303" s="25">
        <v>80</v>
      </c>
      <c r="I303" s="25">
        <v>80</v>
      </c>
      <c r="J303" s="117"/>
      <c r="K303" s="117"/>
      <c r="L303" s="117"/>
      <c r="M303" s="117"/>
      <c r="N303" s="117"/>
      <c r="O303" s="117"/>
      <c r="P303" s="117"/>
      <c r="Q303" s="117"/>
    </row>
    <row r="304" spans="1:17" ht="25.5" x14ac:dyDescent="0.2">
      <c r="A304" s="28" t="s">
        <v>141</v>
      </c>
      <c r="B304" s="28">
        <v>911</v>
      </c>
      <c r="C304" s="24" t="s">
        <v>19</v>
      </c>
      <c r="D304" s="24" t="s">
        <v>26</v>
      </c>
      <c r="E304" s="24" t="s">
        <v>136</v>
      </c>
      <c r="F304" s="24" t="s">
        <v>65</v>
      </c>
      <c r="G304" s="25">
        <v>4277.2</v>
      </c>
      <c r="H304" s="25">
        <v>4311</v>
      </c>
      <c r="I304" s="25">
        <v>4311</v>
      </c>
      <c r="J304" s="117"/>
      <c r="K304" s="117"/>
      <c r="L304" s="117"/>
      <c r="M304" s="117"/>
      <c r="N304" s="117"/>
      <c r="O304" s="117"/>
      <c r="P304" s="117"/>
      <c r="Q304" s="117"/>
    </row>
    <row r="305" spans="1:17" ht="25.5" x14ac:dyDescent="0.2">
      <c r="A305" s="18" t="s">
        <v>345</v>
      </c>
      <c r="B305" s="22">
        <v>911</v>
      </c>
      <c r="C305" s="19" t="s">
        <v>19</v>
      </c>
      <c r="D305" s="19" t="s">
        <v>26</v>
      </c>
      <c r="E305" s="19" t="s">
        <v>240</v>
      </c>
      <c r="F305" s="19"/>
      <c r="G305" s="20">
        <v>0</v>
      </c>
      <c r="H305" s="20">
        <v>100</v>
      </c>
      <c r="I305" s="20">
        <v>100</v>
      </c>
      <c r="J305" s="117"/>
      <c r="K305" s="117"/>
      <c r="L305" s="117"/>
      <c r="M305" s="117"/>
      <c r="N305" s="117"/>
      <c r="O305" s="117"/>
      <c r="P305" s="117"/>
      <c r="Q305" s="117"/>
    </row>
    <row r="306" spans="1:17" s="26" customFormat="1" ht="25.5" x14ac:dyDescent="0.2">
      <c r="A306" s="28" t="s">
        <v>141</v>
      </c>
      <c r="B306" s="31">
        <v>911</v>
      </c>
      <c r="C306" s="24" t="s">
        <v>19</v>
      </c>
      <c r="D306" s="24" t="s">
        <v>26</v>
      </c>
      <c r="E306" s="24" t="s">
        <v>240</v>
      </c>
      <c r="F306" s="24" t="s">
        <v>65</v>
      </c>
      <c r="G306" s="25">
        <v>0</v>
      </c>
      <c r="H306" s="25">
        <v>100</v>
      </c>
      <c r="I306" s="25">
        <v>100</v>
      </c>
      <c r="J306" s="118"/>
      <c r="K306" s="118"/>
      <c r="L306" s="118"/>
      <c r="M306" s="118"/>
      <c r="N306" s="118"/>
      <c r="O306" s="118"/>
      <c r="P306" s="118"/>
      <c r="Q306" s="118"/>
    </row>
    <row r="307" spans="1:17" s="79" customFormat="1" ht="25.5" x14ac:dyDescent="0.2">
      <c r="A307" s="75" t="s">
        <v>345</v>
      </c>
      <c r="B307" s="76">
        <v>911</v>
      </c>
      <c r="C307" s="77" t="s">
        <v>19</v>
      </c>
      <c r="D307" s="77" t="s">
        <v>26</v>
      </c>
      <c r="E307" s="77" t="s">
        <v>189</v>
      </c>
      <c r="F307" s="77"/>
      <c r="G307" s="78">
        <v>390.7</v>
      </c>
      <c r="H307" s="78">
        <v>390.7</v>
      </c>
      <c r="I307" s="78">
        <v>390.7</v>
      </c>
    </row>
    <row r="308" spans="1:17" s="26" customFormat="1" ht="25.5" x14ac:dyDescent="0.2">
      <c r="A308" s="28" t="s">
        <v>76</v>
      </c>
      <c r="B308" s="31">
        <v>911</v>
      </c>
      <c r="C308" s="24" t="s">
        <v>19</v>
      </c>
      <c r="D308" s="24" t="s">
        <v>26</v>
      </c>
      <c r="E308" s="24" t="s">
        <v>189</v>
      </c>
      <c r="F308" s="24" t="s">
        <v>68</v>
      </c>
      <c r="G308" s="25">
        <v>4</v>
      </c>
      <c r="H308" s="25">
        <v>4</v>
      </c>
      <c r="I308" s="25">
        <v>4</v>
      </c>
    </row>
    <row r="309" spans="1:17" s="84" customFormat="1" ht="25.5" x14ac:dyDescent="0.2">
      <c r="A309" s="87" t="s">
        <v>141</v>
      </c>
      <c r="B309" s="86">
        <v>911</v>
      </c>
      <c r="C309" s="82" t="s">
        <v>19</v>
      </c>
      <c r="D309" s="82" t="s">
        <v>26</v>
      </c>
      <c r="E309" s="82" t="s">
        <v>189</v>
      </c>
      <c r="F309" s="82" t="s">
        <v>65</v>
      </c>
      <c r="G309" s="62">
        <v>386.7</v>
      </c>
      <c r="H309" s="62">
        <v>386.7</v>
      </c>
      <c r="I309" s="62">
        <v>386.7</v>
      </c>
    </row>
    <row r="310" spans="1:17" ht="51" x14ac:dyDescent="0.2">
      <c r="A310" s="18" t="s">
        <v>346</v>
      </c>
      <c r="B310" s="22">
        <v>911</v>
      </c>
      <c r="C310" s="19" t="s">
        <v>19</v>
      </c>
      <c r="D310" s="19" t="s">
        <v>26</v>
      </c>
      <c r="E310" s="19" t="s">
        <v>241</v>
      </c>
      <c r="F310" s="19"/>
      <c r="G310" s="20">
        <v>784.19999999999993</v>
      </c>
      <c r="H310" s="20">
        <v>714.19999999999993</v>
      </c>
      <c r="I310" s="20">
        <v>714.19999999999993</v>
      </c>
      <c r="J310" s="117"/>
      <c r="K310" s="117"/>
      <c r="L310" s="117"/>
      <c r="M310" s="117"/>
      <c r="N310" s="117"/>
      <c r="O310" s="117"/>
      <c r="P310" s="117"/>
      <c r="Q310" s="117"/>
    </row>
    <row r="311" spans="1:17" s="26" customFormat="1" ht="49.5" customHeight="1" x14ac:dyDescent="0.2">
      <c r="A311" s="30" t="s">
        <v>66</v>
      </c>
      <c r="B311" s="32">
        <v>911</v>
      </c>
      <c r="C311" s="24" t="s">
        <v>19</v>
      </c>
      <c r="D311" s="24" t="s">
        <v>26</v>
      </c>
      <c r="E311" s="24" t="s">
        <v>241</v>
      </c>
      <c r="F311" s="27" t="s">
        <v>67</v>
      </c>
      <c r="G311" s="25">
        <v>64.8</v>
      </c>
      <c r="H311" s="25">
        <v>54.4</v>
      </c>
      <c r="I311" s="25">
        <v>54.4</v>
      </c>
      <c r="J311" s="118"/>
      <c r="K311" s="118"/>
      <c r="L311" s="118"/>
      <c r="M311" s="118"/>
      <c r="N311" s="118"/>
      <c r="O311" s="118"/>
      <c r="P311" s="118"/>
      <c r="Q311" s="118"/>
    </row>
    <row r="312" spans="1:17" s="26" customFormat="1" ht="25.5" x14ac:dyDescent="0.2">
      <c r="A312" s="28" t="s">
        <v>141</v>
      </c>
      <c r="B312" s="31">
        <v>911</v>
      </c>
      <c r="C312" s="24" t="s">
        <v>19</v>
      </c>
      <c r="D312" s="24" t="s">
        <v>26</v>
      </c>
      <c r="E312" s="24" t="s">
        <v>241</v>
      </c>
      <c r="F312" s="24" t="s">
        <v>65</v>
      </c>
      <c r="G312" s="25">
        <v>719.4</v>
      </c>
      <c r="H312" s="25">
        <v>659.8</v>
      </c>
      <c r="I312" s="25">
        <v>659.8</v>
      </c>
      <c r="J312" s="118"/>
      <c r="K312" s="118"/>
      <c r="L312" s="118"/>
      <c r="M312" s="118"/>
      <c r="N312" s="118"/>
      <c r="O312" s="118"/>
      <c r="P312" s="118"/>
      <c r="Q312" s="118"/>
    </row>
    <row r="313" spans="1:17" s="79" customFormat="1" ht="25.5" x14ac:dyDescent="0.2">
      <c r="A313" s="75" t="s">
        <v>243</v>
      </c>
      <c r="B313" s="76">
        <v>911</v>
      </c>
      <c r="C313" s="77" t="s">
        <v>19</v>
      </c>
      <c r="D313" s="77" t="s">
        <v>26</v>
      </c>
      <c r="E313" s="77" t="s">
        <v>242</v>
      </c>
      <c r="F313" s="77"/>
      <c r="G313" s="78">
        <v>643.4</v>
      </c>
      <c r="H313" s="78">
        <v>643.4</v>
      </c>
      <c r="I313" s="78">
        <v>643.4</v>
      </c>
    </row>
    <row r="314" spans="1:17" s="26" customFormat="1" ht="63.75" x14ac:dyDescent="0.2">
      <c r="A314" s="23" t="s">
        <v>66</v>
      </c>
      <c r="B314" s="31">
        <v>911</v>
      </c>
      <c r="C314" s="24" t="s">
        <v>19</v>
      </c>
      <c r="D314" s="24" t="s">
        <v>26</v>
      </c>
      <c r="E314" s="24" t="s">
        <v>242</v>
      </c>
      <c r="F314" s="24" t="s">
        <v>67</v>
      </c>
      <c r="G314" s="25">
        <v>22.6</v>
      </c>
      <c r="H314" s="25">
        <v>22.6</v>
      </c>
      <c r="I314" s="25">
        <v>22.6</v>
      </c>
      <c r="J314" s="118"/>
      <c r="K314" s="118"/>
      <c r="L314" s="118"/>
      <c r="M314" s="118"/>
      <c r="N314" s="118"/>
      <c r="O314" s="118"/>
      <c r="P314" s="118"/>
      <c r="Q314" s="118"/>
    </row>
    <row r="315" spans="1:17" s="26" customFormat="1" ht="25.5" x14ac:dyDescent="0.2">
      <c r="A315" s="28" t="s">
        <v>76</v>
      </c>
      <c r="B315" s="31">
        <v>911</v>
      </c>
      <c r="C315" s="24" t="s">
        <v>19</v>
      </c>
      <c r="D315" s="24" t="s">
        <v>26</v>
      </c>
      <c r="E315" s="24" t="s">
        <v>242</v>
      </c>
      <c r="F315" s="24" t="s">
        <v>68</v>
      </c>
      <c r="G315" s="25">
        <v>105</v>
      </c>
      <c r="H315" s="25">
        <v>105</v>
      </c>
      <c r="I315" s="25">
        <v>105</v>
      </c>
      <c r="J315" s="118"/>
      <c r="K315" s="118"/>
      <c r="L315" s="118"/>
      <c r="M315" s="118"/>
      <c r="N315" s="118"/>
      <c r="O315" s="118"/>
      <c r="P315" s="118"/>
      <c r="Q315" s="118"/>
    </row>
    <row r="316" spans="1:17" s="26" customFormat="1" ht="25.5" x14ac:dyDescent="0.2">
      <c r="A316" s="28" t="s">
        <v>141</v>
      </c>
      <c r="B316" s="31">
        <v>911</v>
      </c>
      <c r="C316" s="24" t="s">
        <v>19</v>
      </c>
      <c r="D316" s="24" t="s">
        <v>26</v>
      </c>
      <c r="E316" s="24" t="s">
        <v>242</v>
      </c>
      <c r="F316" s="24" t="s">
        <v>65</v>
      </c>
      <c r="G316" s="25">
        <v>515.79999999999995</v>
      </c>
      <c r="H316" s="25">
        <v>515.79999999999995</v>
      </c>
      <c r="I316" s="25">
        <v>515.79999999999995</v>
      </c>
      <c r="J316" s="118"/>
      <c r="K316" s="118"/>
      <c r="L316" s="118"/>
      <c r="M316" s="118"/>
      <c r="N316" s="118"/>
      <c r="O316" s="118"/>
      <c r="P316" s="118"/>
      <c r="Q316" s="118"/>
    </row>
    <row r="317" spans="1:17" ht="114.75" x14ac:dyDescent="0.2">
      <c r="A317" s="18" t="s">
        <v>435</v>
      </c>
      <c r="B317" s="22">
        <v>911</v>
      </c>
      <c r="C317" s="5" t="s">
        <v>19</v>
      </c>
      <c r="D317" s="5" t="s">
        <v>26</v>
      </c>
      <c r="E317" s="5" t="s">
        <v>122</v>
      </c>
      <c r="F317" s="19"/>
      <c r="G317" s="20">
        <v>3115.1</v>
      </c>
      <c r="H317" s="20">
        <v>3115.1</v>
      </c>
      <c r="I317" s="20">
        <v>3115.1</v>
      </c>
      <c r="J317" s="237"/>
      <c r="K317" s="237"/>
      <c r="L317" s="237"/>
      <c r="M317" s="237"/>
      <c r="N317" s="237"/>
      <c r="O317" s="237"/>
      <c r="P317" s="237"/>
      <c r="Q317" s="237"/>
    </row>
    <row r="318" spans="1:17" s="26" customFormat="1" ht="51" customHeight="1" x14ac:dyDescent="0.2">
      <c r="A318" s="23" t="s">
        <v>66</v>
      </c>
      <c r="B318" s="31">
        <v>911</v>
      </c>
      <c r="C318" s="24" t="s">
        <v>19</v>
      </c>
      <c r="D318" s="24" t="s">
        <v>26</v>
      </c>
      <c r="E318" s="24" t="s">
        <v>122</v>
      </c>
      <c r="F318" s="27" t="s">
        <v>67</v>
      </c>
      <c r="G318" s="25">
        <v>2764.5</v>
      </c>
      <c r="H318" s="25">
        <v>2764.5</v>
      </c>
      <c r="I318" s="25">
        <v>2764.5</v>
      </c>
    </row>
    <row r="319" spans="1:17" s="26" customFormat="1" ht="25.5" x14ac:dyDescent="0.2">
      <c r="A319" s="28" t="s">
        <v>76</v>
      </c>
      <c r="B319" s="53">
        <v>911</v>
      </c>
      <c r="C319" s="24" t="s">
        <v>19</v>
      </c>
      <c r="D319" s="24" t="s">
        <v>26</v>
      </c>
      <c r="E319" s="24" t="s">
        <v>122</v>
      </c>
      <c r="F319" s="27" t="s">
        <v>68</v>
      </c>
      <c r="G319" s="25">
        <v>350.6</v>
      </c>
      <c r="H319" s="25">
        <v>350.6</v>
      </c>
      <c r="I319" s="25">
        <v>350.6</v>
      </c>
    </row>
    <row r="320" spans="1:17" ht="25.5" x14ac:dyDescent="0.2">
      <c r="A320" s="18" t="s">
        <v>348</v>
      </c>
      <c r="B320" s="22">
        <v>911</v>
      </c>
      <c r="C320" s="19" t="s">
        <v>19</v>
      </c>
      <c r="D320" s="19" t="s">
        <v>26</v>
      </c>
      <c r="E320" s="19" t="s">
        <v>244</v>
      </c>
      <c r="F320" s="19"/>
      <c r="G320" s="20">
        <v>4894.2</v>
      </c>
      <c r="H320" s="20">
        <v>3681.4</v>
      </c>
      <c r="I320" s="20">
        <v>3681.4</v>
      </c>
      <c r="J320" s="117"/>
      <c r="K320" s="117"/>
      <c r="L320" s="117"/>
      <c r="M320" s="117"/>
      <c r="N320" s="117"/>
      <c r="O320" s="117"/>
      <c r="P320" s="117"/>
      <c r="Q320" s="117"/>
    </row>
    <row r="321" spans="1:17" s="26" customFormat="1" ht="51" customHeight="1" x14ac:dyDescent="0.2">
      <c r="A321" s="23" t="s">
        <v>66</v>
      </c>
      <c r="B321" s="31">
        <v>911</v>
      </c>
      <c r="C321" s="24" t="s">
        <v>19</v>
      </c>
      <c r="D321" s="24" t="s">
        <v>26</v>
      </c>
      <c r="E321" s="24" t="s">
        <v>244</v>
      </c>
      <c r="F321" s="27" t="s">
        <v>67</v>
      </c>
      <c r="G321" s="25">
        <v>4864.2</v>
      </c>
      <c r="H321" s="25">
        <v>3641.4</v>
      </c>
      <c r="I321" s="25">
        <v>3641.4</v>
      </c>
      <c r="J321" s="118"/>
      <c r="K321" s="118"/>
      <c r="L321" s="118"/>
      <c r="M321" s="118"/>
      <c r="N321" s="118"/>
      <c r="O321" s="118"/>
      <c r="P321" s="118"/>
      <c r="Q321" s="118"/>
    </row>
    <row r="322" spans="1:17" s="26" customFormat="1" ht="25.5" x14ac:dyDescent="0.2">
      <c r="A322" s="28" t="s">
        <v>76</v>
      </c>
      <c r="B322" s="31">
        <v>911</v>
      </c>
      <c r="C322" s="24" t="s">
        <v>19</v>
      </c>
      <c r="D322" s="24" t="s">
        <v>26</v>
      </c>
      <c r="E322" s="24" t="s">
        <v>244</v>
      </c>
      <c r="F322" s="27" t="s">
        <v>68</v>
      </c>
      <c r="G322" s="25">
        <v>30</v>
      </c>
      <c r="H322" s="25">
        <v>40</v>
      </c>
      <c r="I322" s="25">
        <v>40</v>
      </c>
      <c r="J322" s="118"/>
      <c r="K322" s="118"/>
      <c r="L322" s="118"/>
      <c r="M322" s="118"/>
      <c r="N322" s="118"/>
      <c r="O322" s="118"/>
      <c r="P322" s="118"/>
      <c r="Q322" s="118"/>
    </row>
    <row r="323" spans="1:17" ht="25.5" x14ac:dyDescent="0.2">
      <c r="A323" s="18" t="s">
        <v>348</v>
      </c>
      <c r="B323" s="22">
        <v>911</v>
      </c>
      <c r="C323" s="19" t="s">
        <v>19</v>
      </c>
      <c r="D323" s="19" t="s">
        <v>26</v>
      </c>
      <c r="E323" s="19" t="s">
        <v>245</v>
      </c>
      <c r="F323" s="19"/>
      <c r="G323" s="20">
        <v>22445.200000000001</v>
      </c>
      <c r="H323" s="20">
        <v>20310.8</v>
      </c>
      <c r="I323" s="20">
        <v>19969.7</v>
      </c>
      <c r="J323" s="117"/>
      <c r="K323" s="117"/>
      <c r="L323" s="117"/>
      <c r="M323" s="117"/>
      <c r="N323" s="117"/>
      <c r="O323" s="117"/>
      <c r="P323" s="117"/>
      <c r="Q323" s="117"/>
    </row>
    <row r="324" spans="1:17" s="26" customFormat="1" ht="25.5" x14ac:dyDescent="0.2">
      <c r="A324" s="28" t="s">
        <v>141</v>
      </c>
      <c r="B324" s="31">
        <v>911</v>
      </c>
      <c r="C324" s="24" t="s">
        <v>19</v>
      </c>
      <c r="D324" s="24" t="s">
        <v>26</v>
      </c>
      <c r="E324" s="24" t="s">
        <v>245</v>
      </c>
      <c r="F324" s="24" t="s">
        <v>65</v>
      </c>
      <c r="G324" s="25">
        <v>22445.200000000001</v>
      </c>
      <c r="H324" s="25">
        <v>20310.8</v>
      </c>
      <c r="I324" s="25">
        <v>19969.7</v>
      </c>
      <c r="J324" s="118"/>
      <c r="K324" s="118"/>
      <c r="L324" s="118"/>
      <c r="M324" s="118"/>
      <c r="N324" s="118"/>
      <c r="O324" s="118"/>
      <c r="P324" s="118"/>
      <c r="Q324" s="118"/>
    </row>
    <row r="325" spans="1:17" ht="25.5" x14ac:dyDescent="0.2">
      <c r="A325" s="18" t="s">
        <v>348</v>
      </c>
      <c r="B325" s="22">
        <v>911</v>
      </c>
      <c r="C325" s="19" t="s">
        <v>19</v>
      </c>
      <c r="D325" s="19" t="s">
        <v>26</v>
      </c>
      <c r="E325" s="19" t="s">
        <v>246</v>
      </c>
      <c r="F325" s="19"/>
      <c r="G325" s="20">
        <v>44619.600000000006</v>
      </c>
      <c r="H325" s="20">
        <v>40888.300000000003</v>
      </c>
      <c r="I325" s="20">
        <v>40021.800000000003</v>
      </c>
      <c r="J325" s="117"/>
      <c r="K325" s="117"/>
      <c r="L325" s="117"/>
      <c r="M325" s="117"/>
      <c r="N325" s="117"/>
      <c r="O325" s="117"/>
      <c r="P325" s="117"/>
      <c r="Q325" s="117"/>
    </row>
    <row r="326" spans="1:17" s="26" customFormat="1" ht="51.75" customHeight="1" x14ac:dyDescent="0.2">
      <c r="A326" s="30" t="s">
        <v>66</v>
      </c>
      <c r="B326" s="32">
        <v>911</v>
      </c>
      <c r="C326" s="24" t="s">
        <v>19</v>
      </c>
      <c r="D326" s="24" t="s">
        <v>26</v>
      </c>
      <c r="E326" s="24" t="s">
        <v>246</v>
      </c>
      <c r="F326" s="27" t="s">
        <v>67</v>
      </c>
      <c r="G326" s="25">
        <v>22446</v>
      </c>
      <c r="H326" s="25">
        <v>20676.400000000001</v>
      </c>
      <c r="I326" s="25">
        <v>20676.400000000001</v>
      </c>
      <c r="J326" s="118"/>
      <c r="K326" s="118"/>
      <c r="L326" s="118"/>
      <c r="M326" s="118"/>
      <c r="N326" s="118"/>
      <c r="O326" s="118"/>
      <c r="P326" s="118"/>
      <c r="Q326" s="118"/>
    </row>
    <row r="327" spans="1:17" s="26" customFormat="1" ht="25.5" x14ac:dyDescent="0.2">
      <c r="A327" s="28" t="s">
        <v>76</v>
      </c>
      <c r="B327" s="32">
        <v>911</v>
      </c>
      <c r="C327" s="24" t="s">
        <v>19</v>
      </c>
      <c r="D327" s="24" t="s">
        <v>26</v>
      </c>
      <c r="E327" s="24" t="s">
        <v>246</v>
      </c>
      <c r="F327" s="27" t="s">
        <v>68</v>
      </c>
      <c r="G327" s="25">
        <v>3618</v>
      </c>
      <c r="H327" s="25">
        <v>2835.6</v>
      </c>
      <c r="I327" s="25">
        <v>2240.8000000000002</v>
      </c>
      <c r="J327" s="118"/>
      <c r="K327" s="118"/>
      <c r="L327" s="118"/>
      <c r="M327" s="118"/>
      <c r="N327" s="118"/>
      <c r="O327" s="118"/>
      <c r="P327" s="118"/>
      <c r="Q327" s="118"/>
    </row>
    <row r="328" spans="1:17" s="26" customFormat="1" ht="25.5" x14ac:dyDescent="0.2">
      <c r="A328" s="28" t="s">
        <v>141</v>
      </c>
      <c r="B328" s="31">
        <v>911</v>
      </c>
      <c r="C328" s="24" t="s">
        <v>19</v>
      </c>
      <c r="D328" s="24" t="s">
        <v>26</v>
      </c>
      <c r="E328" s="24" t="s">
        <v>246</v>
      </c>
      <c r="F328" s="24" t="s">
        <v>65</v>
      </c>
      <c r="G328" s="25">
        <v>18484.100000000002</v>
      </c>
      <c r="H328" s="25">
        <v>17304.800000000003</v>
      </c>
      <c r="I328" s="25">
        <v>17033.099999999999</v>
      </c>
      <c r="J328" s="118"/>
      <c r="K328" s="118"/>
      <c r="L328" s="118"/>
      <c r="M328" s="118"/>
      <c r="N328" s="118"/>
      <c r="O328" s="118"/>
      <c r="P328" s="118"/>
      <c r="Q328" s="118"/>
    </row>
    <row r="329" spans="1:17" s="26" customFormat="1" x14ac:dyDescent="0.2">
      <c r="A329" s="28" t="s">
        <v>72</v>
      </c>
      <c r="B329" s="31">
        <v>911</v>
      </c>
      <c r="C329" s="24" t="s">
        <v>19</v>
      </c>
      <c r="D329" s="24" t="s">
        <v>26</v>
      </c>
      <c r="E329" s="24" t="s">
        <v>246</v>
      </c>
      <c r="F329" s="24" t="s">
        <v>73</v>
      </c>
      <c r="G329" s="25">
        <v>71.5</v>
      </c>
      <c r="H329" s="25">
        <v>71.5</v>
      </c>
      <c r="I329" s="25">
        <v>71.5</v>
      </c>
      <c r="J329" s="118"/>
      <c r="K329" s="118"/>
      <c r="L329" s="118"/>
      <c r="M329" s="118"/>
      <c r="N329" s="118"/>
      <c r="O329" s="118"/>
      <c r="P329" s="118"/>
      <c r="Q329" s="118"/>
    </row>
    <row r="330" spans="1:17" s="99" customFormat="1" x14ac:dyDescent="0.2">
      <c r="A330" s="98" t="s">
        <v>52</v>
      </c>
      <c r="B330" s="64">
        <v>911</v>
      </c>
      <c r="C330" s="65" t="s">
        <v>51</v>
      </c>
      <c r="D330" s="65"/>
      <c r="E330" s="65"/>
      <c r="F330" s="65"/>
      <c r="G330" s="68">
        <v>60703.799999999996</v>
      </c>
      <c r="H330" s="68">
        <v>59838.2</v>
      </c>
      <c r="I330" s="68">
        <v>57889.099999999991</v>
      </c>
      <c r="J330" s="68">
        <f t="shared" ref="J330:Q330" si="2">J331+J346+J364</f>
        <v>0</v>
      </c>
      <c r="K330" s="68">
        <f t="shared" si="2"/>
        <v>0</v>
      </c>
      <c r="L330" s="68">
        <f t="shared" si="2"/>
        <v>0</v>
      </c>
      <c r="M330" s="68">
        <f t="shared" si="2"/>
        <v>0</v>
      </c>
      <c r="N330" s="68">
        <f t="shared" si="2"/>
        <v>0</v>
      </c>
      <c r="O330" s="68">
        <f t="shared" si="2"/>
        <v>0</v>
      </c>
      <c r="P330" s="68">
        <f t="shared" si="2"/>
        <v>0</v>
      </c>
      <c r="Q330" s="68">
        <f t="shared" si="2"/>
        <v>0</v>
      </c>
    </row>
    <row r="331" spans="1:17" s="74" customFormat="1" x14ac:dyDescent="0.2">
      <c r="A331" s="70" t="s">
        <v>55</v>
      </c>
      <c r="B331" s="71">
        <v>911</v>
      </c>
      <c r="C331" s="72" t="s">
        <v>51</v>
      </c>
      <c r="D331" s="72" t="s">
        <v>16</v>
      </c>
      <c r="E331" s="72"/>
      <c r="F331" s="72"/>
      <c r="G331" s="73">
        <v>12550.4</v>
      </c>
      <c r="H331" s="73">
        <v>11473.8</v>
      </c>
      <c r="I331" s="73">
        <v>11473.8</v>
      </c>
    </row>
    <row r="332" spans="1:17" ht="25.5" x14ac:dyDescent="0.2">
      <c r="A332" s="60" t="s">
        <v>361</v>
      </c>
      <c r="B332" s="22">
        <v>911</v>
      </c>
      <c r="C332" s="19" t="s">
        <v>51</v>
      </c>
      <c r="D332" s="19" t="s">
        <v>16</v>
      </c>
      <c r="E332" s="19" t="s">
        <v>85</v>
      </c>
      <c r="F332" s="19"/>
      <c r="G332" s="20">
        <v>1396</v>
      </c>
      <c r="H332" s="20">
        <v>1396</v>
      </c>
      <c r="I332" s="20">
        <v>1396</v>
      </c>
      <c r="J332" s="237"/>
      <c r="K332" s="237"/>
      <c r="L332" s="237"/>
      <c r="M332" s="237"/>
      <c r="N332" s="237"/>
      <c r="O332" s="237"/>
      <c r="P332" s="237"/>
      <c r="Q332" s="237"/>
    </row>
    <row r="333" spans="1:17" x14ac:dyDescent="0.2">
      <c r="A333" s="59" t="s">
        <v>69</v>
      </c>
      <c r="B333" s="23">
        <v>911</v>
      </c>
      <c r="C333" s="24" t="s">
        <v>51</v>
      </c>
      <c r="D333" s="24" t="s">
        <v>16</v>
      </c>
      <c r="E333" s="24" t="s">
        <v>85</v>
      </c>
      <c r="F333" s="27" t="s">
        <v>70</v>
      </c>
      <c r="G333" s="25">
        <v>26.7</v>
      </c>
      <c r="H333" s="25">
        <v>26.7</v>
      </c>
      <c r="I333" s="25">
        <v>26.7</v>
      </c>
      <c r="J333" s="237"/>
      <c r="K333" s="237"/>
      <c r="L333" s="237"/>
      <c r="M333" s="237"/>
      <c r="N333" s="237"/>
      <c r="O333" s="237"/>
      <c r="P333" s="237"/>
      <c r="Q333" s="237"/>
    </row>
    <row r="334" spans="1:17" s="26" customFormat="1" ht="25.5" x14ac:dyDescent="0.2">
      <c r="A334" s="28" t="s">
        <v>141</v>
      </c>
      <c r="B334" s="31">
        <v>911</v>
      </c>
      <c r="C334" s="24" t="s">
        <v>51</v>
      </c>
      <c r="D334" s="24" t="s">
        <v>16</v>
      </c>
      <c r="E334" s="24" t="s">
        <v>85</v>
      </c>
      <c r="F334" s="24" t="s">
        <v>65</v>
      </c>
      <c r="G334" s="25">
        <v>1369.3</v>
      </c>
      <c r="H334" s="25">
        <v>1369.3</v>
      </c>
      <c r="I334" s="25">
        <v>1369.3</v>
      </c>
    </row>
    <row r="335" spans="1:17" ht="51" x14ac:dyDescent="0.2">
      <c r="A335" s="18" t="s">
        <v>247</v>
      </c>
      <c r="B335" s="22">
        <v>911</v>
      </c>
      <c r="C335" s="19" t="s">
        <v>51</v>
      </c>
      <c r="D335" s="19" t="s">
        <v>16</v>
      </c>
      <c r="E335" s="19" t="s">
        <v>126</v>
      </c>
      <c r="F335" s="19"/>
      <c r="G335" s="20">
        <v>207</v>
      </c>
      <c r="H335" s="20">
        <v>207</v>
      </c>
      <c r="I335" s="20">
        <v>207</v>
      </c>
      <c r="J335" s="237"/>
      <c r="K335" s="237"/>
      <c r="L335" s="237"/>
      <c r="M335" s="237"/>
      <c r="N335" s="237"/>
      <c r="O335" s="237"/>
      <c r="P335" s="237"/>
      <c r="Q335" s="237"/>
    </row>
    <row r="336" spans="1:17" s="26" customFormat="1" x14ac:dyDescent="0.2">
      <c r="A336" s="59" t="s">
        <v>69</v>
      </c>
      <c r="B336" s="31">
        <v>911</v>
      </c>
      <c r="C336" s="24" t="s">
        <v>51</v>
      </c>
      <c r="D336" s="24" t="s">
        <v>16</v>
      </c>
      <c r="E336" s="24" t="s">
        <v>126</v>
      </c>
      <c r="F336" s="29">
        <v>300</v>
      </c>
      <c r="G336" s="25">
        <v>207</v>
      </c>
      <c r="H336" s="25">
        <v>207</v>
      </c>
      <c r="I336" s="25">
        <v>207</v>
      </c>
    </row>
    <row r="337" spans="1:17" ht="38.25" x14ac:dyDescent="0.2">
      <c r="A337" s="47" t="s">
        <v>249</v>
      </c>
      <c r="B337" s="22">
        <v>911</v>
      </c>
      <c r="C337" s="19" t="s">
        <v>51</v>
      </c>
      <c r="D337" s="19" t="s">
        <v>16</v>
      </c>
      <c r="E337" s="19" t="s">
        <v>124</v>
      </c>
      <c r="F337" s="19"/>
      <c r="G337" s="20">
        <v>570</v>
      </c>
      <c r="H337" s="20">
        <v>570</v>
      </c>
      <c r="I337" s="20">
        <v>570</v>
      </c>
      <c r="J337" s="237"/>
      <c r="K337" s="237"/>
      <c r="L337" s="237"/>
      <c r="M337" s="237"/>
      <c r="N337" s="237"/>
      <c r="O337" s="237"/>
      <c r="P337" s="237"/>
      <c r="Q337" s="237"/>
    </row>
    <row r="338" spans="1:17" s="26" customFormat="1" x14ac:dyDescent="0.2">
      <c r="A338" s="59" t="s">
        <v>69</v>
      </c>
      <c r="B338" s="31">
        <v>911</v>
      </c>
      <c r="C338" s="24" t="s">
        <v>51</v>
      </c>
      <c r="D338" s="24" t="s">
        <v>16</v>
      </c>
      <c r="E338" s="24" t="s">
        <v>124</v>
      </c>
      <c r="F338" s="24" t="s">
        <v>70</v>
      </c>
      <c r="G338" s="25">
        <v>570</v>
      </c>
      <c r="H338" s="25">
        <v>570</v>
      </c>
      <c r="I338" s="25">
        <v>570</v>
      </c>
    </row>
    <row r="339" spans="1:17" ht="25.5" x14ac:dyDescent="0.2">
      <c r="A339" s="47" t="s">
        <v>250</v>
      </c>
      <c r="B339" s="239" t="s">
        <v>131</v>
      </c>
      <c r="C339" s="19" t="s">
        <v>51</v>
      </c>
      <c r="D339" s="19" t="s">
        <v>16</v>
      </c>
      <c r="E339" s="19" t="s">
        <v>132</v>
      </c>
      <c r="F339" s="19"/>
      <c r="G339" s="20">
        <v>2112.6</v>
      </c>
      <c r="H339" s="20">
        <v>636</v>
      </c>
      <c r="I339" s="20">
        <v>636</v>
      </c>
      <c r="J339" s="117"/>
      <c r="K339" s="117"/>
      <c r="L339" s="117"/>
      <c r="M339" s="117"/>
      <c r="N339" s="117"/>
      <c r="O339" s="117"/>
      <c r="P339" s="117"/>
      <c r="Q339" s="117"/>
    </row>
    <row r="340" spans="1:17" ht="25.5" x14ac:dyDescent="0.2">
      <c r="A340" s="28" t="s">
        <v>76</v>
      </c>
      <c r="B340" s="23">
        <v>911</v>
      </c>
      <c r="C340" s="24" t="s">
        <v>51</v>
      </c>
      <c r="D340" s="24" t="s">
        <v>16</v>
      </c>
      <c r="E340" s="24" t="s">
        <v>132</v>
      </c>
      <c r="F340" s="27" t="s">
        <v>68</v>
      </c>
      <c r="G340" s="25">
        <v>476.59999999999997</v>
      </c>
      <c r="H340" s="25">
        <v>118.8</v>
      </c>
      <c r="I340" s="25">
        <v>118.8</v>
      </c>
      <c r="J340" s="117"/>
      <c r="K340" s="117"/>
      <c r="L340" s="117"/>
      <c r="M340" s="117"/>
      <c r="N340" s="117"/>
      <c r="O340" s="117"/>
      <c r="P340" s="117"/>
      <c r="Q340" s="117"/>
    </row>
    <row r="341" spans="1:17" ht="25.5" x14ac:dyDescent="0.2">
      <c r="A341" s="28" t="s">
        <v>141</v>
      </c>
      <c r="B341" s="28">
        <v>911</v>
      </c>
      <c r="C341" s="24" t="s">
        <v>51</v>
      </c>
      <c r="D341" s="24" t="s">
        <v>16</v>
      </c>
      <c r="E341" s="24" t="s">
        <v>132</v>
      </c>
      <c r="F341" s="24" t="s">
        <v>65</v>
      </c>
      <c r="G341" s="25">
        <v>1636</v>
      </c>
      <c r="H341" s="25">
        <v>517.20000000000005</v>
      </c>
      <c r="I341" s="25">
        <v>517.20000000000005</v>
      </c>
      <c r="J341" s="117"/>
      <c r="K341" s="117"/>
      <c r="L341" s="117"/>
      <c r="M341" s="117"/>
      <c r="N341" s="117"/>
      <c r="O341" s="117"/>
      <c r="P341" s="117"/>
      <c r="Q341" s="117"/>
    </row>
    <row r="342" spans="1:17" ht="78" customHeight="1" x14ac:dyDescent="0.2">
      <c r="A342" s="18" t="s">
        <v>458</v>
      </c>
      <c r="B342" s="22">
        <v>911</v>
      </c>
      <c r="C342" s="19" t="s">
        <v>51</v>
      </c>
      <c r="D342" s="19" t="s">
        <v>16</v>
      </c>
      <c r="E342" s="19" t="s">
        <v>127</v>
      </c>
      <c r="F342" s="19"/>
      <c r="G342" s="20">
        <v>600</v>
      </c>
      <c r="H342" s="20">
        <v>1000</v>
      </c>
      <c r="I342" s="20">
        <v>1000</v>
      </c>
      <c r="J342" s="117"/>
      <c r="K342" s="117"/>
      <c r="L342" s="117"/>
      <c r="M342" s="117"/>
      <c r="N342" s="117"/>
      <c r="O342" s="117"/>
      <c r="P342" s="117"/>
      <c r="Q342" s="117"/>
    </row>
    <row r="343" spans="1:17" s="26" customFormat="1" x14ac:dyDescent="0.2">
      <c r="A343" s="28" t="s">
        <v>69</v>
      </c>
      <c r="B343" s="31">
        <v>911</v>
      </c>
      <c r="C343" s="24" t="s">
        <v>51</v>
      </c>
      <c r="D343" s="24" t="s">
        <v>16</v>
      </c>
      <c r="E343" s="24" t="s">
        <v>127</v>
      </c>
      <c r="F343" s="24" t="s">
        <v>70</v>
      </c>
      <c r="G343" s="25">
        <v>600</v>
      </c>
      <c r="H343" s="25">
        <v>1000</v>
      </c>
      <c r="I343" s="25">
        <v>1000</v>
      </c>
      <c r="J343" s="118"/>
      <c r="K343" s="118"/>
      <c r="L343" s="118"/>
      <c r="M343" s="118"/>
      <c r="N343" s="118"/>
      <c r="O343" s="118"/>
      <c r="P343" s="118"/>
      <c r="Q343" s="118"/>
    </row>
    <row r="344" spans="1:17" ht="51" x14ac:dyDescent="0.2">
      <c r="A344" s="18" t="s">
        <v>252</v>
      </c>
      <c r="B344" s="22">
        <v>911</v>
      </c>
      <c r="C344" s="19" t="s">
        <v>51</v>
      </c>
      <c r="D344" s="19" t="s">
        <v>16</v>
      </c>
      <c r="E344" s="19" t="s">
        <v>108</v>
      </c>
      <c r="F344" s="19"/>
      <c r="G344" s="20">
        <v>7664.8</v>
      </c>
      <c r="H344" s="20">
        <v>7664.8</v>
      </c>
      <c r="I344" s="20">
        <v>7664.8</v>
      </c>
      <c r="J344" s="237"/>
      <c r="K344" s="237"/>
      <c r="L344" s="237"/>
      <c r="M344" s="237"/>
      <c r="N344" s="237"/>
      <c r="O344" s="237"/>
      <c r="P344" s="237"/>
      <c r="Q344" s="237"/>
    </row>
    <row r="345" spans="1:17" s="26" customFormat="1" ht="25.5" x14ac:dyDescent="0.2">
      <c r="A345" s="28" t="s">
        <v>141</v>
      </c>
      <c r="B345" s="31">
        <v>911</v>
      </c>
      <c r="C345" s="24" t="s">
        <v>51</v>
      </c>
      <c r="D345" s="24" t="s">
        <v>16</v>
      </c>
      <c r="E345" s="24" t="s">
        <v>108</v>
      </c>
      <c r="F345" s="24" t="s">
        <v>65</v>
      </c>
      <c r="G345" s="25">
        <v>7664.8</v>
      </c>
      <c r="H345" s="25">
        <v>7664.8</v>
      </c>
      <c r="I345" s="25">
        <v>7664.8</v>
      </c>
    </row>
    <row r="346" spans="1:17" s="74" customFormat="1" x14ac:dyDescent="0.2">
      <c r="A346" s="70" t="s">
        <v>56</v>
      </c>
      <c r="B346" s="71">
        <v>911</v>
      </c>
      <c r="C346" s="72" t="s">
        <v>51</v>
      </c>
      <c r="D346" s="72" t="s">
        <v>18</v>
      </c>
      <c r="E346" s="72"/>
      <c r="F346" s="72"/>
      <c r="G346" s="73">
        <v>48093.399999999994</v>
      </c>
      <c r="H346" s="73">
        <v>48364.399999999994</v>
      </c>
      <c r="I346" s="73">
        <v>46415.299999999996</v>
      </c>
    </row>
    <row r="347" spans="1:17" ht="38.25" x14ac:dyDescent="0.2">
      <c r="A347" s="18" t="s">
        <v>253</v>
      </c>
      <c r="B347" s="22">
        <v>911</v>
      </c>
      <c r="C347" s="19" t="s">
        <v>51</v>
      </c>
      <c r="D347" s="19" t="s">
        <v>18</v>
      </c>
      <c r="E347" s="19" t="s">
        <v>130</v>
      </c>
      <c r="F347" s="19"/>
      <c r="G347" s="20">
        <v>1288</v>
      </c>
      <c r="H347" s="20">
        <v>1000</v>
      </c>
      <c r="I347" s="20">
        <v>1300</v>
      </c>
      <c r="J347" s="237"/>
      <c r="K347" s="237"/>
      <c r="L347" s="237"/>
      <c r="M347" s="237"/>
      <c r="N347" s="237"/>
      <c r="O347" s="237"/>
      <c r="P347" s="237"/>
      <c r="Q347" s="237"/>
    </row>
    <row r="348" spans="1:17" s="26" customFormat="1" x14ac:dyDescent="0.2">
      <c r="A348" s="28" t="s">
        <v>69</v>
      </c>
      <c r="B348" s="31">
        <v>911</v>
      </c>
      <c r="C348" s="24" t="s">
        <v>51</v>
      </c>
      <c r="D348" s="24" t="s">
        <v>18</v>
      </c>
      <c r="E348" s="24" t="s">
        <v>130</v>
      </c>
      <c r="F348" s="24" t="s">
        <v>70</v>
      </c>
      <c r="G348" s="25">
        <v>1288</v>
      </c>
      <c r="H348" s="25">
        <v>1000</v>
      </c>
      <c r="I348" s="25">
        <v>1300</v>
      </c>
    </row>
    <row r="349" spans="1:17" ht="38.25" customHeight="1" x14ac:dyDescent="0.2">
      <c r="A349" s="18" t="s">
        <v>254</v>
      </c>
      <c r="B349" s="22">
        <v>911</v>
      </c>
      <c r="C349" s="19" t="s">
        <v>51</v>
      </c>
      <c r="D349" s="19" t="s">
        <v>18</v>
      </c>
      <c r="E349" s="19" t="s">
        <v>128</v>
      </c>
      <c r="F349" s="19"/>
      <c r="G349" s="20">
        <v>3000.0000000000005</v>
      </c>
      <c r="H349" s="20">
        <v>3754</v>
      </c>
      <c r="I349" s="20">
        <v>3754</v>
      </c>
      <c r="J349" s="117"/>
      <c r="K349" s="117"/>
      <c r="L349" s="117"/>
      <c r="M349" s="117"/>
      <c r="N349" s="117"/>
      <c r="O349" s="117"/>
      <c r="P349" s="117"/>
      <c r="Q349" s="117"/>
    </row>
    <row r="350" spans="1:17" s="26" customFormat="1" ht="25.5" x14ac:dyDescent="0.2">
      <c r="A350" s="28" t="s">
        <v>76</v>
      </c>
      <c r="B350" s="32">
        <v>911</v>
      </c>
      <c r="C350" s="24" t="s">
        <v>51</v>
      </c>
      <c r="D350" s="24" t="s">
        <v>18</v>
      </c>
      <c r="E350" s="24" t="s">
        <v>128</v>
      </c>
      <c r="F350" s="27" t="s">
        <v>68</v>
      </c>
      <c r="G350" s="25">
        <v>1.3</v>
      </c>
      <c r="H350" s="25">
        <v>4.2</v>
      </c>
      <c r="I350" s="25">
        <v>4.2</v>
      </c>
      <c r="J350" s="118"/>
      <c r="K350" s="118"/>
      <c r="L350" s="118"/>
      <c r="M350" s="118"/>
      <c r="N350" s="118"/>
      <c r="O350" s="118"/>
      <c r="P350" s="118"/>
      <c r="Q350" s="118"/>
    </row>
    <row r="351" spans="1:17" s="26" customFormat="1" x14ac:dyDescent="0.2">
      <c r="A351" s="59" t="s">
        <v>69</v>
      </c>
      <c r="B351" s="31">
        <v>911</v>
      </c>
      <c r="C351" s="24" t="s">
        <v>51</v>
      </c>
      <c r="D351" s="24" t="s">
        <v>18</v>
      </c>
      <c r="E351" s="24" t="s">
        <v>128</v>
      </c>
      <c r="F351" s="29">
        <v>300</v>
      </c>
      <c r="G351" s="25">
        <v>271.10000000000002</v>
      </c>
      <c r="H351" s="25">
        <v>419</v>
      </c>
      <c r="I351" s="25">
        <v>419</v>
      </c>
      <c r="J351" s="118"/>
      <c r="K351" s="118"/>
      <c r="L351" s="118"/>
      <c r="M351" s="118"/>
      <c r="N351" s="118"/>
      <c r="O351" s="118"/>
      <c r="P351" s="118"/>
      <c r="Q351" s="118"/>
    </row>
    <row r="352" spans="1:17" s="26" customFormat="1" ht="25.5" x14ac:dyDescent="0.2">
      <c r="A352" s="28" t="s">
        <v>141</v>
      </c>
      <c r="B352" s="31">
        <v>911</v>
      </c>
      <c r="C352" s="24" t="s">
        <v>51</v>
      </c>
      <c r="D352" s="24" t="s">
        <v>18</v>
      </c>
      <c r="E352" s="24" t="s">
        <v>128</v>
      </c>
      <c r="F352" s="24" t="s">
        <v>65</v>
      </c>
      <c r="G352" s="25">
        <v>2727.6000000000004</v>
      </c>
      <c r="H352" s="25">
        <v>3330.8</v>
      </c>
      <c r="I352" s="25">
        <v>3330.8</v>
      </c>
      <c r="J352" s="118"/>
      <c r="K352" s="118"/>
      <c r="L352" s="118"/>
      <c r="M352" s="118"/>
      <c r="N352" s="118"/>
      <c r="O352" s="118"/>
      <c r="P352" s="118"/>
      <c r="Q352" s="118"/>
    </row>
    <row r="353" spans="1:24" ht="29.25" customHeight="1" x14ac:dyDescent="0.2">
      <c r="A353" s="60" t="s">
        <v>448</v>
      </c>
      <c r="B353" s="22">
        <v>911</v>
      </c>
      <c r="C353" s="19" t="s">
        <v>51</v>
      </c>
      <c r="D353" s="19" t="s">
        <v>18</v>
      </c>
      <c r="E353" s="19" t="s">
        <v>447</v>
      </c>
      <c r="F353" s="19"/>
      <c r="G353" s="20">
        <v>0</v>
      </c>
      <c r="H353" s="20">
        <v>5</v>
      </c>
      <c r="I353" s="20">
        <v>0</v>
      </c>
      <c r="J353" s="237"/>
      <c r="K353" s="237"/>
      <c r="L353" s="237"/>
      <c r="M353" s="237"/>
      <c r="N353" s="237"/>
      <c r="O353" s="237"/>
      <c r="P353" s="237"/>
      <c r="Q353" s="237"/>
    </row>
    <row r="354" spans="1:24" s="26" customFormat="1" x14ac:dyDescent="0.2">
      <c r="A354" s="28" t="s">
        <v>69</v>
      </c>
      <c r="B354" s="31">
        <v>911</v>
      </c>
      <c r="C354" s="24" t="s">
        <v>51</v>
      </c>
      <c r="D354" s="24" t="s">
        <v>18</v>
      </c>
      <c r="E354" s="24" t="s">
        <v>447</v>
      </c>
      <c r="F354" s="24" t="s">
        <v>70</v>
      </c>
      <c r="G354" s="25">
        <v>0</v>
      </c>
      <c r="H354" s="25">
        <v>5</v>
      </c>
      <c r="I354" s="25">
        <v>0</v>
      </c>
    </row>
    <row r="355" spans="1:24" ht="112.5" customHeight="1" x14ac:dyDescent="0.2">
      <c r="A355" s="60" t="s">
        <v>453</v>
      </c>
      <c r="B355" s="22">
        <v>911</v>
      </c>
      <c r="C355" s="19" t="s">
        <v>51</v>
      </c>
      <c r="D355" s="19" t="s">
        <v>18</v>
      </c>
      <c r="E355" s="19" t="s">
        <v>129</v>
      </c>
      <c r="F355" s="19"/>
      <c r="G355" s="20">
        <v>38467</v>
      </c>
      <c r="H355" s="20">
        <v>38467</v>
      </c>
      <c r="I355" s="20">
        <v>38467</v>
      </c>
      <c r="J355" s="237"/>
      <c r="K355" s="237"/>
      <c r="L355" s="237"/>
      <c r="M355" s="237"/>
      <c r="N355" s="237"/>
      <c r="O355" s="237"/>
      <c r="P355" s="237"/>
      <c r="Q355" s="237"/>
      <c r="S355" s="270"/>
      <c r="T355" s="270"/>
      <c r="U355" s="270"/>
      <c r="V355" s="270"/>
      <c r="W355" s="270"/>
      <c r="X355" s="270"/>
    </row>
    <row r="356" spans="1:24" s="26" customFormat="1" x14ac:dyDescent="0.2">
      <c r="A356" s="28" t="s">
        <v>69</v>
      </c>
      <c r="B356" s="31">
        <v>911</v>
      </c>
      <c r="C356" s="24" t="s">
        <v>51</v>
      </c>
      <c r="D356" s="24" t="s">
        <v>18</v>
      </c>
      <c r="E356" s="24" t="s">
        <v>129</v>
      </c>
      <c r="F356" s="24" t="s">
        <v>70</v>
      </c>
      <c r="G356" s="25">
        <v>38467</v>
      </c>
      <c r="H356" s="25">
        <v>38467</v>
      </c>
      <c r="I356" s="25">
        <v>38467</v>
      </c>
    </row>
    <row r="357" spans="1:24" ht="112.5" customHeight="1" x14ac:dyDescent="0.2">
      <c r="A357" s="60" t="s">
        <v>450</v>
      </c>
      <c r="B357" s="22">
        <v>911</v>
      </c>
      <c r="C357" s="19" t="s">
        <v>51</v>
      </c>
      <c r="D357" s="19" t="s">
        <v>18</v>
      </c>
      <c r="E357" s="19" t="s">
        <v>449</v>
      </c>
      <c r="F357" s="19"/>
      <c r="G357" s="20">
        <v>250</v>
      </c>
      <c r="H357" s="20">
        <v>50</v>
      </c>
      <c r="I357" s="20">
        <v>50</v>
      </c>
      <c r="J357" s="117"/>
      <c r="K357" s="117"/>
      <c r="L357" s="117"/>
      <c r="M357" s="117"/>
      <c r="N357" s="117"/>
      <c r="O357" s="117"/>
      <c r="P357" s="117"/>
      <c r="Q357" s="117"/>
    </row>
    <row r="358" spans="1:24" s="26" customFormat="1" x14ac:dyDescent="0.2">
      <c r="A358" s="28" t="s">
        <v>69</v>
      </c>
      <c r="B358" s="31">
        <v>911</v>
      </c>
      <c r="C358" s="24" t="s">
        <v>51</v>
      </c>
      <c r="D358" s="24" t="s">
        <v>18</v>
      </c>
      <c r="E358" s="24" t="s">
        <v>449</v>
      </c>
      <c r="F358" s="24" t="s">
        <v>70</v>
      </c>
      <c r="G358" s="25">
        <v>250</v>
      </c>
      <c r="H358" s="25">
        <v>50</v>
      </c>
      <c r="I358" s="25">
        <v>50</v>
      </c>
      <c r="J358" s="118"/>
      <c r="K358" s="118"/>
      <c r="L358" s="118"/>
      <c r="M358" s="118"/>
      <c r="N358" s="118"/>
      <c r="O358" s="118"/>
      <c r="P358" s="118"/>
      <c r="Q358" s="118"/>
    </row>
    <row r="359" spans="1:24" ht="38.25" x14ac:dyDescent="0.2">
      <c r="A359" s="18" t="s">
        <v>424</v>
      </c>
      <c r="B359" s="22">
        <v>911</v>
      </c>
      <c r="C359" s="19" t="s">
        <v>51</v>
      </c>
      <c r="D359" s="19" t="s">
        <v>18</v>
      </c>
      <c r="E359" s="19" t="s">
        <v>425</v>
      </c>
      <c r="F359" s="19"/>
      <c r="G359" s="20">
        <v>3643.2</v>
      </c>
      <c r="H359" s="20">
        <v>3643.2</v>
      </c>
      <c r="I359" s="20">
        <v>1399.0999999999997</v>
      </c>
      <c r="J359" s="237"/>
      <c r="K359" s="237"/>
      <c r="L359" s="237"/>
      <c r="M359" s="237"/>
      <c r="N359" s="237"/>
      <c r="O359" s="237"/>
      <c r="P359" s="237"/>
      <c r="Q359" s="237"/>
    </row>
    <row r="360" spans="1:24" s="26" customFormat="1" ht="25.5" x14ac:dyDescent="0.2">
      <c r="A360" s="87" t="s">
        <v>141</v>
      </c>
      <c r="B360" s="31">
        <v>911</v>
      </c>
      <c r="C360" s="24" t="s">
        <v>51</v>
      </c>
      <c r="D360" s="24" t="s">
        <v>18</v>
      </c>
      <c r="E360" s="24" t="s">
        <v>425</v>
      </c>
      <c r="F360" s="24" t="s">
        <v>65</v>
      </c>
      <c r="G360" s="25">
        <v>3643.2</v>
      </c>
      <c r="H360" s="25">
        <v>3643.2</v>
      </c>
      <c r="I360" s="25">
        <v>1399.0999999999997</v>
      </c>
    </row>
    <row r="361" spans="1:24" ht="38.25" x14ac:dyDescent="0.2">
      <c r="A361" s="18" t="s">
        <v>423</v>
      </c>
      <c r="B361" s="22">
        <v>911</v>
      </c>
      <c r="C361" s="19" t="s">
        <v>51</v>
      </c>
      <c r="D361" s="19" t="s">
        <v>18</v>
      </c>
      <c r="E361" s="19" t="s">
        <v>422</v>
      </c>
      <c r="F361" s="19"/>
      <c r="G361" s="20">
        <v>1445.2</v>
      </c>
      <c r="H361" s="20">
        <v>1445.2</v>
      </c>
      <c r="I361" s="20">
        <v>1445.2</v>
      </c>
      <c r="J361" s="237"/>
      <c r="K361" s="237"/>
      <c r="L361" s="237"/>
      <c r="M361" s="237"/>
      <c r="N361" s="237"/>
      <c r="O361" s="237"/>
      <c r="P361" s="237"/>
      <c r="Q361" s="237"/>
    </row>
    <row r="362" spans="1:24" s="26" customFormat="1" ht="25.5" x14ac:dyDescent="0.2">
      <c r="A362" s="87" t="s">
        <v>76</v>
      </c>
      <c r="B362" s="31">
        <v>911</v>
      </c>
      <c r="C362" s="24" t="s">
        <v>51</v>
      </c>
      <c r="D362" s="24" t="s">
        <v>18</v>
      </c>
      <c r="E362" s="24" t="s">
        <v>422</v>
      </c>
      <c r="F362" s="24" t="s">
        <v>68</v>
      </c>
      <c r="G362" s="25">
        <v>420</v>
      </c>
      <c r="H362" s="25">
        <v>420</v>
      </c>
      <c r="I362" s="25">
        <v>420</v>
      </c>
    </row>
    <row r="363" spans="1:24" s="26" customFormat="1" ht="25.5" x14ac:dyDescent="0.2">
      <c r="A363" s="87" t="s">
        <v>141</v>
      </c>
      <c r="B363" s="31">
        <v>911</v>
      </c>
      <c r="C363" s="24" t="s">
        <v>51</v>
      </c>
      <c r="D363" s="24" t="s">
        <v>18</v>
      </c>
      <c r="E363" s="24" t="s">
        <v>422</v>
      </c>
      <c r="F363" s="24" t="s">
        <v>65</v>
      </c>
      <c r="G363" s="25">
        <v>1025.2</v>
      </c>
      <c r="H363" s="25">
        <v>1025.2</v>
      </c>
      <c r="I363" s="25">
        <v>1025.2</v>
      </c>
    </row>
    <row r="364" spans="1:24" s="26" customFormat="1" x14ac:dyDescent="0.2">
      <c r="A364" s="11" t="s">
        <v>57</v>
      </c>
      <c r="B364" s="14">
        <v>911</v>
      </c>
      <c r="C364" s="8" t="s">
        <v>51</v>
      </c>
      <c r="D364" s="8" t="s">
        <v>50</v>
      </c>
      <c r="E364" s="8"/>
      <c r="F364" s="24"/>
      <c r="G364" s="25">
        <v>60</v>
      </c>
      <c r="H364" s="25">
        <v>0</v>
      </c>
      <c r="I364" s="25">
        <v>0</v>
      </c>
      <c r="J364" s="118"/>
      <c r="K364" s="118"/>
      <c r="L364" s="118"/>
      <c r="M364" s="118"/>
      <c r="N364" s="118"/>
      <c r="O364" s="118"/>
      <c r="P364" s="118"/>
      <c r="Q364" s="118"/>
    </row>
    <row r="365" spans="1:24" s="26" customFormat="1" x14ac:dyDescent="0.2">
      <c r="A365" s="18" t="s">
        <v>322</v>
      </c>
      <c r="B365" s="22">
        <v>911</v>
      </c>
      <c r="C365" s="19" t="s">
        <v>51</v>
      </c>
      <c r="D365" s="19" t="s">
        <v>50</v>
      </c>
      <c r="E365" s="19" t="s">
        <v>323</v>
      </c>
      <c r="F365" s="24"/>
      <c r="G365" s="25">
        <v>60</v>
      </c>
      <c r="H365" s="25">
        <v>0</v>
      </c>
      <c r="I365" s="25">
        <v>0</v>
      </c>
      <c r="J365" s="118"/>
      <c r="K365" s="118"/>
      <c r="L365" s="118"/>
      <c r="M365" s="118"/>
      <c r="N365" s="118"/>
      <c r="O365" s="118"/>
      <c r="P365" s="118"/>
      <c r="Q365" s="118"/>
    </row>
    <row r="366" spans="1:24" s="26" customFormat="1" ht="25.5" x14ac:dyDescent="0.2">
      <c r="A366" s="28" t="s">
        <v>141</v>
      </c>
      <c r="B366" s="31">
        <v>911</v>
      </c>
      <c r="C366" s="24" t="s">
        <v>51</v>
      </c>
      <c r="D366" s="24" t="s">
        <v>50</v>
      </c>
      <c r="E366" s="24" t="s">
        <v>323</v>
      </c>
      <c r="F366" s="24" t="s">
        <v>65</v>
      </c>
      <c r="G366" s="25">
        <v>60</v>
      </c>
      <c r="H366" s="25">
        <v>0</v>
      </c>
      <c r="I366" s="25">
        <v>0</v>
      </c>
      <c r="J366" s="118"/>
      <c r="K366" s="118"/>
      <c r="L366" s="118"/>
      <c r="M366" s="118"/>
      <c r="N366" s="118"/>
      <c r="O366" s="118"/>
      <c r="P366" s="118"/>
      <c r="Q366" s="118"/>
    </row>
    <row r="367" spans="1:24" s="9" customFormat="1" ht="25.5" x14ac:dyDescent="0.2">
      <c r="A367" s="40" t="s">
        <v>7</v>
      </c>
      <c r="B367" s="37">
        <v>913</v>
      </c>
      <c r="C367" s="41"/>
      <c r="D367" s="41"/>
      <c r="E367" s="41"/>
      <c r="F367" s="41"/>
      <c r="G367" s="39">
        <v>165006.70000000001</v>
      </c>
      <c r="H367" s="39">
        <v>125130</v>
      </c>
      <c r="I367" s="39">
        <v>123523.6</v>
      </c>
    </row>
    <row r="368" spans="1:24" s="99" customFormat="1" x14ac:dyDescent="0.2">
      <c r="A368" s="98" t="s">
        <v>37</v>
      </c>
      <c r="B368" s="64">
        <v>913</v>
      </c>
      <c r="C368" s="65" t="s">
        <v>19</v>
      </c>
      <c r="D368" s="65"/>
      <c r="E368" s="65"/>
      <c r="F368" s="65"/>
      <c r="G368" s="68">
        <v>34193.199999999997</v>
      </c>
      <c r="H368" s="68">
        <v>35712.300000000003</v>
      </c>
      <c r="I368" s="68">
        <v>36322.300000000003</v>
      </c>
    </row>
    <row r="369" spans="1:17" s="74" customFormat="1" x14ac:dyDescent="0.2">
      <c r="A369" s="70" t="s">
        <v>331</v>
      </c>
      <c r="B369" s="71">
        <v>913</v>
      </c>
      <c r="C369" s="72" t="s">
        <v>19</v>
      </c>
      <c r="D369" s="72" t="s">
        <v>16</v>
      </c>
      <c r="E369" s="72"/>
      <c r="F369" s="72"/>
      <c r="G369" s="73">
        <v>34126.199999999997</v>
      </c>
      <c r="H369" s="73">
        <v>35645.300000000003</v>
      </c>
      <c r="I369" s="73">
        <v>36255.300000000003</v>
      </c>
    </row>
    <row r="370" spans="1:17" s="12" customFormat="1" ht="25.5" x14ac:dyDescent="0.2">
      <c r="A370" s="17" t="s">
        <v>163</v>
      </c>
      <c r="B370" s="44">
        <v>913</v>
      </c>
      <c r="C370" s="19" t="s">
        <v>19</v>
      </c>
      <c r="D370" s="19" t="s">
        <v>16</v>
      </c>
      <c r="E370" s="19" t="s">
        <v>162</v>
      </c>
      <c r="F370" s="5"/>
      <c r="G370" s="6">
        <v>1107</v>
      </c>
      <c r="H370" s="6">
        <v>407</v>
      </c>
      <c r="I370" s="6">
        <v>407</v>
      </c>
      <c r="J370" s="128"/>
      <c r="K370" s="128"/>
      <c r="L370" s="128"/>
      <c r="M370" s="128"/>
      <c r="N370" s="128"/>
      <c r="O370" s="128"/>
      <c r="P370" s="128"/>
      <c r="Q370" s="128"/>
    </row>
    <row r="371" spans="1:17" s="26" customFormat="1" ht="25.5" x14ac:dyDescent="0.2">
      <c r="A371" s="28" t="s">
        <v>141</v>
      </c>
      <c r="B371" s="31">
        <v>913</v>
      </c>
      <c r="C371" s="24" t="s">
        <v>19</v>
      </c>
      <c r="D371" s="24" t="s">
        <v>16</v>
      </c>
      <c r="E371" s="24" t="s">
        <v>162</v>
      </c>
      <c r="F371" s="24" t="s">
        <v>65</v>
      </c>
      <c r="G371" s="25">
        <v>1107</v>
      </c>
      <c r="H371" s="25">
        <v>407</v>
      </c>
      <c r="I371" s="25">
        <v>407</v>
      </c>
      <c r="J371" s="118"/>
      <c r="K371" s="118"/>
      <c r="L371" s="118"/>
      <c r="M371" s="118"/>
      <c r="N371" s="118"/>
      <c r="O371" s="118"/>
      <c r="P371" s="118"/>
      <c r="Q371" s="118"/>
    </row>
    <row r="372" spans="1:17" x14ac:dyDescent="0.2">
      <c r="A372" s="18" t="s">
        <v>172</v>
      </c>
      <c r="B372" s="22">
        <v>913</v>
      </c>
      <c r="C372" s="19" t="s">
        <v>19</v>
      </c>
      <c r="D372" s="19" t="s">
        <v>16</v>
      </c>
      <c r="E372" s="19" t="s">
        <v>171</v>
      </c>
      <c r="F372" s="19"/>
      <c r="G372" s="20">
        <v>0</v>
      </c>
      <c r="H372" s="20">
        <v>8000</v>
      </c>
      <c r="I372" s="20">
        <v>8812.6</v>
      </c>
      <c r="J372" s="117"/>
      <c r="K372" s="117"/>
      <c r="L372" s="117"/>
      <c r="M372" s="117"/>
      <c r="N372" s="117"/>
      <c r="O372" s="117"/>
      <c r="P372" s="117"/>
      <c r="Q372" s="117"/>
    </row>
    <row r="373" spans="1:17" s="26" customFormat="1" ht="23.25" customHeight="1" x14ac:dyDescent="0.2">
      <c r="A373" s="28" t="s">
        <v>83</v>
      </c>
      <c r="B373" s="31">
        <v>913</v>
      </c>
      <c r="C373" s="24" t="s">
        <v>19</v>
      </c>
      <c r="D373" s="24" t="s">
        <v>16</v>
      </c>
      <c r="E373" s="24" t="s">
        <v>171</v>
      </c>
      <c r="F373" s="24" t="s">
        <v>71</v>
      </c>
      <c r="G373" s="25">
        <v>0</v>
      </c>
      <c r="H373" s="25">
        <v>8000</v>
      </c>
      <c r="I373" s="25">
        <v>8812.6</v>
      </c>
      <c r="J373" s="118"/>
      <c r="K373" s="118"/>
      <c r="L373" s="118"/>
      <c r="M373" s="118"/>
      <c r="N373" s="118"/>
      <c r="O373" s="118"/>
      <c r="P373" s="118"/>
      <c r="Q373" s="118"/>
    </row>
    <row r="374" spans="1:17" ht="63.75" x14ac:dyDescent="0.2">
      <c r="A374" s="18" t="s">
        <v>344</v>
      </c>
      <c r="B374" s="22">
        <v>913</v>
      </c>
      <c r="C374" s="19" t="s">
        <v>19</v>
      </c>
      <c r="D374" s="19" t="s">
        <v>16</v>
      </c>
      <c r="E374" s="19" t="s">
        <v>233</v>
      </c>
      <c r="F374" s="19"/>
      <c r="G374" s="20">
        <v>33019.199999999997</v>
      </c>
      <c r="H374" s="20">
        <v>27238.3</v>
      </c>
      <c r="I374" s="20">
        <v>27035.7</v>
      </c>
      <c r="J374" s="117"/>
      <c r="K374" s="117"/>
      <c r="L374" s="117"/>
      <c r="M374" s="117"/>
      <c r="N374" s="117"/>
      <c r="O374" s="117"/>
      <c r="P374" s="117"/>
      <c r="Q374" s="117"/>
    </row>
    <row r="375" spans="1:17" s="26" customFormat="1" x14ac:dyDescent="0.2">
      <c r="A375" s="28" t="s">
        <v>69</v>
      </c>
      <c r="B375" s="31">
        <v>913</v>
      </c>
      <c r="C375" s="24" t="s">
        <v>19</v>
      </c>
      <c r="D375" s="24" t="s">
        <v>16</v>
      </c>
      <c r="E375" s="24" t="s">
        <v>233</v>
      </c>
      <c r="F375" s="27" t="s">
        <v>70</v>
      </c>
      <c r="G375" s="25">
        <v>30</v>
      </c>
      <c r="H375" s="25">
        <v>30</v>
      </c>
      <c r="I375" s="25">
        <v>30</v>
      </c>
    </row>
    <row r="376" spans="1:17" s="26" customFormat="1" ht="25.5" x14ac:dyDescent="0.2">
      <c r="A376" s="28" t="s">
        <v>141</v>
      </c>
      <c r="B376" s="28">
        <v>913</v>
      </c>
      <c r="C376" s="24" t="s">
        <v>19</v>
      </c>
      <c r="D376" s="24" t="s">
        <v>16</v>
      </c>
      <c r="E376" s="24" t="s">
        <v>233</v>
      </c>
      <c r="F376" s="24" t="s">
        <v>65</v>
      </c>
      <c r="G376" s="25">
        <v>32989.199999999997</v>
      </c>
      <c r="H376" s="25">
        <v>27208.3</v>
      </c>
      <c r="I376" s="25">
        <v>27005.7</v>
      </c>
      <c r="J376" s="118"/>
      <c r="K376" s="118"/>
      <c r="L376" s="118"/>
      <c r="M376" s="118"/>
      <c r="N376" s="118"/>
      <c r="O376" s="118"/>
      <c r="P376" s="118"/>
      <c r="Q376" s="118"/>
    </row>
    <row r="377" spans="1:17" s="74" customFormat="1" x14ac:dyDescent="0.2">
      <c r="A377" s="70" t="s">
        <v>41</v>
      </c>
      <c r="B377" s="71">
        <v>913</v>
      </c>
      <c r="C377" s="72" t="s">
        <v>19</v>
      </c>
      <c r="D377" s="72" t="s">
        <v>26</v>
      </c>
      <c r="E377" s="72"/>
      <c r="F377" s="72"/>
      <c r="G377" s="73">
        <v>67</v>
      </c>
      <c r="H377" s="73">
        <v>67</v>
      </c>
      <c r="I377" s="73">
        <v>67</v>
      </c>
    </row>
    <row r="378" spans="1:17" ht="25.5" x14ac:dyDescent="0.2">
      <c r="A378" s="18" t="s">
        <v>188</v>
      </c>
      <c r="B378" s="18">
        <v>913</v>
      </c>
      <c r="C378" s="19" t="s">
        <v>19</v>
      </c>
      <c r="D378" s="19" t="s">
        <v>26</v>
      </c>
      <c r="E378" s="19" t="s">
        <v>136</v>
      </c>
      <c r="F378" s="19"/>
      <c r="G378" s="20">
        <v>54</v>
      </c>
      <c r="H378" s="20">
        <v>54</v>
      </c>
      <c r="I378" s="20">
        <v>54</v>
      </c>
      <c r="J378" s="237"/>
      <c r="K378" s="237"/>
      <c r="L378" s="237"/>
      <c r="M378" s="237"/>
      <c r="N378" s="237"/>
      <c r="O378" s="237"/>
      <c r="P378" s="237"/>
      <c r="Q378" s="237"/>
    </row>
    <row r="379" spans="1:17" ht="25.5" x14ac:dyDescent="0.2">
      <c r="A379" s="28" t="s">
        <v>141</v>
      </c>
      <c r="B379" s="28">
        <v>913</v>
      </c>
      <c r="C379" s="24" t="s">
        <v>19</v>
      </c>
      <c r="D379" s="24" t="s">
        <v>26</v>
      </c>
      <c r="E379" s="24" t="s">
        <v>136</v>
      </c>
      <c r="F379" s="24" t="s">
        <v>65</v>
      </c>
      <c r="G379" s="25">
        <v>54</v>
      </c>
      <c r="H379" s="25">
        <v>54</v>
      </c>
      <c r="I379" s="25">
        <v>54</v>
      </c>
      <c r="J379" s="237"/>
      <c r="K379" s="237"/>
      <c r="L379" s="237"/>
      <c r="M379" s="237"/>
      <c r="N379" s="237"/>
      <c r="O379" s="237"/>
      <c r="P379" s="237"/>
      <c r="Q379" s="237"/>
    </row>
    <row r="380" spans="1:17" ht="25.5" x14ac:dyDescent="0.2">
      <c r="A380" s="18" t="s">
        <v>345</v>
      </c>
      <c r="B380" s="22">
        <v>913</v>
      </c>
      <c r="C380" s="19" t="s">
        <v>19</v>
      </c>
      <c r="D380" s="19" t="s">
        <v>26</v>
      </c>
      <c r="E380" s="19" t="s">
        <v>189</v>
      </c>
      <c r="F380" s="19"/>
      <c r="G380" s="20">
        <v>13</v>
      </c>
      <c r="H380" s="20">
        <v>13</v>
      </c>
      <c r="I380" s="20">
        <v>13</v>
      </c>
      <c r="J380" s="237"/>
      <c r="K380" s="237"/>
      <c r="L380" s="237"/>
      <c r="M380" s="237"/>
      <c r="N380" s="237"/>
      <c r="O380" s="237"/>
      <c r="P380" s="237"/>
      <c r="Q380" s="237"/>
    </row>
    <row r="381" spans="1:17" s="26" customFormat="1" ht="25.5" x14ac:dyDescent="0.2">
      <c r="A381" s="28" t="s">
        <v>141</v>
      </c>
      <c r="B381" s="31">
        <v>913</v>
      </c>
      <c r="C381" s="24" t="s">
        <v>19</v>
      </c>
      <c r="D381" s="24" t="s">
        <v>26</v>
      </c>
      <c r="E381" s="24" t="s">
        <v>189</v>
      </c>
      <c r="F381" s="24" t="s">
        <v>65</v>
      </c>
      <c r="G381" s="25">
        <v>13</v>
      </c>
      <c r="H381" s="25">
        <v>13</v>
      </c>
      <c r="I381" s="25">
        <v>13</v>
      </c>
    </row>
    <row r="382" spans="1:17" s="99" customFormat="1" ht="25.5" x14ac:dyDescent="0.2">
      <c r="A382" s="98" t="s">
        <v>42</v>
      </c>
      <c r="B382" s="64">
        <v>913</v>
      </c>
      <c r="C382" s="65" t="s">
        <v>43</v>
      </c>
      <c r="D382" s="65"/>
      <c r="E382" s="65"/>
      <c r="F382" s="65"/>
      <c r="G382" s="68">
        <v>130609.5</v>
      </c>
      <c r="H382" s="68">
        <v>89213.7</v>
      </c>
      <c r="I382" s="68">
        <v>86997.3</v>
      </c>
    </row>
    <row r="383" spans="1:17" s="74" customFormat="1" x14ac:dyDescent="0.2">
      <c r="A383" s="70" t="s">
        <v>44</v>
      </c>
      <c r="B383" s="71">
        <v>913</v>
      </c>
      <c r="C383" s="72" t="s">
        <v>43</v>
      </c>
      <c r="D383" s="72" t="s">
        <v>12</v>
      </c>
      <c r="E383" s="72"/>
      <c r="F383" s="72"/>
      <c r="G383" s="73">
        <v>107091.2</v>
      </c>
      <c r="H383" s="73">
        <v>69362.3</v>
      </c>
      <c r="I383" s="73">
        <v>67145.900000000009</v>
      </c>
      <c r="J383" s="73" t="e">
        <f>J394+J397+J399+J386+J390+#REF!+J384</f>
        <v>#REF!</v>
      </c>
      <c r="K383" s="73" t="e">
        <f>K394+K397+K399+K386+K390+#REF!+K384</f>
        <v>#REF!</v>
      </c>
      <c r="L383" s="73" t="e">
        <f>L394+L397+L399+L386+L390+#REF!+L384</f>
        <v>#REF!</v>
      </c>
      <c r="M383" s="73" t="e">
        <f>M394+M397+M399+M386+M390+#REF!+M384</f>
        <v>#REF!</v>
      </c>
      <c r="N383" s="73" t="e">
        <f>N394+N397+N399+N386+N390+#REF!+N384</f>
        <v>#REF!</v>
      </c>
      <c r="O383" s="73" t="e">
        <f>O394+O397+O399+O386+O390+#REF!+O384</f>
        <v>#REF!</v>
      </c>
      <c r="P383" s="73" t="e">
        <f>P394+P397+P399+P386+P390+#REF!+P384</f>
        <v>#REF!</v>
      </c>
      <c r="Q383" s="73" t="e">
        <f>Q394+Q397+Q399+Q386+Q390+#REF!+Q384</f>
        <v>#REF!</v>
      </c>
    </row>
    <row r="384" spans="1:17" s="12" customFormat="1" ht="25.5" x14ac:dyDescent="0.2">
      <c r="A384" s="17" t="s">
        <v>163</v>
      </c>
      <c r="B384" s="44">
        <v>913</v>
      </c>
      <c r="C384" s="19" t="s">
        <v>43</v>
      </c>
      <c r="D384" s="19" t="s">
        <v>12</v>
      </c>
      <c r="E384" s="19" t="s">
        <v>162</v>
      </c>
      <c r="F384" s="5"/>
      <c r="G384" s="6">
        <v>2258.3000000000002</v>
      </c>
      <c r="H384" s="6">
        <v>2295.8000000000002</v>
      </c>
      <c r="I384" s="6">
        <v>2295.8000000000002</v>
      </c>
      <c r="J384" s="128"/>
      <c r="K384" s="128"/>
      <c r="L384" s="128"/>
      <c r="M384" s="128"/>
      <c r="N384" s="128"/>
      <c r="O384" s="128"/>
      <c r="P384" s="128"/>
      <c r="Q384" s="128"/>
    </row>
    <row r="385" spans="1:17" s="26" customFormat="1" ht="25.5" x14ac:dyDescent="0.2">
      <c r="A385" s="28" t="s">
        <v>141</v>
      </c>
      <c r="B385" s="31">
        <v>913</v>
      </c>
      <c r="C385" s="24" t="s">
        <v>43</v>
      </c>
      <c r="D385" s="24" t="s">
        <v>12</v>
      </c>
      <c r="E385" s="24" t="s">
        <v>162</v>
      </c>
      <c r="F385" s="24" t="s">
        <v>65</v>
      </c>
      <c r="G385" s="25">
        <v>2258.3000000000002</v>
      </c>
      <c r="H385" s="25">
        <v>2295.8000000000002</v>
      </c>
      <c r="I385" s="25">
        <v>2295.8000000000002</v>
      </c>
      <c r="J385" s="118"/>
      <c r="K385" s="118"/>
      <c r="L385" s="118"/>
      <c r="M385" s="118"/>
      <c r="N385" s="118"/>
      <c r="O385" s="118"/>
      <c r="P385" s="118"/>
      <c r="Q385" s="118"/>
    </row>
    <row r="386" spans="1:17" x14ac:dyDescent="0.2">
      <c r="A386" s="18" t="s">
        <v>174</v>
      </c>
      <c r="B386" s="22">
        <v>913</v>
      </c>
      <c r="C386" s="19" t="s">
        <v>43</v>
      </c>
      <c r="D386" s="19" t="s">
        <v>12</v>
      </c>
      <c r="E386" s="24" t="s">
        <v>173</v>
      </c>
      <c r="F386" s="19"/>
      <c r="G386" s="20">
        <v>7111.2999999999993</v>
      </c>
      <c r="H386" s="20">
        <v>0</v>
      </c>
      <c r="I386" s="20">
        <v>0</v>
      </c>
      <c r="J386" s="117"/>
      <c r="K386" s="117"/>
      <c r="L386" s="117"/>
      <c r="M386" s="117"/>
      <c r="N386" s="117"/>
      <c r="O386" s="117"/>
      <c r="P386" s="117"/>
      <c r="Q386" s="117"/>
    </row>
    <row r="387" spans="1:17" s="26" customFormat="1" ht="25.5" x14ac:dyDescent="0.2">
      <c r="A387" s="28" t="s">
        <v>76</v>
      </c>
      <c r="B387" s="22">
        <v>913</v>
      </c>
      <c r="C387" s="24" t="s">
        <v>43</v>
      </c>
      <c r="D387" s="24" t="s">
        <v>12</v>
      </c>
      <c r="E387" s="24" t="s">
        <v>173</v>
      </c>
      <c r="F387" s="24" t="s">
        <v>68</v>
      </c>
      <c r="G387" s="25">
        <v>7111.2999999999993</v>
      </c>
      <c r="H387" s="25">
        <v>0</v>
      </c>
      <c r="I387" s="25">
        <v>0</v>
      </c>
      <c r="J387" s="118"/>
      <c r="K387" s="118"/>
      <c r="L387" s="118"/>
      <c r="M387" s="118"/>
      <c r="N387" s="118"/>
      <c r="O387" s="118"/>
      <c r="P387" s="118"/>
      <c r="Q387" s="118"/>
    </row>
    <row r="388" spans="1:17" x14ac:dyDescent="0.2">
      <c r="A388" s="18" t="s">
        <v>723</v>
      </c>
      <c r="B388" s="22">
        <v>913</v>
      </c>
      <c r="C388" s="19" t="s">
        <v>43</v>
      </c>
      <c r="D388" s="19" t="s">
        <v>12</v>
      </c>
      <c r="E388" s="19" t="s">
        <v>724</v>
      </c>
      <c r="F388" s="19"/>
      <c r="G388" s="20">
        <v>5600</v>
      </c>
      <c r="H388" s="20">
        <v>0</v>
      </c>
      <c r="I388" s="20">
        <v>0</v>
      </c>
      <c r="J388" s="117"/>
      <c r="K388" s="117"/>
      <c r="L388" s="117"/>
      <c r="M388" s="117"/>
      <c r="N388" s="117"/>
      <c r="O388" s="117"/>
      <c r="P388" s="117"/>
      <c r="Q388" s="117"/>
    </row>
    <row r="389" spans="1:17" ht="25.5" x14ac:dyDescent="0.2">
      <c r="A389" s="28" t="s">
        <v>141</v>
      </c>
      <c r="B389" s="28">
        <v>913</v>
      </c>
      <c r="C389" s="24" t="s">
        <v>43</v>
      </c>
      <c r="D389" s="24" t="s">
        <v>12</v>
      </c>
      <c r="E389" s="24" t="s">
        <v>724</v>
      </c>
      <c r="F389" s="24" t="s">
        <v>65</v>
      </c>
      <c r="G389" s="25">
        <v>5600</v>
      </c>
      <c r="H389" s="25">
        <v>0</v>
      </c>
      <c r="I389" s="25">
        <v>0</v>
      </c>
      <c r="J389" s="117"/>
      <c r="K389" s="117"/>
      <c r="L389" s="117"/>
      <c r="M389" s="117"/>
      <c r="N389" s="117"/>
      <c r="O389" s="117"/>
      <c r="P389" s="117"/>
      <c r="Q389" s="117"/>
    </row>
    <row r="390" spans="1:17" ht="38.25" x14ac:dyDescent="0.2">
      <c r="A390" s="18" t="s">
        <v>370</v>
      </c>
      <c r="B390" s="18">
        <v>913</v>
      </c>
      <c r="C390" s="19" t="s">
        <v>43</v>
      </c>
      <c r="D390" s="19" t="s">
        <v>12</v>
      </c>
      <c r="E390" s="19" t="s">
        <v>371</v>
      </c>
      <c r="F390" s="19"/>
      <c r="G390" s="20">
        <v>4464</v>
      </c>
      <c r="H390" s="20">
        <v>4564</v>
      </c>
      <c r="I390" s="20">
        <v>4564</v>
      </c>
      <c r="J390" s="117"/>
      <c r="K390" s="117"/>
      <c r="L390" s="117"/>
      <c r="M390" s="117"/>
      <c r="N390" s="117"/>
      <c r="O390" s="117"/>
      <c r="P390" s="117"/>
      <c r="Q390" s="117"/>
    </row>
    <row r="391" spans="1:17" ht="25.5" x14ac:dyDescent="0.2">
      <c r="A391" s="28" t="s">
        <v>141</v>
      </c>
      <c r="B391" s="28">
        <v>913</v>
      </c>
      <c r="C391" s="24" t="s">
        <v>43</v>
      </c>
      <c r="D391" s="24" t="s">
        <v>12</v>
      </c>
      <c r="E391" s="24" t="s">
        <v>371</v>
      </c>
      <c r="F391" s="24" t="s">
        <v>65</v>
      </c>
      <c r="G391" s="25">
        <v>4464</v>
      </c>
      <c r="H391" s="25">
        <v>4564</v>
      </c>
      <c r="I391" s="25">
        <v>4564</v>
      </c>
      <c r="J391" s="117"/>
      <c r="K391" s="117"/>
      <c r="L391" s="117"/>
      <c r="M391" s="117"/>
      <c r="N391" s="117"/>
      <c r="O391" s="117"/>
      <c r="P391" s="117"/>
      <c r="Q391" s="117"/>
    </row>
    <row r="392" spans="1:17" ht="25.5" x14ac:dyDescent="0.2">
      <c r="A392" s="18" t="s">
        <v>380</v>
      </c>
      <c r="B392" s="18">
        <v>913</v>
      </c>
      <c r="C392" s="19" t="s">
        <v>43</v>
      </c>
      <c r="D392" s="19" t="s">
        <v>12</v>
      </c>
      <c r="E392" s="19" t="s">
        <v>379</v>
      </c>
      <c r="F392" s="19"/>
      <c r="G392" s="20">
        <v>140</v>
      </c>
      <c r="H392" s="20">
        <v>0</v>
      </c>
      <c r="I392" s="20">
        <v>0</v>
      </c>
      <c r="J392" s="117"/>
      <c r="K392" s="117"/>
      <c r="L392" s="117"/>
      <c r="M392" s="117"/>
      <c r="N392" s="117"/>
      <c r="O392" s="117"/>
      <c r="P392" s="117"/>
      <c r="Q392" s="117"/>
    </row>
    <row r="393" spans="1:17" ht="25.5" x14ac:dyDescent="0.2">
      <c r="A393" s="28" t="s">
        <v>141</v>
      </c>
      <c r="B393" s="28">
        <v>913</v>
      </c>
      <c r="C393" s="24" t="s">
        <v>43</v>
      </c>
      <c r="D393" s="24" t="s">
        <v>12</v>
      </c>
      <c r="E393" s="24" t="s">
        <v>379</v>
      </c>
      <c r="F393" s="24" t="s">
        <v>65</v>
      </c>
      <c r="G393" s="25">
        <v>140</v>
      </c>
      <c r="H393" s="25">
        <v>0</v>
      </c>
      <c r="I393" s="25">
        <v>0</v>
      </c>
      <c r="J393" s="117"/>
      <c r="K393" s="117"/>
      <c r="L393" s="117"/>
      <c r="M393" s="117"/>
      <c r="N393" s="117"/>
      <c r="O393" s="117"/>
      <c r="P393" s="117"/>
      <c r="Q393" s="117"/>
    </row>
    <row r="394" spans="1:17" x14ac:dyDescent="0.2">
      <c r="A394" s="18" t="s">
        <v>256</v>
      </c>
      <c r="B394" s="22">
        <v>913</v>
      </c>
      <c r="C394" s="19" t="s">
        <v>43</v>
      </c>
      <c r="D394" s="19" t="s">
        <v>12</v>
      </c>
      <c r="E394" s="19" t="s">
        <v>255</v>
      </c>
      <c r="F394" s="19"/>
      <c r="G394" s="20">
        <v>62258.399999999994</v>
      </c>
      <c r="H394" s="20">
        <v>41649.699999999997</v>
      </c>
      <c r="I394" s="20">
        <v>39724.700000000004</v>
      </c>
      <c r="J394" s="117"/>
      <c r="K394" s="117"/>
      <c r="L394" s="117"/>
      <c r="M394" s="117"/>
      <c r="N394" s="117"/>
      <c r="O394" s="117"/>
      <c r="P394" s="117"/>
      <c r="Q394" s="117"/>
    </row>
    <row r="395" spans="1:17" s="26" customFormat="1" x14ac:dyDescent="0.2">
      <c r="A395" s="28" t="s">
        <v>69</v>
      </c>
      <c r="B395" s="28">
        <v>913</v>
      </c>
      <c r="C395" s="24" t="s">
        <v>43</v>
      </c>
      <c r="D395" s="24" t="s">
        <v>12</v>
      </c>
      <c r="E395" s="24" t="s">
        <v>255</v>
      </c>
      <c r="F395" s="27" t="s">
        <v>70</v>
      </c>
      <c r="G395" s="25">
        <v>15</v>
      </c>
      <c r="H395" s="25">
        <v>15</v>
      </c>
      <c r="I395" s="25">
        <v>15</v>
      </c>
    </row>
    <row r="396" spans="1:17" s="26" customFormat="1" ht="25.5" x14ac:dyDescent="0.2">
      <c r="A396" s="28" t="s">
        <v>141</v>
      </c>
      <c r="B396" s="31">
        <v>913</v>
      </c>
      <c r="C396" s="24" t="s">
        <v>43</v>
      </c>
      <c r="D396" s="24" t="s">
        <v>12</v>
      </c>
      <c r="E396" s="24" t="s">
        <v>255</v>
      </c>
      <c r="F396" s="24" t="s">
        <v>65</v>
      </c>
      <c r="G396" s="25">
        <v>62243.399999999994</v>
      </c>
      <c r="H396" s="25">
        <v>41634.699999999997</v>
      </c>
      <c r="I396" s="25">
        <v>39709.700000000004</v>
      </c>
      <c r="J396" s="118"/>
      <c r="K396" s="118"/>
      <c r="L396" s="118"/>
      <c r="M396" s="118"/>
      <c r="N396" s="118"/>
      <c r="O396" s="118"/>
      <c r="P396" s="118"/>
      <c r="Q396" s="118"/>
    </row>
    <row r="397" spans="1:17" x14ac:dyDescent="0.2">
      <c r="A397" s="18" t="s">
        <v>258</v>
      </c>
      <c r="B397" s="22">
        <v>913</v>
      </c>
      <c r="C397" s="19" t="s">
        <v>43</v>
      </c>
      <c r="D397" s="19" t="s">
        <v>12</v>
      </c>
      <c r="E397" s="19" t="s">
        <v>257</v>
      </c>
      <c r="F397" s="19"/>
      <c r="G397" s="20">
        <v>4567.9000000000005</v>
      </c>
      <c r="H397" s="20">
        <v>3721.4</v>
      </c>
      <c r="I397" s="20">
        <v>3673.4</v>
      </c>
      <c r="J397" s="117"/>
      <c r="K397" s="117"/>
      <c r="L397" s="117"/>
      <c r="M397" s="117"/>
      <c r="N397" s="117"/>
      <c r="O397" s="117"/>
      <c r="P397" s="117"/>
      <c r="Q397" s="117"/>
    </row>
    <row r="398" spans="1:17" s="26" customFormat="1" ht="25.5" x14ac:dyDescent="0.2">
      <c r="A398" s="28" t="s">
        <v>141</v>
      </c>
      <c r="B398" s="31">
        <v>913</v>
      </c>
      <c r="C398" s="24" t="s">
        <v>43</v>
      </c>
      <c r="D398" s="24" t="s">
        <v>12</v>
      </c>
      <c r="E398" s="24" t="s">
        <v>257</v>
      </c>
      <c r="F398" s="24" t="s">
        <v>65</v>
      </c>
      <c r="G398" s="25">
        <v>4567.9000000000005</v>
      </c>
      <c r="H398" s="25">
        <v>3721.4</v>
      </c>
      <c r="I398" s="25">
        <v>3673.4</v>
      </c>
      <c r="J398" s="118"/>
      <c r="K398" s="118"/>
      <c r="L398" s="118"/>
      <c r="M398" s="118"/>
      <c r="N398" s="118"/>
      <c r="O398" s="118"/>
      <c r="P398" s="118"/>
      <c r="Q398" s="118"/>
    </row>
    <row r="399" spans="1:17" x14ac:dyDescent="0.2">
      <c r="A399" s="18" t="s">
        <v>260</v>
      </c>
      <c r="B399" s="22">
        <v>913</v>
      </c>
      <c r="C399" s="19" t="s">
        <v>43</v>
      </c>
      <c r="D399" s="19" t="s">
        <v>12</v>
      </c>
      <c r="E399" s="19" t="s">
        <v>259</v>
      </c>
      <c r="F399" s="19"/>
      <c r="G399" s="20">
        <v>20691.3</v>
      </c>
      <c r="H399" s="20">
        <v>17131.400000000001</v>
      </c>
      <c r="I399" s="20">
        <v>16888</v>
      </c>
      <c r="J399" s="117"/>
      <c r="K399" s="117"/>
      <c r="L399" s="117"/>
      <c r="M399" s="117"/>
      <c r="N399" s="117"/>
      <c r="O399" s="117"/>
      <c r="P399" s="117"/>
      <c r="Q399" s="117"/>
    </row>
    <row r="400" spans="1:17" s="26" customFormat="1" x14ac:dyDescent="0.2">
      <c r="A400" s="28" t="s">
        <v>69</v>
      </c>
      <c r="B400" s="28">
        <v>913</v>
      </c>
      <c r="C400" s="24" t="s">
        <v>43</v>
      </c>
      <c r="D400" s="24" t="s">
        <v>12</v>
      </c>
      <c r="E400" s="24" t="s">
        <v>259</v>
      </c>
      <c r="F400" s="27" t="s">
        <v>70</v>
      </c>
      <c r="G400" s="25">
        <v>15</v>
      </c>
      <c r="H400" s="25">
        <v>15</v>
      </c>
      <c r="I400" s="25">
        <v>15</v>
      </c>
    </row>
    <row r="401" spans="1:17" s="26" customFormat="1" ht="25.5" x14ac:dyDescent="0.2">
      <c r="A401" s="28" t="s">
        <v>141</v>
      </c>
      <c r="B401" s="31">
        <v>913</v>
      </c>
      <c r="C401" s="24" t="s">
        <v>43</v>
      </c>
      <c r="D401" s="24" t="s">
        <v>12</v>
      </c>
      <c r="E401" s="24" t="s">
        <v>259</v>
      </c>
      <c r="F401" s="24" t="s">
        <v>65</v>
      </c>
      <c r="G401" s="25">
        <v>20676.3</v>
      </c>
      <c r="H401" s="25">
        <v>17116.400000000001</v>
      </c>
      <c r="I401" s="25">
        <v>16873</v>
      </c>
      <c r="J401" s="118"/>
      <c r="K401" s="118"/>
      <c r="L401" s="118"/>
      <c r="M401" s="118"/>
      <c r="N401" s="118"/>
      <c r="O401" s="118"/>
      <c r="P401" s="118"/>
      <c r="Q401" s="118"/>
    </row>
    <row r="402" spans="1:17" s="9" customFormat="1" ht="16.5" customHeight="1" x14ac:dyDescent="0.2">
      <c r="A402" s="11" t="s">
        <v>25</v>
      </c>
      <c r="B402" s="14">
        <v>913</v>
      </c>
      <c r="C402" s="8" t="s">
        <v>43</v>
      </c>
      <c r="D402" s="8" t="s">
        <v>18</v>
      </c>
      <c r="E402" s="8"/>
      <c r="F402" s="8"/>
      <c r="G402" s="4">
        <v>23518.3</v>
      </c>
      <c r="H402" s="4">
        <v>19851.399999999998</v>
      </c>
      <c r="I402" s="4">
        <v>19851.399999999998</v>
      </c>
      <c r="J402" s="127"/>
      <c r="K402" s="127"/>
      <c r="L402" s="127"/>
      <c r="M402" s="127"/>
      <c r="N402" s="127"/>
      <c r="O402" s="127"/>
      <c r="P402" s="127"/>
      <c r="Q402" s="127"/>
    </row>
    <row r="403" spans="1:17" x14ac:dyDescent="0.2">
      <c r="A403" s="18" t="s">
        <v>349</v>
      </c>
      <c r="B403" s="22">
        <v>913</v>
      </c>
      <c r="C403" s="19" t="s">
        <v>43</v>
      </c>
      <c r="D403" s="19" t="s">
        <v>18</v>
      </c>
      <c r="E403" s="19" t="s">
        <v>261</v>
      </c>
      <c r="F403" s="19"/>
      <c r="G403" s="20">
        <v>1398.5</v>
      </c>
      <c r="H403" s="20">
        <v>1057.5</v>
      </c>
      <c r="I403" s="20">
        <v>1057.5</v>
      </c>
      <c r="J403" s="117"/>
      <c r="K403" s="117"/>
      <c r="L403" s="117"/>
      <c r="M403" s="117"/>
      <c r="N403" s="117"/>
      <c r="O403" s="117"/>
      <c r="P403" s="117"/>
      <c r="Q403" s="117"/>
    </row>
    <row r="404" spans="1:17" s="26" customFormat="1" ht="51.75" customHeight="1" x14ac:dyDescent="0.2">
      <c r="A404" s="23" t="s">
        <v>66</v>
      </c>
      <c r="B404" s="31">
        <v>913</v>
      </c>
      <c r="C404" s="24" t="s">
        <v>43</v>
      </c>
      <c r="D404" s="24" t="s">
        <v>18</v>
      </c>
      <c r="E404" s="24" t="s">
        <v>261</v>
      </c>
      <c r="F404" s="27" t="s">
        <v>67</v>
      </c>
      <c r="G404" s="25">
        <v>1303.8</v>
      </c>
      <c r="H404" s="25">
        <v>968.5</v>
      </c>
      <c r="I404" s="25">
        <v>968.5</v>
      </c>
      <c r="J404" s="118"/>
      <c r="K404" s="118"/>
      <c r="L404" s="118"/>
      <c r="M404" s="118"/>
      <c r="N404" s="118"/>
      <c r="O404" s="118"/>
      <c r="P404" s="118"/>
      <c r="Q404" s="118"/>
    </row>
    <row r="405" spans="1:17" s="26" customFormat="1" ht="25.5" x14ac:dyDescent="0.2">
      <c r="A405" s="28" t="s">
        <v>76</v>
      </c>
      <c r="B405" s="31">
        <v>913</v>
      </c>
      <c r="C405" s="24" t="s">
        <v>43</v>
      </c>
      <c r="D405" s="24" t="s">
        <v>18</v>
      </c>
      <c r="E405" s="24" t="s">
        <v>261</v>
      </c>
      <c r="F405" s="27" t="s">
        <v>68</v>
      </c>
      <c r="G405" s="25">
        <v>83.3</v>
      </c>
      <c r="H405" s="25">
        <v>80.5</v>
      </c>
      <c r="I405" s="25">
        <v>80.5</v>
      </c>
      <c r="J405" s="118"/>
      <c r="K405" s="118"/>
      <c r="L405" s="118"/>
      <c r="M405" s="118"/>
      <c r="N405" s="118"/>
      <c r="O405" s="118"/>
      <c r="P405" s="118"/>
      <c r="Q405" s="118"/>
    </row>
    <row r="406" spans="1:17" s="26" customFormat="1" x14ac:dyDescent="0.2">
      <c r="A406" s="28" t="s">
        <v>72</v>
      </c>
      <c r="B406" s="31">
        <v>913</v>
      </c>
      <c r="C406" s="24" t="s">
        <v>43</v>
      </c>
      <c r="D406" s="24" t="s">
        <v>18</v>
      </c>
      <c r="E406" s="24" t="s">
        <v>261</v>
      </c>
      <c r="F406" s="24" t="s">
        <v>73</v>
      </c>
      <c r="G406" s="25">
        <v>11.4</v>
      </c>
      <c r="H406" s="25">
        <v>8.5</v>
      </c>
      <c r="I406" s="25">
        <v>8.5</v>
      </c>
      <c r="J406" s="118"/>
      <c r="K406" s="118"/>
      <c r="L406" s="118"/>
      <c r="M406" s="118"/>
      <c r="N406" s="118"/>
      <c r="O406" s="118"/>
      <c r="P406" s="118"/>
      <c r="Q406" s="118"/>
    </row>
    <row r="407" spans="1:17" x14ac:dyDescent="0.2">
      <c r="A407" s="18" t="s">
        <v>349</v>
      </c>
      <c r="B407" s="22">
        <v>913</v>
      </c>
      <c r="C407" s="19" t="s">
        <v>43</v>
      </c>
      <c r="D407" s="19" t="s">
        <v>18</v>
      </c>
      <c r="E407" s="19" t="s">
        <v>426</v>
      </c>
      <c r="F407" s="19"/>
      <c r="G407" s="20">
        <v>22119.8</v>
      </c>
      <c r="H407" s="20">
        <v>18793.899999999998</v>
      </c>
      <c r="I407" s="20">
        <v>18793.899999999998</v>
      </c>
      <c r="J407" s="117"/>
      <c r="K407" s="117"/>
      <c r="L407" s="117"/>
      <c r="M407" s="117"/>
      <c r="N407" s="117"/>
      <c r="O407" s="117"/>
      <c r="P407" s="117"/>
      <c r="Q407" s="117"/>
    </row>
    <row r="408" spans="1:17" s="26" customFormat="1" ht="52.5" customHeight="1" x14ac:dyDescent="0.2">
      <c r="A408" s="23" t="s">
        <v>66</v>
      </c>
      <c r="B408" s="31">
        <v>913</v>
      </c>
      <c r="C408" s="24" t="s">
        <v>43</v>
      </c>
      <c r="D408" s="24" t="s">
        <v>18</v>
      </c>
      <c r="E408" s="24" t="s">
        <v>426</v>
      </c>
      <c r="F408" s="27" t="s">
        <v>67</v>
      </c>
      <c r="G408" s="25">
        <v>21630.1</v>
      </c>
      <c r="H408" s="25">
        <v>18319.599999999999</v>
      </c>
      <c r="I408" s="25">
        <v>18319.599999999999</v>
      </c>
      <c r="J408" s="118"/>
      <c r="K408" s="118"/>
      <c r="L408" s="118"/>
      <c r="M408" s="118"/>
      <c r="N408" s="118"/>
      <c r="O408" s="118"/>
      <c r="P408" s="118"/>
      <c r="Q408" s="118"/>
    </row>
    <row r="409" spans="1:17" s="26" customFormat="1" ht="25.5" x14ac:dyDescent="0.2">
      <c r="A409" s="28" t="s">
        <v>76</v>
      </c>
      <c r="B409" s="31">
        <v>913</v>
      </c>
      <c r="C409" s="24" t="s">
        <v>43</v>
      </c>
      <c r="D409" s="24" t="s">
        <v>18</v>
      </c>
      <c r="E409" s="24" t="s">
        <v>426</v>
      </c>
      <c r="F409" s="27" t="s">
        <v>68</v>
      </c>
      <c r="G409" s="25">
        <v>489.7</v>
      </c>
      <c r="H409" s="25">
        <v>474.3</v>
      </c>
      <c r="I409" s="25">
        <v>474.3</v>
      </c>
      <c r="J409" s="118"/>
      <c r="K409" s="118"/>
      <c r="L409" s="118"/>
      <c r="M409" s="118"/>
      <c r="N409" s="118"/>
      <c r="O409" s="118"/>
      <c r="P409" s="118"/>
      <c r="Q409" s="118"/>
    </row>
    <row r="410" spans="1:17" s="3" customFormat="1" x14ac:dyDescent="0.2">
      <c r="A410" s="13" t="s">
        <v>52</v>
      </c>
      <c r="B410" s="42">
        <v>913</v>
      </c>
      <c r="C410" s="1" t="s">
        <v>51</v>
      </c>
      <c r="D410" s="1"/>
      <c r="E410" s="1"/>
      <c r="F410" s="1"/>
      <c r="G410" s="2">
        <v>204</v>
      </c>
      <c r="H410" s="2">
        <v>204</v>
      </c>
      <c r="I410" s="2">
        <v>204</v>
      </c>
    </row>
    <row r="411" spans="1:17" s="9" customFormat="1" x14ac:dyDescent="0.2">
      <c r="A411" s="11" t="s">
        <v>55</v>
      </c>
      <c r="B411" s="14">
        <v>913</v>
      </c>
      <c r="C411" s="8" t="s">
        <v>51</v>
      </c>
      <c r="D411" s="8" t="s">
        <v>16</v>
      </c>
      <c r="E411" s="8"/>
      <c r="F411" s="8"/>
      <c r="G411" s="4">
        <v>204</v>
      </c>
      <c r="H411" s="4">
        <v>204</v>
      </c>
      <c r="I411" s="4">
        <v>204</v>
      </c>
    </row>
    <row r="412" spans="1:17" ht="25.5" customHeight="1" x14ac:dyDescent="0.2">
      <c r="A412" s="18" t="s">
        <v>359</v>
      </c>
      <c r="B412" s="22">
        <v>913</v>
      </c>
      <c r="C412" s="19">
        <v>10</v>
      </c>
      <c r="D412" s="19" t="s">
        <v>16</v>
      </c>
      <c r="E412" s="19" t="s">
        <v>85</v>
      </c>
      <c r="F412" s="19"/>
      <c r="G412" s="20">
        <v>204</v>
      </c>
      <c r="H412" s="20">
        <v>204</v>
      </c>
      <c r="I412" s="20">
        <v>204</v>
      </c>
      <c r="J412" s="237"/>
      <c r="K412" s="237"/>
      <c r="L412" s="237"/>
      <c r="M412" s="237"/>
      <c r="N412" s="237"/>
      <c r="O412" s="237"/>
      <c r="P412" s="237"/>
      <c r="Q412" s="237"/>
    </row>
    <row r="413" spans="1:17" s="26" customFormat="1" x14ac:dyDescent="0.2">
      <c r="A413" s="59" t="s">
        <v>69</v>
      </c>
      <c r="B413" s="31">
        <v>913</v>
      </c>
      <c r="C413" s="24">
        <v>10</v>
      </c>
      <c r="D413" s="24" t="s">
        <v>16</v>
      </c>
      <c r="E413" s="24" t="s">
        <v>85</v>
      </c>
      <c r="F413" s="24" t="s">
        <v>70</v>
      </c>
      <c r="G413" s="25">
        <v>204</v>
      </c>
      <c r="H413" s="25">
        <v>204</v>
      </c>
      <c r="I413" s="25">
        <v>204</v>
      </c>
    </row>
    <row r="414" spans="1:17" s="9" customFormat="1" ht="29.25" customHeight="1" x14ac:dyDescent="0.2">
      <c r="A414" s="40" t="s">
        <v>49</v>
      </c>
      <c r="B414" s="37">
        <v>915</v>
      </c>
      <c r="C414" s="41"/>
      <c r="D414" s="41"/>
      <c r="E414" s="41"/>
      <c r="F414" s="41"/>
      <c r="G414" s="39">
        <v>701903.43927000009</v>
      </c>
      <c r="H414" s="39">
        <v>673385.10000000009</v>
      </c>
      <c r="I414" s="39">
        <v>677626.9</v>
      </c>
    </row>
    <row r="415" spans="1:17" s="3" customFormat="1" x14ac:dyDescent="0.2">
      <c r="A415" s="13" t="s">
        <v>37</v>
      </c>
      <c r="B415" s="42">
        <v>915</v>
      </c>
      <c r="C415" s="1" t="s">
        <v>19</v>
      </c>
      <c r="D415" s="1"/>
      <c r="E415" s="1"/>
      <c r="F415" s="1"/>
      <c r="G415" s="2">
        <v>251.6</v>
      </c>
      <c r="H415" s="2">
        <v>225</v>
      </c>
      <c r="I415" s="2">
        <v>225</v>
      </c>
    </row>
    <row r="416" spans="1:17" x14ac:dyDescent="0.2">
      <c r="A416" s="11" t="s">
        <v>40</v>
      </c>
      <c r="B416" s="11">
        <v>915</v>
      </c>
      <c r="C416" s="8" t="s">
        <v>19</v>
      </c>
      <c r="D416" s="8" t="s">
        <v>19</v>
      </c>
      <c r="E416" s="8"/>
      <c r="F416" s="8"/>
      <c r="G416" s="4">
        <v>251.6</v>
      </c>
      <c r="H416" s="4">
        <v>225</v>
      </c>
      <c r="I416" s="4">
        <v>225</v>
      </c>
      <c r="J416" s="237"/>
      <c r="K416" s="237"/>
      <c r="L416" s="237"/>
      <c r="M416" s="237"/>
      <c r="N416" s="237"/>
      <c r="O416" s="237"/>
      <c r="P416" s="237"/>
      <c r="Q416" s="237"/>
    </row>
    <row r="417" spans="1:17" ht="25.5" x14ac:dyDescent="0.2">
      <c r="A417" s="18" t="s">
        <v>734</v>
      </c>
      <c r="B417" s="22">
        <v>915</v>
      </c>
      <c r="C417" s="19" t="s">
        <v>19</v>
      </c>
      <c r="D417" s="19" t="s">
        <v>19</v>
      </c>
      <c r="E417" s="19" t="s">
        <v>733</v>
      </c>
      <c r="F417" s="19"/>
      <c r="G417" s="20">
        <v>32</v>
      </c>
      <c r="H417" s="20">
        <v>32</v>
      </c>
      <c r="I417" s="20">
        <v>32</v>
      </c>
      <c r="J417" s="117"/>
      <c r="K417" s="117"/>
      <c r="L417" s="117"/>
      <c r="M417" s="117"/>
      <c r="N417" s="117"/>
      <c r="O417" s="117"/>
      <c r="P417" s="117"/>
      <c r="Q417" s="117"/>
    </row>
    <row r="418" spans="1:17" s="26" customFormat="1" ht="25.5" x14ac:dyDescent="0.2">
      <c r="A418" s="28" t="s">
        <v>76</v>
      </c>
      <c r="B418" s="31">
        <v>915</v>
      </c>
      <c r="C418" s="24" t="s">
        <v>19</v>
      </c>
      <c r="D418" s="24" t="s">
        <v>19</v>
      </c>
      <c r="E418" s="24" t="s">
        <v>733</v>
      </c>
      <c r="F418" s="27" t="s">
        <v>67</v>
      </c>
      <c r="G418" s="25">
        <v>19.34</v>
      </c>
      <c r="H418" s="25">
        <v>16.899999999999999</v>
      </c>
      <c r="I418" s="25">
        <v>16.899999999999999</v>
      </c>
      <c r="J418" s="118"/>
      <c r="K418" s="118"/>
      <c r="L418" s="118"/>
      <c r="M418" s="118"/>
      <c r="N418" s="118"/>
      <c r="O418" s="118"/>
      <c r="P418" s="118"/>
      <c r="Q418" s="118"/>
    </row>
    <row r="419" spans="1:17" s="26" customFormat="1" ht="25.5" x14ac:dyDescent="0.2">
      <c r="A419" s="28" t="s">
        <v>76</v>
      </c>
      <c r="B419" s="31">
        <v>915</v>
      </c>
      <c r="C419" s="24" t="s">
        <v>19</v>
      </c>
      <c r="D419" s="24" t="s">
        <v>19</v>
      </c>
      <c r="E419" s="24" t="s">
        <v>733</v>
      </c>
      <c r="F419" s="27" t="s">
        <v>68</v>
      </c>
      <c r="G419" s="25">
        <v>12.66</v>
      </c>
      <c r="H419" s="25">
        <v>15.1</v>
      </c>
      <c r="I419" s="25">
        <v>15.1</v>
      </c>
      <c r="J419" s="118"/>
      <c r="K419" s="118"/>
      <c r="L419" s="118"/>
      <c r="M419" s="118"/>
      <c r="N419" s="118"/>
      <c r="O419" s="118"/>
      <c r="P419" s="118"/>
      <c r="Q419" s="118"/>
    </row>
    <row r="420" spans="1:17" ht="25.5" x14ac:dyDescent="0.2">
      <c r="A420" s="18" t="s">
        <v>262</v>
      </c>
      <c r="B420" s="18">
        <v>915</v>
      </c>
      <c r="C420" s="19" t="s">
        <v>19</v>
      </c>
      <c r="D420" s="19" t="s">
        <v>19</v>
      </c>
      <c r="E420" s="19" t="s">
        <v>139</v>
      </c>
      <c r="F420" s="19"/>
      <c r="G420" s="20">
        <v>219.6</v>
      </c>
      <c r="H420" s="20">
        <v>193</v>
      </c>
      <c r="I420" s="20">
        <v>193</v>
      </c>
      <c r="J420" s="117"/>
      <c r="K420" s="117"/>
      <c r="L420" s="117"/>
      <c r="M420" s="117"/>
      <c r="N420" s="117"/>
      <c r="O420" s="117"/>
      <c r="P420" s="117"/>
      <c r="Q420" s="117"/>
    </row>
    <row r="421" spans="1:17" ht="51" customHeight="1" x14ac:dyDescent="0.2">
      <c r="A421" s="23" t="s">
        <v>66</v>
      </c>
      <c r="B421" s="23">
        <v>915</v>
      </c>
      <c r="C421" s="24" t="s">
        <v>19</v>
      </c>
      <c r="D421" s="24" t="s">
        <v>19</v>
      </c>
      <c r="E421" s="24" t="s">
        <v>139</v>
      </c>
      <c r="F421" s="27" t="s">
        <v>67</v>
      </c>
      <c r="G421" s="25">
        <v>219.6</v>
      </c>
      <c r="H421" s="25">
        <v>193</v>
      </c>
      <c r="I421" s="25">
        <v>193</v>
      </c>
      <c r="J421" s="117"/>
      <c r="K421" s="117"/>
      <c r="L421" s="117"/>
      <c r="M421" s="117"/>
      <c r="N421" s="117"/>
      <c r="O421" s="117"/>
      <c r="P421" s="117"/>
      <c r="Q421" s="117"/>
    </row>
    <row r="422" spans="1:17" s="99" customFormat="1" x14ac:dyDescent="0.2">
      <c r="A422" s="98" t="s">
        <v>52</v>
      </c>
      <c r="B422" s="64">
        <v>915</v>
      </c>
      <c r="C422" s="65" t="s">
        <v>51</v>
      </c>
      <c r="D422" s="65"/>
      <c r="E422" s="65"/>
      <c r="F422" s="65"/>
      <c r="G422" s="68">
        <v>701651.83927000011</v>
      </c>
      <c r="H422" s="68">
        <v>673160.10000000009</v>
      </c>
      <c r="I422" s="68">
        <v>677401.9</v>
      </c>
    </row>
    <row r="423" spans="1:17" s="74" customFormat="1" x14ac:dyDescent="0.2">
      <c r="A423" s="70" t="s">
        <v>53</v>
      </c>
      <c r="B423" s="71">
        <v>915</v>
      </c>
      <c r="C423" s="72" t="s">
        <v>51</v>
      </c>
      <c r="D423" s="72" t="s">
        <v>12</v>
      </c>
      <c r="E423" s="72"/>
      <c r="F423" s="72"/>
      <c r="G423" s="73">
        <v>7375.7</v>
      </c>
      <c r="H423" s="73">
        <v>7375.7</v>
      </c>
      <c r="I423" s="73">
        <v>7375.7</v>
      </c>
    </row>
    <row r="424" spans="1:17" s="79" customFormat="1" ht="75" customHeight="1" x14ac:dyDescent="0.2">
      <c r="A424" s="75" t="s">
        <v>263</v>
      </c>
      <c r="B424" s="76">
        <v>915</v>
      </c>
      <c r="C424" s="77" t="s">
        <v>51</v>
      </c>
      <c r="D424" s="77" t="s">
        <v>12</v>
      </c>
      <c r="E424" s="77" t="s">
        <v>264</v>
      </c>
      <c r="F424" s="77"/>
      <c r="G424" s="78">
        <v>7375.7</v>
      </c>
      <c r="H424" s="78">
        <v>7375.7</v>
      </c>
      <c r="I424" s="78">
        <v>7375.7</v>
      </c>
    </row>
    <row r="425" spans="1:17" s="79" customFormat="1" ht="24.75" customHeight="1" x14ac:dyDescent="0.2">
      <c r="A425" s="87" t="s">
        <v>76</v>
      </c>
      <c r="B425" s="85">
        <v>915</v>
      </c>
      <c r="C425" s="82" t="s">
        <v>51</v>
      </c>
      <c r="D425" s="82" t="s">
        <v>12</v>
      </c>
      <c r="E425" s="82" t="s">
        <v>264</v>
      </c>
      <c r="F425" s="83" t="s">
        <v>68</v>
      </c>
      <c r="G425" s="62">
        <v>36.700000000000003</v>
      </c>
      <c r="H425" s="62">
        <v>36.700000000000003</v>
      </c>
      <c r="I425" s="62">
        <v>36.700000000000003</v>
      </c>
    </row>
    <row r="426" spans="1:17" s="84" customFormat="1" x14ac:dyDescent="0.2">
      <c r="A426" s="87" t="s">
        <v>69</v>
      </c>
      <c r="B426" s="86">
        <v>915</v>
      </c>
      <c r="C426" s="82" t="s">
        <v>51</v>
      </c>
      <c r="D426" s="82" t="s">
        <v>12</v>
      </c>
      <c r="E426" s="82" t="s">
        <v>264</v>
      </c>
      <c r="F426" s="82" t="s">
        <v>70</v>
      </c>
      <c r="G426" s="62">
        <v>7339</v>
      </c>
      <c r="H426" s="62">
        <v>7339</v>
      </c>
      <c r="I426" s="62">
        <v>7339</v>
      </c>
    </row>
    <row r="427" spans="1:17" s="74" customFormat="1" x14ac:dyDescent="0.2">
      <c r="A427" s="70" t="s">
        <v>54</v>
      </c>
      <c r="B427" s="71">
        <v>915</v>
      </c>
      <c r="C427" s="72" t="s">
        <v>51</v>
      </c>
      <c r="D427" s="72" t="s">
        <v>14</v>
      </c>
      <c r="E427" s="72"/>
      <c r="F427" s="72"/>
      <c r="G427" s="73">
        <v>172416.59999999998</v>
      </c>
      <c r="H427" s="73">
        <v>170188.5</v>
      </c>
      <c r="I427" s="73">
        <v>170188.5</v>
      </c>
    </row>
    <row r="428" spans="1:17" ht="51" x14ac:dyDescent="0.2">
      <c r="A428" s="18" t="s">
        <v>265</v>
      </c>
      <c r="B428" s="22">
        <v>915</v>
      </c>
      <c r="C428" s="19" t="s">
        <v>51</v>
      </c>
      <c r="D428" s="19" t="s">
        <v>14</v>
      </c>
      <c r="E428" s="19" t="s">
        <v>97</v>
      </c>
      <c r="F428" s="19"/>
      <c r="G428" s="20">
        <v>121813.3</v>
      </c>
      <c r="H428" s="20">
        <v>121742.5</v>
      </c>
      <c r="I428" s="20">
        <v>121742.5</v>
      </c>
      <c r="J428" s="117"/>
      <c r="K428" s="117"/>
      <c r="L428" s="117"/>
      <c r="M428" s="117"/>
      <c r="N428" s="117"/>
      <c r="O428" s="117"/>
      <c r="P428" s="117"/>
      <c r="Q428" s="117"/>
    </row>
    <row r="429" spans="1:17" s="26" customFormat="1" ht="25.5" x14ac:dyDescent="0.2">
      <c r="A429" s="28" t="s">
        <v>141</v>
      </c>
      <c r="B429" s="31">
        <v>915</v>
      </c>
      <c r="C429" s="24" t="s">
        <v>51</v>
      </c>
      <c r="D429" s="24" t="s">
        <v>14</v>
      </c>
      <c r="E429" s="24" t="s">
        <v>98</v>
      </c>
      <c r="F429" s="24" t="s">
        <v>65</v>
      </c>
      <c r="G429" s="25">
        <v>121813.3</v>
      </c>
      <c r="H429" s="25">
        <v>121742.5</v>
      </c>
      <c r="I429" s="25">
        <v>121742.5</v>
      </c>
      <c r="J429" s="118"/>
      <c r="K429" s="118"/>
      <c r="L429" s="118"/>
      <c r="M429" s="118"/>
      <c r="N429" s="118"/>
      <c r="O429" s="118"/>
      <c r="P429" s="118"/>
      <c r="Q429" s="118"/>
    </row>
    <row r="430" spans="1:17" ht="62.25" customHeight="1" x14ac:dyDescent="0.2">
      <c r="A430" s="18" t="s">
        <v>266</v>
      </c>
      <c r="B430" s="22">
        <v>915</v>
      </c>
      <c r="C430" s="19" t="s">
        <v>51</v>
      </c>
      <c r="D430" s="19" t="s">
        <v>14</v>
      </c>
      <c r="E430" s="19" t="s">
        <v>100</v>
      </c>
      <c r="F430" s="19"/>
      <c r="G430" s="20">
        <v>50550</v>
      </c>
      <c r="H430" s="20">
        <v>48414</v>
      </c>
      <c r="I430" s="20">
        <v>48414</v>
      </c>
      <c r="J430" s="231">
        <f t="shared" ref="J430:Q430" si="3">J431+J433+J432</f>
        <v>0</v>
      </c>
      <c r="K430" s="231">
        <f t="shared" si="3"/>
        <v>0</v>
      </c>
      <c r="L430" s="231">
        <f t="shared" si="3"/>
        <v>0</v>
      </c>
      <c r="M430" s="231">
        <f t="shared" si="3"/>
        <v>0</v>
      </c>
      <c r="N430" s="231">
        <f t="shared" si="3"/>
        <v>0</v>
      </c>
      <c r="O430" s="231">
        <f t="shared" si="3"/>
        <v>0</v>
      </c>
      <c r="P430" s="231">
        <f t="shared" si="3"/>
        <v>0</v>
      </c>
      <c r="Q430" s="231">
        <f t="shared" si="3"/>
        <v>0</v>
      </c>
    </row>
    <row r="431" spans="1:17" s="26" customFormat="1" ht="54" customHeight="1" x14ac:dyDescent="0.2">
      <c r="A431" s="23" t="s">
        <v>66</v>
      </c>
      <c r="B431" s="31">
        <v>915</v>
      </c>
      <c r="C431" s="24" t="s">
        <v>51</v>
      </c>
      <c r="D431" s="24" t="s">
        <v>14</v>
      </c>
      <c r="E431" s="24" t="s">
        <v>100</v>
      </c>
      <c r="F431" s="27" t="s">
        <v>67</v>
      </c>
      <c r="G431" s="25">
        <v>42333.894260000001</v>
      </c>
      <c r="H431" s="25">
        <v>42333.5</v>
      </c>
      <c r="I431" s="25">
        <v>42333.5</v>
      </c>
      <c r="J431" s="118"/>
      <c r="K431" s="118"/>
      <c r="L431" s="118"/>
      <c r="M431" s="118"/>
      <c r="N431" s="118"/>
      <c r="O431" s="118"/>
      <c r="P431" s="118"/>
      <c r="Q431" s="118"/>
    </row>
    <row r="432" spans="1:17" s="26" customFormat="1" ht="25.5" x14ac:dyDescent="0.2">
      <c r="A432" s="28" t="s">
        <v>76</v>
      </c>
      <c r="B432" s="31">
        <v>915</v>
      </c>
      <c r="C432" s="24" t="s">
        <v>51</v>
      </c>
      <c r="D432" s="24" t="s">
        <v>14</v>
      </c>
      <c r="E432" s="24" t="s">
        <v>100</v>
      </c>
      <c r="F432" s="27" t="s">
        <v>68</v>
      </c>
      <c r="G432" s="25">
        <v>7921.10574</v>
      </c>
      <c r="H432" s="25">
        <v>5785.5</v>
      </c>
      <c r="I432" s="25">
        <v>5785.5</v>
      </c>
      <c r="J432" s="118"/>
      <c r="K432" s="118"/>
      <c r="L432" s="118"/>
      <c r="M432" s="118"/>
      <c r="N432" s="118"/>
      <c r="O432" s="118"/>
      <c r="P432" s="118"/>
      <c r="Q432" s="118"/>
    </row>
    <row r="433" spans="1:17" s="84" customFormat="1" x14ac:dyDescent="0.2">
      <c r="A433" s="87" t="s">
        <v>72</v>
      </c>
      <c r="B433" s="86">
        <v>915</v>
      </c>
      <c r="C433" s="82" t="s">
        <v>51</v>
      </c>
      <c r="D433" s="82" t="s">
        <v>14</v>
      </c>
      <c r="E433" s="82" t="s">
        <v>100</v>
      </c>
      <c r="F433" s="82" t="s">
        <v>73</v>
      </c>
      <c r="G433" s="62">
        <v>295</v>
      </c>
      <c r="H433" s="62">
        <v>295</v>
      </c>
      <c r="I433" s="62">
        <v>295</v>
      </c>
    </row>
    <row r="434" spans="1:17" s="26" customFormat="1" ht="25.5" x14ac:dyDescent="0.2">
      <c r="A434" s="18" t="s">
        <v>267</v>
      </c>
      <c r="B434" s="22">
        <v>915</v>
      </c>
      <c r="C434" s="19" t="s">
        <v>51</v>
      </c>
      <c r="D434" s="19" t="s">
        <v>14</v>
      </c>
      <c r="E434" s="19" t="s">
        <v>340</v>
      </c>
      <c r="F434" s="19"/>
      <c r="G434" s="25">
        <v>21.3</v>
      </c>
      <c r="H434" s="25">
        <v>0</v>
      </c>
      <c r="I434" s="25">
        <v>0</v>
      </c>
      <c r="J434" s="118"/>
      <c r="K434" s="118"/>
      <c r="L434" s="118"/>
      <c r="M434" s="118"/>
      <c r="N434" s="118"/>
      <c r="O434" s="118"/>
      <c r="P434" s="118"/>
      <c r="Q434" s="118"/>
    </row>
    <row r="435" spans="1:17" s="26" customFormat="1" ht="25.5" x14ac:dyDescent="0.2">
      <c r="A435" s="28" t="s">
        <v>76</v>
      </c>
      <c r="B435" s="31">
        <v>915</v>
      </c>
      <c r="C435" s="24" t="s">
        <v>51</v>
      </c>
      <c r="D435" s="24" t="s">
        <v>14</v>
      </c>
      <c r="E435" s="24" t="s">
        <v>340</v>
      </c>
      <c r="F435" s="27" t="s">
        <v>68</v>
      </c>
      <c r="G435" s="25">
        <v>21.3</v>
      </c>
      <c r="H435" s="25">
        <v>0</v>
      </c>
      <c r="I435" s="25">
        <v>0</v>
      </c>
      <c r="J435" s="118"/>
      <c r="K435" s="118"/>
      <c r="L435" s="118"/>
      <c r="M435" s="118"/>
      <c r="N435" s="118"/>
      <c r="O435" s="118"/>
      <c r="P435" s="118"/>
      <c r="Q435" s="118"/>
    </row>
    <row r="436" spans="1:17" ht="75" customHeight="1" x14ac:dyDescent="0.2">
      <c r="A436" s="18" t="s">
        <v>273</v>
      </c>
      <c r="B436" s="22">
        <v>915</v>
      </c>
      <c r="C436" s="19" t="s">
        <v>51</v>
      </c>
      <c r="D436" s="19" t="s">
        <v>14</v>
      </c>
      <c r="E436" s="19" t="s">
        <v>118</v>
      </c>
      <c r="F436" s="19"/>
      <c r="G436" s="20">
        <v>32</v>
      </c>
      <c r="H436" s="20">
        <v>32</v>
      </c>
      <c r="I436" s="20">
        <v>32</v>
      </c>
      <c r="J436" s="237"/>
      <c r="K436" s="237"/>
      <c r="L436" s="237"/>
      <c r="M436" s="237"/>
      <c r="N436" s="237"/>
      <c r="O436" s="237"/>
      <c r="P436" s="237"/>
      <c r="Q436" s="237"/>
    </row>
    <row r="437" spans="1:17" s="84" customFormat="1" ht="50.25" customHeight="1" x14ac:dyDescent="0.2">
      <c r="A437" s="80" t="s">
        <v>66</v>
      </c>
      <c r="B437" s="86">
        <v>915</v>
      </c>
      <c r="C437" s="82" t="s">
        <v>51</v>
      </c>
      <c r="D437" s="82" t="s">
        <v>14</v>
      </c>
      <c r="E437" s="82" t="s">
        <v>118</v>
      </c>
      <c r="F437" s="82" t="s">
        <v>67</v>
      </c>
      <c r="G437" s="62">
        <v>32</v>
      </c>
      <c r="H437" s="62">
        <v>32</v>
      </c>
      <c r="I437" s="62">
        <v>32</v>
      </c>
    </row>
    <row r="438" spans="1:17" s="74" customFormat="1" x14ac:dyDescent="0.2">
      <c r="A438" s="70" t="s">
        <v>55</v>
      </c>
      <c r="B438" s="71">
        <v>915</v>
      </c>
      <c r="C438" s="72" t="s">
        <v>51</v>
      </c>
      <c r="D438" s="72" t="s">
        <v>16</v>
      </c>
      <c r="E438" s="72"/>
      <c r="F438" s="72"/>
      <c r="G438" s="73">
        <v>338986.73927000002</v>
      </c>
      <c r="H438" s="73">
        <v>339171.70000000007</v>
      </c>
      <c r="I438" s="73">
        <v>339568.50000000006</v>
      </c>
    </row>
    <row r="439" spans="1:17" ht="51" customHeight="1" x14ac:dyDescent="0.2">
      <c r="A439" s="18" t="s">
        <v>252</v>
      </c>
      <c r="B439" s="22">
        <v>915</v>
      </c>
      <c r="C439" s="19" t="s">
        <v>51</v>
      </c>
      <c r="D439" s="19" t="s">
        <v>16</v>
      </c>
      <c r="E439" s="19" t="s">
        <v>454</v>
      </c>
      <c r="F439" s="19"/>
      <c r="G439" s="20">
        <v>12767.199999999999</v>
      </c>
      <c r="H439" s="20">
        <v>12767.199999999999</v>
      </c>
      <c r="I439" s="20">
        <v>12767.199999999999</v>
      </c>
      <c r="J439" s="237"/>
      <c r="K439" s="237"/>
      <c r="L439" s="237"/>
      <c r="M439" s="237"/>
      <c r="N439" s="237"/>
      <c r="O439" s="237"/>
      <c r="P439" s="237"/>
      <c r="Q439" s="237"/>
    </row>
    <row r="440" spans="1:17" s="26" customFormat="1" ht="25.5" x14ac:dyDescent="0.2">
      <c r="A440" s="28" t="s">
        <v>76</v>
      </c>
      <c r="B440" s="23">
        <v>915</v>
      </c>
      <c r="C440" s="24" t="s">
        <v>51</v>
      </c>
      <c r="D440" s="24" t="s">
        <v>16</v>
      </c>
      <c r="E440" s="24" t="s">
        <v>454</v>
      </c>
      <c r="F440" s="27" t="s">
        <v>68</v>
      </c>
      <c r="G440" s="25">
        <v>63.9</v>
      </c>
      <c r="H440" s="25">
        <v>63.9</v>
      </c>
      <c r="I440" s="25">
        <v>63.9</v>
      </c>
    </row>
    <row r="441" spans="1:17" s="26" customFormat="1" x14ac:dyDescent="0.2">
      <c r="A441" s="28" t="s">
        <v>69</v>
      </c>
      <c r="B441" s="31">
        <v>915</v>
      </c>
      <c r="C441" s="24" t="s">
        <v>51</v>
      </c>
      <c r="D441" s="24" t="s">
        <v>16</v>
      </c>
      <c r="E441" s="24" t="s">
        <v>454</v>
      </c>
      <c r="F441" s="24" t="s">
        <v>70</v>
      </c>
      <c r="G441" s="25">
        <v>12703.3</v>
      </c>
      <c r="H441" s="25">
        <v>12703.3</v>
      </c>
      <c r="I441" s="25">
        <v>12703.3</v>
      </c>
    </row>
    <row r="442" spans="1:17" s="79" customFormat="1" ht="51" customHeight="1" x14ac:dyDescent="0.2">
      <c r="A442" s="75" t="s">
        <v>274</v>
      </c>
      <c r="B442" s="76">
        <v>915</v>
      </c>
      <c r="C442" s="77" t="s">
        <v>51</v>
      </c>
      <c r="D442" s="77" t="s">
        <v>16</v>
      </c>
      <c r="E442" s="77" t="s">
        <v>455</v>
      </c>
      <c r="F442" s="77"/>
      <c r="G442" s="78">
        <v>9129</v>
      </c>
      <c r="H442" s="78">
        <v>9129</v>
      </c>
      <c r="I442" s="78">
        <v>9129</v>
      </c>
    </row>
    <row r="443" spans="1:17" s="84" customFormat="1" ht="25.5" x14ac:dyDescent="0.2">
      <c r="A443" s="87" t="s">
        <v>76</v>
      </c>
      <c r="B443" s="85">
        <v>915</v>
      </c>
      <c r="C443" s="82" t="s">
        <v>51</v>
      </c>
      <c r="D443" s="82" t="s">
        <v>16</v>
      </c>
      <c r="E443" s="82" t="s">
        <v>455</v>
      </c>
      <c r="F443" s="83" t="s">
        <v>68</v>
      </c>
      <c r="G443" s="62">
        <v>3.3</v>
      </c>
      <c r="H443" s="62">
        <v>3.3</v>
      </c>
      <c r="I443" s="62">
        <v>3.3</v>
      </c>
    </row>
    <row r="444" spans="1:17" s="84" customFormat="1" x14ac:dyDescent="0.2">
      <c r="A444" s="87" t="s">
        <v>69</v>
      </c>
      <c r="B444" s="86">
        <v>915</v>
      </c>
      <c r="C444" s="82" t="s">
        <v>51</v>
      </c>
      <c r="D444" s="82" t="s">
        <v>16</v>
      </c>
      <c r="E444" s="82" t="s">
        <v>455</v>
      </c>
      <c r="F444" s="82" t="s">
        <v>70</v>
      </c>
      <c r="G444" s="62">
        <v>9125.7000000000007</v>
      </c>
      <c r="H444" s="62">
        <v>9125.7000000000007</v>
      </c>
      <c r="I444" s="62">
        <v>9125.7000000000007</v>
      </c>
    </row>
    <row r="445" spans="1:17" ht="40.5" customHeight="1" x14ac:dyDescent="0.2">
      <c r="A445" s="18" t="s">
        <v>268</v>
      </c>
      <c r="B445" s="18">
        <v>915</v>
      </c>
      <c r="C445" s="19" t="s">
        <v>51</v>
      </c>
      <c r="D445" s="19" t="s">
        <v>16</v>
      </c>
      <c r="E445" s="19" t="s">
        <v>117</v>
      </c>
      <c r="F445" s="19"/>
      <c r="G445" s="20">
        <v>469.7</v>
      </c>
      <c r="H445" s="20">
        <v>548.90000000000009</v>
      </c>
      <c r="I445" s="20">
        <v>582.69999999999993</v>
      </c>
      <c r="J445" s="117"/>
      <c r="K445" s="117"/>
      <c r="L445" s="117"/>
      <c r="M445" s="117"/>
      <c r="N445" s="117"/>
      <c r="O445" s="117"/>
      <c r="P445" s="117"/>
      <c r="Q445" s="117"/>
    </row>
    <row r="446" spans="1:17" ht="25.5" x14ac:dyDescent="0.2">
      <c r="A446" s="28" t="s">
        <v>76</v>
      </c>
      <c r="B446" s="23">
        <v>915</v>
      </c>
      <c r="C446" s="24" t="s">
        <v>51</v>
      </c>
      <c r="D446" s="24" t="s">
        <v>16</v>
      </c>
      <c r="E446" s="24" t="s">
        <v>117</v>
      </c>
      <c r="F446" s="27" t="s">
        <v>68</v>
      </c>
      <c r="G446" s="25">
        <v>2.5</v>
      </c>
      <c r="H446" s="25">
        <v>2.7</v>
      </c>
      <c r="I446" s="25">
        <v>2.9</v>
      </c>
      <c r="J446" s="237"/>
      <c r="K446" s="237"/>
      <c r="L446" s="237"/>
      <c r="M446" s="237"/>
      <c r="N446" s="237"/>
      <c r="O446" s="237"/>
      <c r="P446" s="237"/>
      <c r="Q446" s="237"/>
    </row>
    <row r="447" spans="1:17" x14ac:dyDescent="0.2">
      <c r="A447" s="28" t="s">
        <v>69</v>
      </c>
      <c r="B447" s="28">
        <v>915</v>
      </c>
      <c r="C447" s="24" t="s">
        <v>51</v>
      </c>
      <c r="D447" s="24" t="s">
        <v>16</v>
      </c>
      <c r="E447" s="24" t="s">
        <v>117</v>
      </c>
      <c r="F447" s="24" t="s">
        <v>70</v>
      </c>
      <c r="G447" s="25">
        <v>467.2</v>
      </c>
      <c r="H447" s="25">
        <v>546.20000000000005</v>
      </c>
      <c r="I447" s="25">
        <v>579.79999999999995</v>
      </c>
      <c r="J447" s="117"/>
      <c r="K447" s="117"/>
      <c r="L447" s="117"/>
      <c r="M447" s="117"/>
      <c r="N447" s="117"/>
      <c r="O447" s="117"/>
      <c r="P447" s="117"/>
      <c r="Q447" s="117"/>
    </row>
    <row r="448" spans="1:17" ht="38.25" x14ac:dyDescent="0.2">
      <c r="A448" s="18" t="s">
        <v>269</v>
      </c>
      <c r="B448" s="22">
        <v>915</v>
      </c>
      <c r="C448" s="19" t="s">
        <v>51</v>
      </c>
      <c r="D448" s="19" t="s">
        <v>16</v>
      </c>
      <c r="E448" s="19" t="s">
        <v>102</v>
      </c>
      <c r="F448" s="19"/>
      <c r="G448" s="20">
        <v>9410.2392699999982</v>
      </c>
      <c r="H448" s="20">
        <v>9084</v>
      </c>
      <c r="I448" s="20">
        <v>9447</v>
      </c>
      <c r="J448" s="117"/>
      <c r="K448" s="117"/>
      <c r="L448" s="117"/>
      <c r="M448" s="117"/>
      <c r="N448" s="117"/>
      <c r="O448" s="117"/>
      <c r="P448" s="117"/>
      <c r="Q448" s="117"/>
    </row>
    <row r="449" spans="1:17" s="26" customFormat="1" ht="25.5" x14ac:dyDescent="0.2">
      <c r="A449" s="28" t="s">
        <v>76</v>
      </c>
      <c r="B449" s="23">
        <v>915</v>
      </c>
      <c r="C449" s="24" t="s">
        <v>51</v>
      </c>
      <c r="D449" s="24" t="s">
        <v>16</v>
      </c>
      <c r="E449" s="24" t="s">
        <v>102</v>
      </c>
      <c r="F449" s="27" t="s">
        <v>68</v>
      </c>
      <c r="G449" s="25">
        <v>46.183709999999998</v>
      </c>
      <c r="H449" s="25">
        <v>45.4</v>
      </c>
      <c r="I449" s="25">
        <v>47.2</v>
      </c>
      <c r="J449" s="118"/>
      <c r="K449" s="118"/>
      <c r="L449" s="118"/>
      <c r="M449" s="118"/>
      <c r="N449" s="118"/>
      <c r="O449" s="118"/>
      <c r="P449" s="118"/>
      <c r="Q449" s="118"/>
    </row>
    <row r="450" spans="1:17" s="26" customFormat="1" x14ac:dyDescent="0.2">
      <c r="A450" s="28" t="s">
        <v>69</v>
      </c>
      <c r="B450" s="31">
        <v>915</v>
      </c>
      <c r="C450" s="24" t="s">
        <v>51</v>
      </c>
      <c r="D450" s="24" t="s">
        <v>16</v>
      </c>
      <c r="E450" s="24" t="s">
        <v>102</v>
      </c>
      <c r="F450" s="24" t="s">
        <v>70</v>
      </c>
      <c r="G450" s="25">
        <v>9364.0555599999989</v>
      </c>
      <c r="H450" s="25">
        <v>9038.6</v>
      </c>
      <c r="I450" s="25">
        <v>9399.7999999999993</v>
      </c>
      <c r="J450" s="118"/>
      <c r="K450" s="118"/>
      <c r="L450" s="118"/>
      <c r="M450" s="118"/>
      <c r="N450" s="118"/>
      <c r="O450" s="118"/>
      <c r="P450" s="118"/>
      <c r="Q450" s="118"/>
    </row>
    <row r="451" spans="1:17" ht="25.5" x14ac:dyDescent="0.2">
      <c r="A451" s="18" t="s">
        <v>270</v>
      </c>
      <c r="B451" s="22">
        <v>915</v>
      </c>
      <c r="C451" s="19" t="s">
        <v>51</v>
      </c>
      <c r="D451" s="19" t="s">
        <v>16</v>
      </c>
      <c r="E451" s="19" t="s">
        <v>104</v>
      </c>
      <c r="F451" s="19"/>
      <c r="G451" s="20">
        <v>53744</v>
      </c>
      <c r="H451" s="20">
        <v>53744</v>
      </c>
      <c r="I451" s="20">
        <v>53744</v>
      </c>
      <c r="J451" s="237"/>
      <c r="K451" s="237"/>
      <c r="L451" s="237"/>
      <c r="M451" s="237"/>
      <c r="N451" s="237"/>
      <c r="O451" s="237"/>
      <c r="P451" s="237"/>
      <c r="Q451" s="237"/>
    </row>
    <row r="452" spans="1:17" s="26" customFormat="1" ht="25.5" x14ac:dyDescent="0.2">
      <c r="A452" s="28" t="s">
        <v>76</v>
      </c>
      <c r="B452" s="23">
        <v>915</v>
      </c>
      <c r="C452" s="24" t="s">
        <v>51</v>
      </c>
      <c r="D452" s="24" t="s">
        <v>16</v>
      </c>
      <c r="E452" s="24" t="s">
        <v>104</v>
      </c>
      <c r="F452" s="27" t="s">
        <v>68</v>
      </c>
      <c r="G452" s="25">
        <v>711</v>
      </c>
      <c r="H452" s="25">
        <v>711</v>
      </c>
      <c r="I452" s="25">
        <v>711</v>
      </c>
    </row>
    <row r="453" spans="1:17" s="26" customFormat="1" x14ac:dyDescent="0.2">
      <c r="A453" s="28" t="s">
        <v>69</v>
      </c>
      <c r="B453" s="31">
        <v>915</v>
      </c>
      <c r="C453" s="24" t="s">
        <v>51</v>
      </c>
      <c r="D453" s="24" t="s">
        <v>16</v>
      </c>
      <c r="E453" s="24" t="s">
        <v>104</v>
      </c>
      <c r="F453" s="24" t="s">
        <v>70</v>
      </c>
      <c r="G453" s="25">
        <v>53033</v>
      </c>
      <c r="H453" s="25">
        <v>53033</v>
      </c>
      <c r="I453" s="25">
        <v>53033</v>
      </c>
    </row>
    <row r="454" spans="1:17" ht="77.25" customHeight="1" x14ac:dyDescent="0.2">
      <c r="A454" s="18" t="s">
        <v>271</v>
      </c>
      <c r="B454" s="22">
        <v>915</v>
      </c>
      <c r="C454" s="19" t="s">
        <v>51</v>
      </c>
      <c r="D454" s="19" t="s">
        <v>16</v>
      </c>
      <c r="E454" s="19" t="s">
        <v>103</v>
      </c>
      <c r="F454" s="19"/>
      <c r="G454" s="20">
        <v>1.0000000000000004</v>
      </c>
      <c r="H454" s="20">
        <v>6</v>
      </c>
      <c r="I454" s="20">
        <v>6</v>
      </c>
      <c r="J454" s="117"/>
      <c r="K454" s="117"/>
      <c r="L454" s="117"/>
      <c r="M454" s="117"/>
      <c r="N454" s="117"/>
      <c r="O454" s="117"/>
      <c r="P454" s="117"/>
      <c r="Q454" s="117"/>
    </row>
    <row r="455" spans="1:17" s="84" customFormat="1" ht="25.5" x14ac:dyDescent="0.2">
      <c r="A455" s="87" t="s">
        <v>76</v>
      </c>
      <c r="B455" s="85">
        <v>915</v>
      </c>
      <c r="C455" s="82" t="s">
        <v>51</v>
      </c>
      <c r="D455" s="82" t="s">
        <v>16</v>
      </c>
      <c r="E455" s="82" t="s">
        <v>103</v>
      </c>
      <c r="F455" s="83" t="s">
        <v>68</v>
      </c>
      <c r="G455" s="62">
        <v>0.1</v>
      </c>
      <c r="H455" s="62">
        <v>0.1</v>
      </c>
      <c r="I455" s="62">
        <v>0.1</v>
      </c>
    </row>
    <row r="456" spans="1:17" s="26" customFormat="1" x14ac:dyDescent="0.2">
      <c r="A456" s="28" t="s">
        <v>69</v>
      </c>
      <c r="B456" s="31">
        <v>915</v>
      </c>
      <c r="C456" s="24" t="s">
        <v>51</v>
      </c>
      <c r="D456" s="24" t="s">
        <v>16</v>
      </c>
      <c r="E456" s="24" t="s">
        <v>103</v>
      </c>
      <c r="F456" s="24" t="s">
        <v>70</v>
      </c>
      <c r="G456" s="25">
        <v>0.90000000000000036</v>
      </c>
      <c r="H456" s="25">
        <v>5.9</v>
      </c>
      <c r="I456" s="25">
        <v>5.9</v>
      </c>
      <c r="J456" s="118"/>
      <c r="K456" s="118"/>
      <c r="L456" s="118"/>
      <c r="M456" s="118"/>
      <c r="N456" s="118"/>
      <c r="O456" s="118"/>
      <c r="P456" s="118"/>
      <c r="Q456" s="118"/>
    </row>
    <row r="457" spans="1:17" ht="63.75" x14ac:dyDescent="0.2">
      <c r="A457" s="18" t="s">
        <v>180</v>
      </c>
      <c r="B457" s="22">
        <v>915</v>
      </c>
      <c r="C457" s="19" t="s">
        <v>51</v>
      </c>
      <c r="D457" s="19" t="s">
        <v>16</v>
      </c>
      <c r="E457" s="19" t="s">
        <v>92</v>
      </c>
      <c r="F457" s="19"/>
      <c r="G457" s="20">
        <v>26410</v>
      </c>
      <c r="H457" s="20">
        <v>26410</v>
      </c>
      <c r="I457" s="20">
        <v>26410</v>
      </c>
      <c r="J457" s="237"/>
      <c r="K457" s="237"/>
      <c r="L457" s="237"/>
      <c r="M457" s="237"/>
      <c r="N457" s="237"/>
      <c r="O457" s="237"/>
      <c r="P457" s="237"/>
      <c r="Q457" s="237"/>
    </row>
    <row r="458" spans="1:17" s="26" customFormat="1" ht="25.5" x14ac:dyDescent="0.2">
      <c r="A458" s="28" t="s">
        <v>76</v>
      </c>
      <c r="B458" s="23">
        <v>915</v>
      </c>
      <c r="C458" s="24" t="s">
        <v>51</v>
      </c>
      <c r="D458" s="24" t="s">
        <v>16</v>
      </c>
      <c r="E458" s="24" t="s">
        <v>92</v>
      </c>
      <c r="F458" s="27" t="s">
        <v>68</v>
      </c>
      <c r="G458" s="25">
        <v>260.3</v>
      </c>
      <c r="H458" s="25">
        <v>260.3</v>
      </c>
      <c r="I458" s="25">
        <v>260.3</v>
      </c>
    </row>
    <row r="459" spans="1:17" s="26" customFormat="1" x14ac:dyDescent="0.2">
      <c r="A459" s="28" t="s">
        <v>69</v>
      </c>
      <c r="B459" s="31">
        <v>915</v>
      </c>
      <c r="C459" s="24" t="s">
        <v>51</v>
      </c>
      <c r="D459" s="24" t="s">
        <v>16</v>
      </c>
      <c r="E459" s="24" t="s">
        <v>92</v>
      </c>
      <c r="F459" s="24" t="s">
        <v>70</v>
      </c>
      <c r="G459" s="25">
        <v>26149.7</v>
      </c>
      <c r="H459" s="25">
        <v>26149.7</v>
      </c>
      <c r="I459" s="25">
        <v>26149.7</v>
      </c>
    </row>
    <row r="460" spans="1:17" ht="140.25" x14ac:dyDescent="0.2">
      <c r="A460" s="18" t="s">
        <v>332</v>
      </c>
      <c r="B460" s="22">
        <v>915</v>
      </c>
      <c r="C460" s="19" t="s">
        <v>51</v>
      </c>
      <c r="D460" s="19" t="s">
        <v>16</v>
      </c>
      <c r="E460" s="19" t="s">
        <v>93</v>
      </c>
      <c r="F460" s="19"/>
      <c r="G460" s="20">
        <v>1523</v>
      </c>
      <c r="H460" s="20">
        <v>1523</v>
      </c>
      <c r="I460" s="20">
        <v>1523</v>
      </c>
      <c r="J460" s="237"/>
      <c r="K460" s="237"/>
      <c r="L460" s="237"/>
      <c r="M460" s="237"/>
      <c r="N460" s="237"/>
      <c r="O460" s="237"/>
      <c r="P460" s="237"/>
      <c r="Q460" s="237"/>
    </row>
    <row r="461" spans="1:17" s="26" customFormat="1" ht="25.5" x14ac:dyDescent="0.2">
      <c r="A461" s="28" t="s">
        <v>76</v>
      </c>
      <c r="B461" s="31">
        <v>915</v>
      </c>
      <c r="C461" s="24" t="s">
        <v>51</v>
      </c>
      <c r="D461" s="24" t="s">
        <v>16</v>
      </c>
      <c r="E461" s="24" t="s">
        <v>93</v>
      </c>
      <c r="F461" s="27" t="s">
        <v>68</v>
      </c>
      <c r="G461" s="25">
        <v>29.6</v>
      </c>
      <c r="H461" s="25">
        <v>29.6</v>
      </c>
      <c r="I461" s="25">
        <v>29.6</v>
      </c>
    </row>
    <row r="462" spans="1:17" s="84" customFormat="1" x14ac:dyDescent="0.2">
      <c r="A462" s="87" t="s">
        <v>69</v>
      </c>
      <c r="B462" s="86">
        <v>915</v>
      </c>
      <c r="C462" s="82" t="s">
        <v>51</v>
      </c>
      <c r="D462" s="82" t="s">
        <v>16</v>
      </c>
      <c r="E462" s="82" t="s">
        <v>93</v>
      </c>
      <c r="F462" s="82" t="s">
        <v>70</v>
      </c>
      <c r="G462" s="62">
        <v>1493.4</v>
      </c>
      <c r="H462" s="62">
        <v>1493.4</v>
      </c>
      <c r="I462" s="62">
        <v>1493.4</v>
      </c>
    </row>
    <row r="463" spans="1:17" ht="76.5" customHeight="1" x14ac:dyDescent="0.2">
      <c r="A463" s="18" t="s">
        <v>456</v>
      </c>
      <c r="B463" s="22">
        <v>915</v>
      </c>
      <c r="C463" s="19" t="s">
        <v>51</v>
      </c>
      <c r="D463" s="19" t="s">
        <v>16</v>
      </c>
      <c r="E463" s="19" t="s">
        <v>94</v>
      </c>
      <c r="F463" s="19"/>
      <c r="G463" s="20">
        <v>8604</v>
      </c>
      <c r="H463" s="20">
        <v>8604</v>
      </c>
      <c r="I463" s="20">
        <v>8604</v>
      </c>
      <c r="J463" s="237"/>
      <c r="K463" s="237"/>
      <c r="L463" s="237"/>
      <c r="M463" s="237"/>
      <c r="N463" s="237"/>
      <c r="O463" s="237"/>
      <c r="P463" s="237"/>
      <c r="Q463" s="237"/>
    </row>
    <row r="464" spans="1:17" s="26" customFormat="1" ht="25.5" x14ac:dyDescent="0.2">
      <c r="A464" s="28" t="s">
        <v>76</v>
      </c>
      <c r="B464" s="23">
        <v>915</v>
      </c>
      <c r="C464" s="24" t="s">
        <v>51</v>
      </c>
      <c r="D464" s="24" t="s">
        <v>16</v>
      </c>
      <c r="E464" s="24" t="s">
        <v>94</v>
      </c>
      <c r="F464" s="27" t="s">
        <v>68</v>
      </c>
      <c r="G464" s="25">
        <v>107.3</v>
      </c>
      <c r="H464" s="25">
        <v>107.3</v>
      </c>
      <c r="I464" s="25">
        <v>107.3</v>
      </c>
    </row>
    <row r="465" spans="1:17" s="84" customFormat="1" x14ac:dyDescent="0.2">
      <c r="A465" s="87" t="s">
        <v>69</v>
      </c>
      <c r="B465" s="86">
        <v>915</v>
      </c>
      <c r="C465" s="82" t="s">
        <v>51</v>
      </c>
      <c r="D465" s="82" t="s">
        <v>16</v>
      </c>
      <c r="E465" s="82" t="s">
        <v>94</v>
      </c>
      <c r="F465" s="82" t="s">
        <v>70</v>
      </c>
      <c r="G465" s="62">
        <v>8496.7000000000007</v>
      </c>
      <c r="H465" s="62">
        <v>8496.7000000000007</v>
      </c>
      <c r="I465" s="62">
        <v>8496.7000000000007</v>
      </c>
    </row>
    <row r="466" spans="1:17" ht="63.75" x14ac:dyDescent="0.2">
      <c r="A466" s="18" t="s">
        <v>182</v>
      </c>
      <c r="B466" s="22">
        <v>915</v>
      </c>
      <c r="C466" s="19" t="s">
        <v>51</v>
      </c>
      <c r="D466" s="19" t="s">
        <v>16</v>
      </c>
      <c r="E466" s="19" t="s">
        <v>95</v>
      </c>
      <c r="F466" s="19"/>
      <c r="G466" s="20">
        <v>527.6</v>
      </c>
      <c r="H466" s="20">
        <v>502.59999999999997</v>
      </c>
      <c r="I466" s="20">
        <v>502.59999999999997</v>
      </c>
      <c r="J466" s="117"/>
      <c r="K466" s="117"/>
      <c r="L466" s="117"/>
      <c r="M466" s="117"/>
      <c r="N466" s="117"/>
      <c r="O466" s="117"/>
      <c r="P466" s="117"/>
      <c r="Q466" s="117"/>
    </row>
    <row r="467" spans="1:17" s="26" customFormat="1" ht="25.5" x14ac:dyDescent="0.2">
      <c r="A467" s="28" t="s">
        <v>76</v>
      </c>
      <c r="B467" s="23">
        <v>915</v>
      </c>
      <c r="C467" s="24" t="s">
        <v>51</v>
      </c>
      <c r="D467" s="24" t="s">
        <v>16</v>
      </c>
      <c r="E467" s="24" t="s">
        <v>95</v>
      </c>
      <c r="F467" s="27" t="s">
        <v>68</v>
      </c>
      <c r="G467" s="25">
        <v>5.4</v>
      </c>
      <c r="H467" s="25">
        <v>4.9000000000000004</v>
      </c>
      <c r="I467" s="25">
        <v>4.9000000000000004</v>
      </c>
      <c r="J467" s="118"/>
      <c r="K467" s="118"/>
      <c r="L467" s="118"/>
      <c r="M467" s="118"/>
      <c r="N467" s="118"/>
      <c r="O467" s="118"/>
      <c r="P467" s="118"/>
      <c r="Q467" s="118"/>
    </row>
    <row r="468" spans="1:17" s="26" customFormat="1" x14ac:dyDescent="0.2">
      <c r="A468" s="28" t="s">
        <v>69</v>
      </c>
      <c r="B468" s="31">
        <v>915</v>
      </c>
      <c r="C468" s="24" t="s">
        <v>51</v>
      </c>
      <c r="D468" s="24" t="s">
        <v>16</v>
      </c>
      <c r="E468" s="24" t="s">
        <v>95</v>
      </c>
      <c r="F468" s="24" t="s">
        <v>70</v>
      </c>
      <c r="G468" s="25">
        <v>522.20000000000005</v>
      </c>
      <c r="H468" s="25">
        <v>497.7</v>
      </c>
      <c r="I468" s="25">
        <v>497.7</v>
      </c>
      <c r="J468" s="118"/>
      <c r="K468" s="118"/>
      <c r="L468" s="118"/>
      <c r="M468" s="118"/>
      <c r="N468" s="118"/>
      <c r="O468" s="118"/>
      <c r="P468" s="118"/>
      <c r="Q468" s="118"/>
    </row>
    <row r="469" spans="1:17" ht="63.75" x14ac:dyDescent="0.2">
      <c r="A469" s="18" t="s">
        <v>333</v>
      </c>
      <c r="B469" s="49">
        <v>915</v>
      </c>
      <c r="C469" s="19" t="s">
        <v>51</v>
      </c>
      <c r="D469" s="19" t="s">
        <v>16</v>
      </c>
      <c r="E469" s="19" t="s">
        <v>111</v>
      </c>
      <c r="F469" s="19"/>
      <c r="G469" s="20">
        <v>9.9</v>
      </c>
      <c r="H469" s="20">
        <v>9.9</v>
      </c>
      <c r="I469" s="20">
        <v>9.9</v>
      </c>
      <c r="J469" s="237"/>
      <c r="K469" s="237"/>
      <c r="L469" s="237"/>
      <c r="M469" s="237"/>
      <c r="N469" s="237"/>
      <c r="O469" s="237"/>
      <c r="P469" s="237"/>
      <c r="Q469" s="237"/>
    </row>
    <row r="470" spans="1:17" s="26" customFormat="1" ht="25.5" x14ac:dyDescent="0.2">
      <c r="A470" s="28" t="s">
        <v>76</v>
      </c>
      <c r="B470" s="23">
        <v>915</v>
      </c>
      <c r="C470" s="24" t="s">
        <v>51</v>
      </c>
      <c r="D470" s="24" t="s">
        <v>16</v>
      </c>
      <c r="E470" s="24" t="s">
        <v>111</v>
      </c>
      <c r="F470" s="27" t="s">
        <v>68</v>
      </c>
      <c r="G470" s="25">
        <v>0.1</v>
      </c>
      <c r="H470" s="25">
        <v>0.1</v>
      </c>
      <c r="I470" s="25">
        <v>0.1</v>
      </c>
    </row>
    <row r="471" spans="1:17" s="26" customFormat="1" x14ac:dyDescent="0.2">
      <c r="A471" s="28" t="s">
        <v>69</v>
      </c>
      <c r="B471" s="31">
        <v>915</v>
      </c>
      <c r="C471" s="24" t="s">
        <v>51</v>
      </c>
      <c r="D471" s="24" t="s">
        <v>16</v>
      </c>
      <c r="E471" s="24" t="s">
        <v>111</v>
      </c>
      <c r="F471" s="24" t="s">
        <v>70</v>
      </c>
      <c r="G471" s="25">
        <v>9.8000000000000007</v>
      </c>
      <c r="H471" s="25">
        <v>9.8000000000000007</v>
      </c>
      <c r="I471" s="25">
        <v>9.8000000000000007</v>
      </c>
    </row>
    <row r="472" spans="1:17" ht="51" x14ac:dyDescent="0.2">
      <c r="A472" s="18" t="s">
        <v>183</v>
      </c>
      <c r="B472" s="22">
        <v>915</v>
      </c>
      <c r="C472" s="19" t="s">
        <v>51</v>
      </c>
      <c r="D472" s="19" t="s">
        <v>16</v>
      </c>
      <c r="E472" s="19" t="s">
        <v>96</v>
      </c>
      <c r="F472" s="19"/>
      <c r="G472" s="20">
        <v>409.9</v>
      </c>
      <c r="H472" s="20">
        <v>409.9</v>
      </c>
      <c r="I472" s="20">
        <v>409.9</v>
      </c>
      <c r="J472" s="237"/>
      <c r="K472" s="237"/>
      <c r="L472" s="237"/>
      <c r="M472" s="237"/>
      <c r="N472" s="237"/>
      <c r="O472" s="237"/>
      <c r="P472" s="237"/>
      <c r="Q472" s="237"/>
    </row>
    <row r="473" spans="1:17" s="26" customFormat="1" ht="25.5" x14ac:dyDescent="0.2">
      <c r="A473" s="28" t="s">
        <v>76</v>
      </c>
      <c r="B473" s="23">
        <v>915</v>
      </c>
      <c r="C473" s="24" t="s">
        <v>51</v>
      </c>
      <c r="D473" s="24" t="s">
        <v>16</v>
      </c>
      <c r="E473" s="24" t="s">
        <v>96</v>
      </c>
      <c r="F473" s="27" t="s">
        <v>68</v>
      </c>
      <c r="G473" s="25">
        <v>5.5</v>
      </c>
      <c r="H473" s="25">
        <v>5.5</v>
      </c>
      <c r="I473" s="25">
        <v>5.5</v>
      </c>
    </row>
    <row r="474" spans="1:17" s="84" customFormat="1" x14ac:dyDescent="0.2">
      <c r="A474" s="87" t="s">
        <v>69</v>
      </c>
      <c r="B474" s="86">
        <v>915</v>
      </c>
      <c r="C474" s="82" t="s">
        <v>51</v>
      </c>
      <c r="D474" s="82" t="s">
        <v>16</v>
      </c>
      <c r="E474" s="82" t="s">
        <v>96</v>
      </c>
      <c r="F474" s="82" t="s">
        <v>70</v>
      </c>
      <c r="G474" s="62">
        <v>404.4</v>
      </c>
      <c r="H474" s="62">
        <v>404.4</v>
      </c>
      <c r="I474" s="62">
        <v>404.4</v>
      </c>
    </row>
    <row r="475" spans="1:17" ht="25.5" x14ac:dyDescent="0.2">
      <c r="A475" s="18" t="s">
        <v>272</v>
      </c>
      <c r="B475" s="22">
        <v>915</v>
      </c>
      <c r="C475" s="19" t="s">
        <v>51</v>
      </c>
      <c r="D475" s="19" t="s">
        <v>16</v>
      </c>
      <c r="E475" s="19" t="s">
        <v>106</v>
      </c>
      <c r="F475" s="19"/>
      <c r="G475" s="20">
        <v>94204</v>
      </c>
      <c r="H475" s="20">
        <v>94204</v>
      </c>
      <c r="I475" s="20">
        <v>94204</v>
      </c>
      <c r="J475" s="237"/>
      <c r="K475" s="237"/>
      <c r="L475" s="237"/>
      <c r="M475" s="237"/>
      <c r="N475" s="237"/>
      <c r="O475" s="237"/>
      <c r="P475" s="237"/>
      <c r="Q475" s="237"/>
    </row>
    <row r="476" spans="1:17" s="26" customFormat="1" ht="25.5" x14ac:dyDescent="0.2">
      <c r="A476" s="28" t="s">
        <v>76</v>
      </c>
      <c r="B476" s="23">
        <v>915</v>
      </c>
      <c r="C476" s="24" t="s">
        <v>51</v>
      </c>
      <c r="D476" s="24" t="s">
        <v>16</v>
      </c>
      <c r="E476" s="24" t="s">
        <v>106</v>
      </c>
      <c r="F476" s="27" t="s">
        <v>68</v>
      </c>
      <c r="G476" s="25">
        <v>545</v>
      </c>
      <c r="H476" s="25">
        <v>545</v>
      </c>
      <c r="I476" s="25">
        <v>545</v>
      </c>
    </row>
    <row r="477" spans="1:17" s="84" customFormat="1" x14ac:dyDescent="0.2">
      <c r="A477" s="87" t="s">
        <v>69</v>
      </c>
      <c r="B477" s="86">
        <v>915</v>
      </c>
      <c r="C477" s="82" t="s">
        <v>51</v>
      </c>
      <c r="D477" s="82" t="s">
        <v>16</v>
      </c>
      <c r="E477" s="82" t="s">
        <v>106</v>
      </c>
      <c r="F477" s="82" t="s">
        <v>70</v>
      </c>
      <c r="G477" s="62">
        <v>93659</v>
      </c>
      <c r="H477" s="62">
        <v>93659</v>
      </c>
      <c r="I477" s="62">
        <v>93659</v>
      </c>
    </row>
    <row r="478" spans="1:17" ht="127.5" x14ac:dyDescent="0.2">
      <c r="A478" s="18" t="s">
        <v>334</v>
      </c>
      <c r="B478" s="22">
        <v>915</v>
      </c>
      <c r="C478" s="19" t="s">
        <v>51</v>
      </c>
      <c r="D478" s="19" t="s">
        <v>16</v>
      </c>
      <c r="E478" s="19" t="s">
        <v>112</v>
      </c>
      <c r="F478" s="19"/>
      <c r="G478" s="20">
        <v>1.2</v>
      </c>
      <c r="H478" s="20">
        <v>1.2</v>
      </c>
      <c r="I478" s="20">
        <v>1.2</v>
      </c>
      <c r="J478" s="237"/>
      <c r="K478" s="237"/>
      <c r="L478" s="237"/>
      <c r="M478" s="237"/>
      <c r="N478" s="237"/>
      <c r="O478" s="237"/>
      <c r="P478" s="237"/>
      <c r="Q478" s="237"/>
    </row>
    <row r="479" spans="1:17" s="26" customFormat="1" x14ac:dyDescent="0.2">
      <c r="A479" s="28" t="s">
        <v>69</v>
      </c>
      <c r="B479" s="31">
        <v>915</v>
      </c>
      <c r="C479" s="24" t="s">
        <v>51</v>
      </c>
      <c r="D479" s="24" t="s">
        <v>16</v>
      </c>
      <c r="E479" s="24" t="s">
        <v>112</v>
      </c>
      <c r="F479" s="24" t="s">
        <v>70</v>
      </c>
      <c r="G479" s="25">
        <v>1.2</v>
      </c>
      <c r="H479" s="25">
        <v>1.2</v>
      </c>
      <c r="I479" s="25">
        <v>1.2</v>
      </c>
    </row>
    <row r="480" spans="1:17" ht="51" x14ac:dyDescent="0.2">
      <c r="A480" s="18" t="s">
        <v>335</v>
      </c>
      <c r="B480" s="22">
        <v>915</v>
      </c>
      <c r="C480" s="19" t="s">
        <v>51</v>
      </c>
      <c r="D480" s="19" t="s">
        <v>16</v>
      </c>
      <c r="E480" s="19" t="s">
        <v>115</v>
      </c>
      <c r="F480" s="19"/>
      <c r="G480" s="20">
        <v>19480</v>
      </c>
      <c r="H480" s="20">
        <v>19730</v>
      </c>
      <c r="I480" s="20">
        <v>19730</v>
      </c>
      <c r="J480" s="117"/>
      <c r="K480" s="117"/>
      <c r="L480" s="117"/>
      <c r="M480" s="117"/>
      <c r="N480" s="117"/>
      <c r="O480" s="117"/>
      <c r="P480" s="117"/>
      <c r="Q480" s="117"/>
    </row>
    <row r="481" spans="1:17" s="26" customFormat="1" ht="25.5" x14ac:dyDescent="0.2">
      <c r="A481" s="28" t="s">
        <v>76</v>
      </c>
      <c r="B481" s="23">
        <v>915</v>
      </c>
      <c r="C481" s="24" t="s">
        <v>51</v>
      </c>
      <c r="D481" s="24" t="s">
        <v>16</v>
      </c>
      <c r="E481" s="24" t="s">
        <v>115</v>
      </c>
      <c r="F481" s="27" t="s">
        <v>68</v>
      </c>
      <c r="G481" s="25">
        <v>287</v>
      </c>
      <c r="H481" s="25">
        <v>287</v>
      </c>
      <c r="I481" s="25">
        <v>287</v>
      </c>
    </row>
    <row r="482" spans="1:17" s="26" customFormat="1" x14ac:dyDescent="0.2">
      <c r="A482" s="28" t="s">
        <v>69</v>
      </c>
      <c r="B482" s="31">
        <v>915</v>
      </c>
      <c r="C482" s="24" t="s">
        <v>51</v>
      </c>
      <c r="D482" s="24" t="s">
        <v>16</v>
      </c>
      <c r="E482" s="24" t="s">
        <v>115</v>
      </c>
      <c r="F482" s="24" t="s">
        <v>70</v>
      </c>
      <c r="G482" s="25">
        <v>19193</v>
      </c>
      <c r="H482" s="25">
        <v>19443</v>
      </c>
      <c r="I482" s="25">
        <v>19443</v>
      </c>
      <c r="J482" s="118"/>
      <c r="K482" s="118"/>
      <c r="L482" s="118"/>
      <c r="M482" s="118"/>
      <c r="N482" s="118"/>
      <c r="O482" s="118"/>
      <c r="P482" s="118"/>
      <c r="Q482" s="118"/>
    </row>
    <row r="483" spans="1:17" ht="51" x14ac:dyDescent="0.2">
      <c r="A483" s="18" t="s">
        <v>275</v>
      </c>
      <c r="B483" s="22">
        <v>915</v>
      </c>
      <c r="C483" s="19" t="s">
        <v>51</v>
      </c>
      <c r="D483" s="19" t="s">
        <v>16</v>
      </c>
      <c r="E483" s="19" t="s">
        <v>110</v>
      </c>
      <c r="F483" s="19"/>
      <c r="G483" s="20">
        <v>86</v>
      </c>
      <c r="H483" s="20">
        <v>86</v>
      </c>
      <c r="I483" s="20">
        <v>86</v>
      </c>
      <c r="J483" s="237"/>
      <c r="K483" s="237"/>
      <c r="L483" s="237"/>
      <c r="M483" s="237"/>
      <c r="N483" s="237"/>
      <c r="O483" s="237"/>
      <c r="P483" s="237"/>
      <c r="Q483" s="237"/>
    </row>
    <row r="484" spans="1:17" s="26" customFormat="1" ht="25.5" x14ac:dyDescent="0.2">
      <c r="A484" s="28" t="s">
        <v>76</v>
      </c>
      <c r="B484" s="23">
        <v>915</v>
      </c>
      <c r="C484" s="24" t="s">
        <v>51</v>
      </c>
      <c r="D484" s="24" t="s">
        <v>16</v>
      </c>
      <c r="E484" s="24" t="s">
        <v>110</v>
      </c>
      <c r="F484" s="27" t="s">
        <v>68</v>
      </c>
      <c r="G484" s="25">
        <v>1.3</v>
      </c>
      <c r="H484" s="25">
        <v>1.3</v>
      </c>
      <c r="I484" s="25">
        <v>1.3</v>
      </c>
    </row>
    <row r="485" spans="1:17" s="26" customFormat="1" x14ac:dyDescent="0.2">
      <c r="A485" s="28" t="s">
        <v>69</v>
      </c>
      <c r="B485" s="31">
        <v>915</v>
      </c>
      <c r="C485" s="24" t="s">
        <v>51</v>
      </c>
      <c r="D485" s="24" t="s">
        <v>16</v>
      </c>
      <c r="E485" s="24" t="s">
        <v>110</v>
      </c>
      <c r="F485" s="24" t="s">
        <v>70</v>
      </c>
      <c r="G485" s="25">
        <v>84.7</v>
      </c>
      <c r="H485" s="25">
        <v>84.7</v>
      </c>
      <c r="I485" s="25">
        <v>84.7</v>
      </c>
    </row>
    <row r="486" spans="1:17" ht="76.5" x14ac:dyDescent="0.2">
      <c r="A486" s="18" t="s">
        <v>342</v>
      </c>
      <c r="B486" s="22">
        <v>915</v>
      </c>
      <c r="C486" s="19" t="s">
        <v>51</v>
      </c>
      <c r="D486" s="19" t="s">
        <v>16</v>
      </c>
      <c r="E486" s="19" t="s">
        <v>113</v>
      </c>
      <c r="F486" s="19"/>
      <c r="G486" s="20">
        <v>1133</v>
      </c>
      <c r="H486" s="20">
        <v>1153</v>
      </c>
      <c r="I486" s="20">
        <v>1153</v>
      </c>
      <c r="J486" s="117"/>
      <c r="K486" s="117"/>
      <c r="L486" s="117"/>
      <c r="M486" s="117"/>
      <c r="N486" s="117"/>
      <c r="O486" s="117"/>
      <c r="P486" s="117"/>
      <c r="Q486" s="117"/>
    </row>
    <row r="487" spans="1:17" s="26" customFormat="1" ht="25.5" x14ac:dyDescent="0.2">
      <c r="A487" s="28" t="s">
        <v>76</v>
      </c>
      <c r="B487" s="23">
        <v>915</v>
      </c>
      <c r="C487" s="24" t="s">
        <v>51</v>
      </c>
      <c r="D487" s="24" t="s">
        <v>16</v>
      </c>
      <c r="E487" s="24" t="s">
        <v>113</v>
      </c>
      <c r="F487" s="27" t="s">
        <v>68</v>
      </c>
      <c r="G487" s="25">
        <v>6.5</v>
      </c>
      <c r="H487" s="25">
        <v>6.5</v>
      </c>
      <c r="I487" s="25">
        <v>6.5</v>
      </c>
    </row>
    <row r="488" spans="1:17" s="26" customFormat="1" x14ac:dyDescent="0.2">
      <c r="A488" s="28" t="s">
        <v>69</v>
      </c>
      <c r="B488" s="31">
        <v>915</v>
      </c>
      <c r="C488" s="24" t="s">
        <v>51</v>
      </c>
      <c r="D488" s="24" t="s">
        <v>16</v>
      </c>
      <c r="E488" s="24" t="s">
        <v>113</v>
      </c>
      <c r="F488" s="24" t="s">
        <v>70</v>
      </c>
      <c r="G488" s="25">
        <v>1126.5</v>
      </c>
      <c r="H488" s="25">
        <v>1146.5</v>
      </c>
      <c r="I488" s="25">
        <v>1146.5</v>
      </c>
      <c r="J488" s="118"/>
      <c r="K488" s="118"/>
      <c r="L488" s="118"/>
      <c r="M488" s="118"/>
      <c r="N488" s="118"/>
      <c r="O488" s="118"/>
      <c r="P488" s="118"/>
      <c r="Q488" s="118"/>
    </row>
    <row r="489" spans="1:17" ht="51" x14ac:dyDescent="0.2">
      <c r="A489" s="18" t="s">
        <v>276</v>
      </c>
      <c r="B489" s="22">
        <v>915</v>
      </c>
      <c r="C489" s="19" t="s">
        <v>51</v>
      </c>
      <c r="D489" s="19" t="s">
        <v>16</v>
      </c>
      <c r="E489" s="19" t="s">
        <v>114</v>
      </c>
      <c r="F489" s="19"/>
      <c r="G489" s="20">
        <v>411.00000000000006</v>
      </c>
      <c r="H489" s="20">
        <v>392</v>
      </c>
      <c r="I489" s="20">
        <v>392</v>
      </c>
      <c r="J489" s="117"/>
      <c r="K489" s="117"/>
      <c r="L489" s="117"/>
      <c r="M489" s="117"/>
      <c r="N489" s="117"/>
      <c r="O489" s="117"/>
      <c r="P489" s="117"/>
      <c r="Q489" s="117"/>
    </row>
    <row r="490" spans="1:17" s="26" customFormat="1" ht="25.5" x14ac:dyDescent="0.2">
      <c r="A490" s="28" t="s">
        <v>76</v>
      </c>
      <c r="B490" s="23">
        <v>915</v>
      </c>
      <c r="C490" s="24" t="s">
        <v>51</v>
      </c>
      <c r="D490" s="24" t="s">
        <v>16</v>
      </c>
      <c r="E490" s="24" t="s">
        <v>114</v>
      </c>
      <c r="F490" s="27" t="s">
        <v>68</v>
      </c>
      <c r="G490" s="25">
        <v>7.8000000000000007</v>
      </c>
      <c r="H490" s="25">
        <v>7.4</v>
      </c>
      <c r="I490" s="25">
        <v>7.4</v>
      </c>
      <c r="J490" s="118"/>
      <c r="K490" s="118"/>
      <c r="L490" s="118"/>
      <c r="M490" s="118"/>
      <c r="N490" s="118"/>
      <c r="O490" s="118"/>
      <c r="P490" s="118"/>
      <c r="Q490" s="118"/>
    </row>
    <row r="491" spans="1:17" s="26" customFormat="1" x14ac:dyDescent="0.2">
      <c r="A491" s="28" t="s">
        <v>69</v>
      </c>
      <c r="B491" s="31">
        <v>915</v>
      </c>
      <c r="C491" s="24" t="s">
        <v>51</v>
      </c>
      <c r="D491" s="24" t="s">
        <v>16</v>
      </c>
      <c r="E491" s="24" t="s">
        <v>114</v>
      </c>
      <c r="F491" s="24" t="s">
        <v>70</v>
      </c>
      <c r="G491" s="25">
        <v>403.20000000000005</v>
      </c>
      <c r="H491" s="25">
        <v>384.6</v>
      </c>
      <c r="I491" s="25">
        <v>384.6</v>
      </c>
      <c r="J491" s="118"/>
      <c r="K491" s="118"/>
      <c r="L491" s="118"/>
      <c r="M491" s="118"/>
      <c r="N491" s="118"/>
      <c r="O491" s="118"/>
      <c r="P491" s="118"/>
      <c r="Q491" s="118"/>
    </row>
    <row r="492" spans="1:17" ht="102" customHeight="1" x14ac:dyDescent="0.2">
      <c r="A492" s="18" t="s">
        <v>457</v>
      </c>
      <c r="B492" s="22">
        <v>915</v>
      </c>
      <c r="C492" s="19" t="s">
        <v>51</v>
      </c>
      <c r="D492" s="19" t="s">
        <v>16</v>
      </c>
      <c r="E492" s="19" t="s">
        <v>116</v>
      </c>
      <c r="F492" s="19"/>
      <c r="G492" s="20">
        <v>99211</v>
      </c>
      <c r="H492" s="20">
        <v>99211</v>
      </c>
      <c r="I492" s="20">
        <v>99211</v>
      </c>
      <c r="J492" s="237"/>
      <c r="K492" s="237"/>
      <c r="L492" s="237"/>
      <c r="M492" s="237"/>
      <c r="N492" s="237"/>
      <c r="O492" s="237"/>
      <c r="P492" s="237"/>
      <c r="Q492" s="237"/>
    </row>
    <row r="493" spans="1:17" s="26" customFormat="1" ht="25.5" x14ac:dyDescent="0.2">
      <c r="A493" s="28" t="s">
        <v>76</v>
      </c>
      <c r="B493" s="23">
        <v>915</v>
      </c>
      <c r="C493" s="24" t="s">
        <v>51</v>
      </c>
      <c r="D493" s="24" t="s">
        <v>16</v>
      </c>
      <c r="E493" s="24" t="s">
        <v>116</v>
      </c>
      <c r="F493" s="27" t="s">
        <v>68</v>
      </c>
      <c r="G493" s="25">
        <v>931</v>
      </c>
      <c r="H493" s="25">
        <v>931</v>
      </c>
      <c r="I493" s="25">
        <v>931</v>
      </c>
    </row>
    <row r="494" spans="1:17" s="84" customFormat="1" x14ac:dyDescent="0.2">
      <c r="A494" s="87" t="s">
        <v>69</v>
      </c>
      <c r="B494" s="86">
        <v>915</v>
      </c>
      <c r="C494" s="82" t="s">
        <v>51</v>
      </c>
      <c r="D494" s="82" t="s">
        <v>16</v>
      </c>
      <c r="E494" s="82" t="s">
        <v>116</v>
      </c>
      <c r="F494" s="82" t="s">
        <v>70</v>
      </c>
      <c r="G494" s="62">
        <v>98280</v>
      </c>
      <c r="H494" s="62">
        <v>98280</v>
      </c>
      <c r="I494" s="62">
        <v>98280</v>
      </c>
    </row>
    <row r="495" spans="1:17" ht="76.5" x14ac:dyDescent="0.2">
      <c r="A495" s="18" t="s">
        <v>452</v>
      </c>
      <c r="B495" s="22">
        <v>915</v>
      </c>
      <c r="C495" s="19" t="s">
        <v>51</v>
      </c>
      <c r="D495" s="19" t="s">
        <v>16</v>
      </c>
      <c r="E495" s="19" t="s">
        <v>91</v>
      </c>
      <c r="F495" s="19"/>
      <c r="G495" s="20">
        <v>1455</v>
      </c>
      <c r="H495" s="20">
        <v>1656</v>
      </c>
      <c r="I495" s="20">
        <v>1656</v>
      </c>
      <c r="J495" s="117"/>
      <c r="K495" s="117"/>
      <c r="L495" s="117"/>
      <c r="M495" s="117"/>
      <c r="N495" s="117"/>
      <c r="O495" s="117"/>
      <c r="P495" s="117"/>
      <c r="Q495" s="117"/>
    </row>
    <row r="496" spans="1:17" s="84" customFormat="1" ht="25.5" x14ac:dyDescent="0.2">
      <c r="A496" s="87" t="s">
        <v>76</v>
      </c>
      <c r="B496" s="85">
        <v>915</v>
      </c>
      <c r="C496" s="82" t="s">
        <v>51</v>
      </c>
      <c r="D496" s="82" t="s">
        <v>16</v>
      </c>
      <c r="E496" s="82" t="s">
        <v>91</v>
      </c>
      <c r="F496" s="83" t="s">
        <v>68</v>
      </c>
      <c r="G496" s="62">
        <v>25</v>
      </c>
      <c r="H496" s="62">
        <v>25</v>
      </c>
      <c r="I496" s="62">
        <v>25</v>
      </c>
    </row>
    <row r="497" spans="1:17" s="26" customFormat="1" x14ac:dyDescent="0.2">
      <c r="A497" s="28" t="s">
        <v>69</v>
      </c>
      <c r="B497" s="31">
        <v>915</v>
      </c>
      <c r="C497" s="24" t="s">
        <v>51</v>
      </c>
      <c r="D497" s="24" t="s">
        <v>16</v>
      </c>
      <c r="E497" s="24" t="s">
        <v>91</v>
      </c>
      <c r="F497" s="24" t="s">
        <v>70</v>
      </c>
      <c r="G497" s="25">
        <v>1163.4000000000001</v>
      </c>
      <c r="H497" s="25">
        <v>1364.4</v>
      </c>
      <c r="I497" s="25">
        <v>1364.4</v>
      </c>
      <c r="J497" s="118"/>
      <c r="K497" s="118"/>
      <c r="L497" s="118"/>
      <c r="M497" s="118"/>
      <c r="N497" s="118"/>
      <c r="O497" s="118"/>
      <c r="P497" s="118"/>
      <c r="Q497" s="118"/>
    </row>
    <row r="498" spans="1:17" s="84" customFormat="1" x14ac:dyDescent="0.2">
      <c r="A498" s="87" t="s">
        <v>72</v>
      </c>
      <c r="B498" s="86">
        <v>915</v>
      </c>
      <c r="C498" s="82" t="s">
        <v>51</v>
      </c>
      <c r="D498" s="82" t="s">
        <v>16</v>
      </c>
      <c r="E498" s="77" t="s">
        <v>91</v>
      </c>
      <c r="F498" s="82" t="s">
        <v>73</v>
      </c>
      <c r="G498" s="62">
        <v>266.60000000000002</v>
      </c>
      <c r="H498" s="62">
        <v>266.60000000000002</v>
      </c>
      <c r="I498" s="62">
        <v>266.60000000000002</v>
      </c>
    </row>
    <row r="499" spans="1:17" s="74" customFormat="1" x14ac:dyDescent="0.2">
      <c r="A499" s="70" t="s">
        <v>56</v>
      </c>
      <c r="B499" s="71">
        <v>915</v>
      </c>
      <c r="C499" s="72" t="s">
        <v>51</v>
      </c>
      <c r="D499" s="72" t="s">
        <v>18</v>
      </c>
      <c r="E499" s="72"/>
      <c r="F499" s="72"/>
      <c r="G499" s="73">
        <v>144274</v>
      </c>
      <c r="H499" s="73">
        <v>129414</v>
      </c>
      <c r="I499" s="73">
        <v>133259</v>
      </c>
    </row>
    <row r="500" spans="1:17" ht="25.5" x14ac:dyDescent="0.2">
      <c r="A500" s="18" t="s">
        <v>437</v>
      </c>
      <c r="B500" s="22">
        <v>915</v>
      </c>
      <c r="C500" s="19" t="s">
        <v>51</v>
      </c>
      <c r="D500" s="19" t="s">
        <v>18</v>
      </c>
      <c r="E500" s="19" t="s">
        <v>431</v>
      </c>
      <c r="F500" s="19"/>
      <c r="G500" s="20">
        <v>19745</v>
      </c>
      <c r="H500" s="20">
        <v>33866</v>
      </c>
      <c r="I500" s="20">
        <v>35170</v>
      </c>
      <c r="J500" s="117"/>
      <c r="K500" s="117"/>
      <c r="L500" s="117"/>
      <c r="M500" s="117"/>
      <c r="N500" s="117"/>
      <c r="O500" s="117"/>
      <c r="P500" s="117"/>
      <c r="Q500" s="117"/>
    </row>
    <row r="501" spans="1:17" s="26" customFormat="1" ht="25.5" x14ac:dyDescent="0.2">
      <c r="A501" s="28" t="s">
        <v>76</v>
      </c>
      <c r="B501" s="31">
        <v>915</v>
      </c>
      <c r="C501" s="24" t="s">
        <v>51</v>
      </c>
      <c r="D501" s="24" t="s">
        <v>18</v>
      </c>
      <c r="E501" s="24" t="s">
        <v>431</v>
      </c>
      <c r="F501" s="24" t="s">
        <v>68</v>
      </c>
      <c r="G501" s="25">
        <v>0</v>
      </c>
      <c r="H501" s="25">
        <v>169.3</v>
      </c>
      <c r="I501" s="25">
        <v>175.9</v>
      </c>
      <c r="J501" s="118"/>
      <c r="K501" s="118"/>
      <c r="L501" s="118"/>
      <c r="M501" s="118"/>
      <c r="N501" s="118"/>
      <c r="O501" s="118"/>
      <c r="P501" s="118"/>
      <c r="Q501" s="118"/>
    </row>
    <row r="502" spans="1:17" s="26" customFormat="1" x14ac:dyDescent="0.2">
      <c r="A502" s="28" t="s">
        <v>69</v>
      </c>
      <c r="B502" s="31">
        <v>915</v>
      </c>
      <c r="C502" s="24" t="s">
        <v>51</v>
      </c>
      <c r="D502" s="24" t="s">
        <v>18</v>
      </c>
      <c r="E502" s="24" t="s">
        <v>431</v>
      </c>
      <c r="F502" s="24" t="s">
        <v>70</v>
      </c>
      <c r="G502" s="25">
        <v>19745</v>
      </c>
      <c r="H502" s="25">
        <v>33696.699999999997</v>
      </c>
      <c r="I502" s="25">
        <v>34994.1</v>
      </c>
      <c r="J502" s="118"/>
      <c r="K502" s="118"/>
      <c r="L502" s="118"/>
      <c r="M502" s="118"/>
      <c r="N502" s="118"/>
      <c r="O502" s="118"/>
      <c r="P502" s="118"/>
      <c r="Q502" s="118"/>
    </row>
    <row r="503" spans="1:17" ht="51" x14ac:dyDescent="0.2">
      <c r="A503" s="54" t="s">
        <v>434</v>
      </c>
      <c r="B503" s="49">
        <v>915</v>
      </c>
      <c r="C503" s="19" t="s">
        <v>51</v>
      </c>
      <c r="D503" s="19" t="s">
        <v>18</v>
      </c>
      <c r="E503" s="19" t="s">
        <v>430</v>
      </c>
      <c r="F503" s="19"/>
      <c r="G503" s="20">
        <v>40930</v>
      </c>
      <c r="H503" s="20">
        <v>7239</v>
      </c>
      <c r="I503" s="20">
        <v>7528</v>
      </c>
      <c r="J503" s="237"/>
      <c r="K503" s="237"/>
      <c r="L503" s="237"/>
      <c r="M503" s="237"/>
      <c r="N503" s="237"/>
      <c r="O503" s="237"/>
      <c r="P503" s="237"/>
      <c r="Q503" s="237"/>
    </row>
    <row r="504" spans="1:17" x14ac:dyDescent="0.2">
      <c r="A504" s="28" t="s">
        <v>69</v>
      </c>
      <c r="B504" s="22">
        <v>915</v>
      </c>
      <c r="C504" s="24" t="s">
        <v>51</v>
      </c>
      <c r="D504" s="24" t="s">
        <v>18</v>
      </c>
      <c r="E504" s="19" t="s">
        <v>430</v>
      </c>
      <c r="F504" s="24" t="s">
        <v>70</v>
      </c>
      <c r="G504" s="25">
        <v>40930</v>
      </c>
      <c r="H504" s="25">
        <v>7239</v>
      </c>
      <c r="I504" s="25">
        <v>7528</v>
      </c>
      <c r="J504" s="237"/>
      <c r="K504" s="237"/>
      <c r="L504" s="237"/>
      <c r="M504" s="237"/>
      <c r="N504" s="237"/>
      <c r="O504" s="237"/>
      <c r="P504" s="237"/>
      <c r="Q504" s="237"/>
    </row>
    <row r="505" spans="1:17" ht="89.25" x14ac:dyDescent="0.2">
      <c r="A505" s="18" t="s">
        <v>278</v>
      </c>
      <c r="B505" s="22">
        <v>915</v>
      </c>
      <c r="C505" s="19" t="s">
        <v>51</v>
      </c>
      <c r="D505" s="19" t="s">
        <v>18</v>
      </c>
      <c r="E505" s="19" t="s">
        <v>101</v>
      </c>
      <c r="F505" s="19"/>
      <c r="G505" s="20">
        <v>749</v>
      </c>
      <c r="H505" s="20">
        <v>309</v>
      </c>
      <c r="I505" s="20">
        <v>321</v>
      </c>
      <c r="J505" s="117"/>
      <c r="K505" s="117"/>
      <c r="L505" s="117"/>
      <c r="M505" s="117"/>
      <c r="N505" s="117"/>
      <c r="O505" s="117"/>
      <c r="P505" s="117"/>
      <c r="Q505" s="117"/>
    </row>
    <row r="506" spans="1:17" s="26" customFormat="1" x14ac:dyDescent="0.2">
      <c r="A506" s="28" t="s">
        <v>69</v>
      </c>
      <c r="B506" s="31">
        <v>915</v>
      </c>
      <c r="C506" s="24" t="s">
        <v>51</v>
      </c>
      <c r="D506" s="24" t="s">
        <v>18</v>
      </c>
      <c r="E506" s="24" t="s">
        <v>101</v>
      </c>
      <c r="F506" s="24" t="s">
        <v>70</v>
      </c>
      <c r="G506" s="25">
        <v>749</v>
      </c>
      <c r="H506" s="25">
        <v>309</v>
      </c>
      <c r="I506" s="25">
        <v>321</v>
      </c>
      <c r="J506" s="118"/>
      <c r="K506" s="118"/>
      <c r="L506" s="118"/>
      <c r="M506" s="118"/>
      <c r="N506" s="118"/>
      <c r="O506" s="118"/>
      <c r="P506" s="118"/>
      <c r="Q506" s="118"/>
    </row>
    <row r="507" spans="1:17" ht="102" x14ac:dyDescent="0.2">
      <c r="A507" s="18" t="s">
        <v>279</v>
      </c>
      <c r="B507" s="22">
        <v>915</v>
      </c>
      <c r="C507" s="19" t="s">
        <v>51</v>
      </c>
      <c r="D507" s="19" t="s">
        <v>18</v>
      </c>
      <c r="E507" s="19" t="s">
        <v>105</v>
      </c>
      <c r="F507" s="19"/>
      <c r="G507" s="20">
        <v>52961</v>
      </c>
      <c r="H507" s="20">
        <v>58103</v>
      </c>
      <c r="I507" s="20">
        <v>60334</v>
      </c>
      <c r="J507" s="117"/>
      <c r="K507" s="117"/>
      <c r="L507" s="117"/>
      <c r="M507" s="117"/>
      <c r="N507" s="117"/>
      <c r="O507" s="117"/>
      <c r="P507" s="117"/>
      <c r="Q507" s="117"/>
    </row>
    <row r="508" spans="1:17" s="26" customFormat="1" ht="25.5" x14ac:dyDescent="0.2">
      <c r="A508" s="28" t="s">
        <v>76</v>
      </c>
      <c r="B508" s="23">
        <v>915</v>
      </c>
      <c r="C508" s="24" t="s">
        <v>51</v>
      </c>
      <c r="D508" s="24" t="s">
        <v>18</v>
      </c>
      <c r="E508" s="19" t="s">
        <v>105</v>
      </c>
      <c r="F508" s="27" t="s">
        <v>68</v>
      </c>
      <c r="G508" s="25">
        <v>1</v>
      </c>
      <c r="H508" s="25">
        <v>1</v>
      </c>
      <c r="I508" s="25">
        <v>1</v>
      </c>
    </row>
    <row r="509" spans="1:17" s="26" customFormat="1" x14ac:dyDescent="0.2">
      <c r="A509" s="28" t="s">
        <v>69</v>
      </c>
      <c r="B509" s="31">
        <v>915</v>
      </c>
      <c r="C509" s="24" t="s">
        <v>51</v>
      </c>
      <c r="D509" s="24" t="s">
        <v>18</v>
      </c>
      <c r="E509" s="19" t="s">
        <v>105</v>
      </c>
      <c r="F509" s="24" t="s">
        <v>70</v>
      </c>
      <c r="G509" s="25">
        <v>52960</v>
      </c>
      <c r="H509" s="25">
        <v>58102</v>
      </c>
      <c r="I509" s="25">
        <v>60333</v>
      </c>
      <c r="J509" s="118"/>
      <c r="K509" s="118"/>
      <c r="L509" s="118"/>
      <c r="M509" s="118"/>
      <c r="N509" s="118"/>
      <c r="O509" s="118"/>
      <c r="P509" s="118"/>
      <c r="Q509" s="118"/>
    </row>
    <row r="510" spans="1:17" ht="38.25" x14ac:dyDescent="0.2">
      <c r="A510" s="54" t="s">
        <v>338</v>
      </c>
      <c r="B510" s="49">
        <v>915</v>
      </c>
      <c r="C510" s="19" t="s">
        <v>51</v>
      </c>
      <c r="D510" s="19" t="s">
        <v>18</v>
      </c>
      <c r="E510" s="19" t="s">
        <v>374</v>
      </c>
      <c r="F510" s="19"/>
      <c r="G510" s="20">
        <v>205</v>
      </c>
      <c r="H510" s="20">
        <v>213</v>
      </c>
      <c r="I510" s="20">
        <v>222</v>
      </c>
      <c r="J510" s="237"/>
      <c r="K510" s="237"/>
      <c r="L510" s="237"/>
      <c r="M510" s="237"/>
      <c r="N510" s="237"/>
      <c r="O510" s="237"/>
      <c r="P510" s="237"/>
      <c r="Q510" s="237"/>
    </row>
    <row r="511" spans="1:17" s="26" customFormat="1" ht="25.5" x14ac:dyDescent="0.2">
      <c r="A511" s="28" t="s">
        <v>76</v>
      </c>
      <c r="B511" s="23">
        <v>915</v>
      </c>
      <c r="C511" s="24" t="s">
        <v>51</v>
      </c>
      <c r="D511" s="24" t="s">
        <v>18</v>
      </c>
      <c r="E511" s="24" t="s">
        <v>374</v>
      </c>
      <c r="F511" s="27" t="s">
        <v>68</v>
      </c>
      <c r="G511" s="25">
        <v>205</v>
      </c>
      <c r="H511" s="25">
        <v>213</v>
      </c>
      <c r="I511" s="25">
        <v>222</v>
      </c>
    </row>
    <row r="512" spans="1:17" ht="39" customHeight="1" x14ac:dyDescent="0.2">
      <c r="A512" s="18" t="s">
        <v>336</v>
      </c>
      <c r="B512" s="22">
        <v>915</v>
      </c>
      <c r="C512" s="19" t="s">
        <v>51</v>
      </c>
      <c r="D512" s="19" t="s">
        <v>18</v>
      </c>
      <c r="E512" s="19" t="s">
        <v>107</v>
      </c>
      <c r="F512" s="19"/>
      <c r="G512" s="20">
        <v>29684</v>
      </c>
      <c r="H512" s="20">
        <v>29684</v>
      </c>
      <c r="I512" s="20">
        <v>29684</v>
      </c>
      <c r="J512" s="237"/>
      <c r="K512" s="237"/>
      <c r="L512" s="237"/>
      <c r="M512" s="237"/>
      <c r="N512" s="237"/>
      <c r="O512" s="237"/>
      <c r="P512" s="237"/>
      <c r="Q512" s="237"/>
    </row>
    <row r="513" spans="1:17" s="26" customFormat="1" ht="25.5" x14ac:dyDescent="0.2">
      <c r="A513" s="28" t="s">
        <v>76</v>
      </c>
      <c r="B513" s="23">
        <v>915</v>
      </c>
      <c r="C513" s="24" t="s">
        <v>51</v>
      </c>
      <c r="D513" s="24" t="s">
        <v>18</v>
      </c>
      <c r="E513" s="24" t="s">
        <v>107</v>
      </c>
      <c r="F513" s="27" t="s">
        <v>68</v>
      </c>
      <c r="G513" s="25">
        <v>1</v>
      </c>
      <c r="H513" s="25">
        <v>1</v>
      </c>
      <c r="I513" s="25">
        <v>1</v>
      </c>
    </row>
    <row r="514" spans="1:17" s="26" customFormat="1" x14ac:dyDescent="0.2">
      <c r="A514" s="28" t="s">
        <v>69</v>
      </c>
      <c r="B514" s="31">
        <v>915</v>
      </c>
      <c r="C514" s="24" t="s">
        <v>51</v>
      </c>
      <c r="D514" s="24" t="s">
        <v>18</v>
      </c>
      <c r="E514" s="24" t="s">
        <v>107</v>
      </c>
      <c r="F514" s="24" t="s">
        <v>70</v>
      </c>
      <c r="G514" s="25">
        <v>29683</v>
      </c>
      <c r="H514" s="25">
        <v>29683</v>
      </c>
      <c r="I514" s="25">
        <v>29683</v>
      </c>
    </row>
    <row r="515" spans="1:17" s="9" customFormat="1" x14ac:dyDescent="0.2">
      <c r="A515" s="11" t="s">
        <v>57</v>
      </c>
      <c r="B515" s="14">
        <v>915</v>
      </c>
      <c r="C515" s="8" t="s">
        <v>51</v>
      </c>
      <c r="D515" s="8" t="s">
        <v>50</v>
      </c>
      <c r="E515" s="8"/>
      <c r="F515" s="8"/>
      <c r="G515" s="4">
        <v>38598.799999999996</v>
      </c>
      <c r="H515" s="4">
        <v>27010.199999999997</v>
      </c>
      <c r="I515" s="4">
        <v>27010.199999999997</v>
      </c>
      <c r="J515" s="4" t="e">
        <f>J518+J521+J527+J525+J536+J523+J533+#REF!</f>
        <v>#REF!</v>
      </c>
      <c r="K515" s="4" t="e">
        <f>K518+K521+K527+K525+K536+K523+K533+#REF!</f>
        <v>#REF!</v>
      </c>
      <c r="L515" s="4" t="e">
        <f>L518+L521+L527+L525+L536+L523+L533+#REF!</f>
        <v>#REF!</v>
      </c>
      <c r="M515" s="4" t="e">
        <f>M518+M521+M527+M525+M536+M523+M533+#REF!</f>
        <v>#REF!</v>
      </c>
      <c r="N515" s="4" t="e">
        <f>N518+N521+N527+N525+N536+N523+N533+#REF!</f>
        <v>#REF!</v>
      </c>
      <c r="O515" s="4" t="e">
        <f>O518+O521+O527+O525+O536+O523+O533+#REF!</f>
        <v>#REF!</v>
      </c>
      <c r="P515" s="4" t="e">
        <f>P518+P521+P527+P525+P536+P523+P533+#REF!</f>
        <v>#REF!</v>
      </c>
      <c r="Q515" s="4" t="e">
        <f>Q518+Q521+Q527+Q525+Q536+Q523+Q533+#REF!</f>
        <v>#REF!</v>
      </c>
    </row>
    <row r="516" spans="1:17" ht="38.25" x14ac:dyDescent="0.2">
      <c r="A516" s="18" t="s">
        <v>730</v>
      </c>
      <c r="B516" s="22">
        <v>915</v>
      </c>
      <c r="C516" s="19" t="s">
        <v>51</v>
      </c>
      <c r="D516" s="19" t="s">
        <v>50</v>
      </c>
      <c r="E516" s="19" t="s">
        <v>731</v>
      </c>
      <c r="F516" s="19"/>
      <c r="G516" s="20">
        <v>200</v>
      </c>
      <c r="H516" s="20">
        <v>0</v>
      </c>
      <c r="I516" s="20">
        <v>0</v>
      </c>
      <c r="J516" s="117"/>
      <c r="K516" s="117"/>
      <c r="L516" s="117"/>
      <c r="M516" s="117"/>
      <c r="N516" s="117"/>
      <c r="O516" s="117"/>
      <c r="P516" s="117"/>
      <c r="Q516" s="117"/>
    </row>
    <row r="517" spans="1:17" s="26" customFormat="1" ht="25.5" x14ac:dyDescent="0.2">
      <c r="A517" s="28" t="s">
        <v>76</v>
      </c>
      <c r="B517" s="31">
        <v>915</v>
      </c>
      <c r="C517" s="24" t="s">
        <v>51</v>
      </c>
      <c r="D517" s="24" t="s">
        <v>50</v>
      </c>
      <c r="E517" s="24" t="s">
        <v>731</v>
      </c>
      <c r="F517" s="24" t="s">
        <v>68</v>
      </c>
      <c r="G517" s="25">
        <v>200</v>
      </c>
      <c r="H517" s="25">
        <v>0</v>
      </c>
      <c r="I517" s="25">
        <v>0</v>
      </c>
      <c r="J517" s="118"/>
      <c r="K517" s="118"/>
      <c r="L517" s="118"/>
      <c r="M517" s="118"/>
      <c r="N517" s="118"/>
      <c r="O517" s="118"/>
      <c r="P517" s="118"/>
      <c r="Q517" s="118"/>
    </row>
    <row r="518" spans="1:17" x14ac:dyDescent="0.2">
      <c r="A518" s="18" t="s">
        <v>280</v>
      </c>
      <c r="B518" s="22">
        <v>915</v>
      </c>
      <c r="C518" s="19" t="s">
        <v>51</v>
      </c>
      <c r="D518" s="19" t="s">
        <v>50</v>
      </c>
      <c r="E518" s="19" t="s">
        <v>281</v>
      </c>
      <c r="F518" s="19"/>
      <c r="G518" s="20">
        <v>1885.7</v>
      </c>
      <c r="H518" s="20">
        <v>0</v>
      </c>
      <c r="I518" s="20">
        <v>0</v>
      </c>
      <c r="J518" s="117"/>
      <c r="K518" s="117"/>
      <c r="L518" s="117"/>
      <c r="M518" s="117"/>
      <c r="N518" s="117"/>
      <c r="O518" s="117"/>
      <c r="P518" s="117"/>
      <c r="Q518" s="117"/>
    </row>
    <row r="519" spans="1:17" s="26" customFormat="1" ht="25.5" x14ac:dyDescent="0.2">
      <c r="A519" s="28" t="s">
        <v>76</v>
      </c>
      <c r="B519" s="31">
        <v>915</v>
      </c>
      <c r="C519" s="24" t="s">
        <v>51</v>
      </c>
      <c r="D519" s="24" t="s">
        <v>50</v>
      </c>
      <c r="E519" s="24" t="s">
        <v>281</v>
      </c>
      <c r="F519" s="24" t="s">
        <v>68</v>
      </c>
      <c r="G519" s="25">
        <v>1399.7</v>
      </c>
      <c r="H519" s="25">
        <v>0</v>
      </c>
      <c r="I519" s="25">
        <v>0</v>
      </c>
      <c r="J519" s="118"/>
      <c r="K519" s="118"/>
      <c r="L519" s="118"/>
      <c r="M519" s="118"/>
      <c r="N519" s="118"/>
      <c r="O519" s="118"/>
      <c r="P519" s="118"/>
      <c r="Q519" s="118"/>
    </row>
    <row r="520" spans="1:17" s="79" customFormat="1" x14ac:dyDescent="0.2">
      <c r="A520" s="87" t="s">
        <v>69</v>
      </c>
      <c r="B520" s="85">
        <v>915</v>
      </c>
      <c r="C520" s="82" t="s">
        <v>51</v>
      </c>
      <c r="D520" s="82" t="s">
        <v>50</v>
      </c>
      <c r="E520" s="82" t="s">
        <v>281</v>
      </c>
      <c r="F520" s="83" t="s">
        <v>70</v>
      </c>
      <c r="G520" s="62">
        <v>486</v>
      </c>
      <c r="H520" s="62">
        <v>0</v>
      </c>
      <c r="I520" s="62">
        <v>0</v>
      </c>
    </row>
    <row r="521" spans="1:17" x14ac:dyDescent="0.2">
      <c r="A521" s="18" t="s">
        <v>282</v>
      </c>
      <c r="B521" s="22">
        <v>915</v>
      </c>
      <c r="C521" s="19" t="s">
        <v>51</v>
      </c>
      <c r="D521" s="19" t="s">
        <v>50</v>
      </c>
      <c r="E521" s="19" t="s">
        <v>283</v>
      </c>
      <c r="F521" s="19"/>
      <c r="G521" s="20">
        <v>976.2</v>
      </c>
      <c r="H521" s="20">
        <v>0</v>
      </c>
      <c r="I521" s="20">
        <v>0</v>
      </c>
      <c r="J521" s="117"/>
      <c r="K521" s="117"/>
      <c r="L521" s="117"/>
      <c r="M521" s="117"/>
      <c r="N521" s="117"/>
      <c r="O521" s="117"/>
      <c r="P521" s="117"/>
      <c r="Q521" s="117"/>
    </row>
    <row r="522" spans="1:17" s="26" customFormat="1" ht="25.5" x14ac:dyDescent="0.2">
      <c r="A522" s="28" t="s">
        <v>141</v>
      </c>
      <c r="B522" s="31">
        <v>915</v>
      </c>
      <c r="C522" s="24" t="s">
        <v>51</v>
      </c>
      <c r="D522" s="24" t="s">
        <v>50</v>
      </c>
      <c r="E522" s="24" t="s">
        <v>283</v>
      </c>
      <c r="F522" s="24" t="s">
        <v>65</v>
      </c>
      <c r="G522" s="25">
        <v>976.2</v>
      </c>
      <c r="H522" s="62">
        <v>0</v>
      </c>
      <c r="I522" s="62">
        <v>0</v>
      </c>
      <c r="J522" s="118"/>
      <c r="K522" s="118"/>
      <c r="L522" s="118"/>
      <c r="M522" s="118"/>
      <c r="N522" s="118"/>
      <c r="O522" s="118"/>
      <c r="P522" s="118"/>
      <c r="Q522" s="118"/>
    </row>
    <row r="523" spans="1:17" x14ac:dyDescent="0.2">
      <c r="A523" s="18" t="s">
        <v>322</v>
      </c>
      <c r="B523" s="22">
        <v>915</v>
      </c>
      <c r="C523" s="19" t="s">
        <v>51</v>
      </c>
      <c r="D523" s="19" t="s">
        <v>50</v>
      </c>
      <c r="E523" s="19" t="s">
        <v>323</v>
      </c>
      <c r="F523" s="19"/>
      <c r="G523" s="20">
        <v>120</v>
      </c>
      <c r="H523" s="20">
        <v>0</v>
      </c>
      <c r="I523" s="20">
        <v>0</v>
      </c>
      <c r="J523" s="117"/>
      <c r="K523" s="117"/>
      <c r="L523" s="117"/>
      <c r="M523" s="117"/>
      <c r="N523" s="117"/>
      <c r="O523" s="117"/>
      <c r="P523" s="117"/>
      <c r="Q523" s="117"/>
    </row>
    <row r="524" spans="1:17" s="26" customFormat="1" x14ac:dyDescent="0.2">
      <c r="A524" s="28" t="s">
        <v>72</v>
      </c>
      <c r="B524" s="31">
        <v>915</v>
      </c>
      <c r="C524" s="24" t="s">
        <v>51</v>
      </c>
      <c r="D524" s="24" t="s">
        <v>50</v>
      </c>
      <c r="E524" s="24" t="s">
        <v>323</v>
      </c>
      <c r="F524" s="24" t="s">
        <v>73</v>
      </c>
      <c r="G524" s="25">
        <v>120</v>
      </c>
      <c r="H524" s="25">
        <v>0</v>
      </c>
      <c r="I524" s="25">
        <v>0</v>
      </c>
      <c r="J524" s="118"/>
      <c r="K524" s="118"/>
      <c r="L524" s="118"/>
      <c r="M524" s="118"/>
      <c r="N524" s="118"/>
      <c r="O524" s="118"/>
      <c r="P524" s="118"/>
      <c r="Q524" s="118"/>
    </row>
    <row r="525" spans="1:17" s="79" customFormat="1" ht="25.5" x14ac:dyDescent="0.2">
      <c r="A525" s="75" t="s">
        <v>417</v>
      </c>
      <c r="B525" s="76">
        <v>915</v>
      </c>
      <c r="C525" s="77" t="s">
        <v>51</v>
      </c>
      <c r="D525" s="77" t="s">
        <v>50</v>
      </c>
      <c r="E525" s="77" t="s">
        <v>416</v>
      </c>
      <c r="F525" s="77"/>
      <c r="G525" s="78">
        <v>17.8</v>
      </c>
      <c r="H525" s="78">
        <v>0</v>
      </c>
      <c r="I525" s="78">
        <v>0</v>
      </c>
    </row>
    <row r="526" spans="1:17" s="84" customFormat="1" ht="25.5" x14ac:dyDescent="0.2">
      <c r="A526" s="28" t="s">
        <v>76</v>
      </c>
      <c r="B526" s="86">
        <v>915</v>
      </c>
      <c r="C526" s="82" t="s">
        <v>51</v>
      </c>
      <c r="D526" s="82" t="s">
        <v>50</v>
      </c>
      <c r="E526" s="82" t="s">
        <v>416</v>
      </c>
      <c r="F526" s="82" t="s">
        <v>68</v>
      </c>
      <c r="G526" s="62">
        <v>17.8</v>
      </c>
      <c r="H526" s="62">
        <v>0</v>
      </c>
      <c r="I526" s="62">
        <v>0</v>
      </c>
    </row>
    <row r="527" spans="1:17" ht="38.25" x14ac:dyDescent="0.2">
      <c r="A527" s="18" t="s">
        <v>284</v>
      </c>
      <c r="B527" s="22">
        <v>915</v>
      </c>
      <c r="C527" s="19" t="s">
        <v>51</v>
      </c>
      <c r="D527" s="19" t="s">
        <v>50</v>
      </c>
      <c r="E527" s="19" t="s">
        <v>99</v>
      </c>
      <c r="F527" s="19"/>
      <c r="G527" s="20">
        <v>27193.799999999996</v>
      </c>
      <c r="H527" s="20">
        <v>27010.199999999997</v>
      </c>
      <c r="I527" s="20">
        <v>27010.199999999997</v>
      </c>
      <c r="J527" s="117"/>
      <c r="K527" s="117"/>
      <c r="L527" s="117"/>
      <c r="M527" s="117"/>
      <c r="N527" s="117"/>
      <c r="O527" s="117"/>
      <c r="P527" s="117"/>
      <c r="Q527" s="117"/>
    </row>
    <row r="528" spans="1:17" s="26" customFormat="1" ht="51.75" customHeight="1" x14ac:dyDescent="0.2">
      <c r="A528" s="23" t="s">
        <v>66</v>
      </c>
      <c r="B528" s="31">
        <v>915</v>
      </c>
      <c r="C528" s="24" t="s">
        <v>51</v>
      </c>
      <c r="D528" s="24" t="s">
        <v>50</v>
      </c>
      <c r="E528" s="24" t="s">
        <v>99</v>
      </c>
      <c r="F528" s="27" t="s">
        <v>67</v>
      </c>
      <c r="G528" s="25">
        <v>25952.199999999997</v>
      </c>
      <c r="H528" s="25">
        <v>25914.199999999997</v>
      </c>
      <c r="I528" s="25">
        <v>25914.199999999997</v>
      </c>
    </row>
    <row r="529" spans="1:17" s="26" customFormat="1" ht="25.5" x14ac:dyDescent="0.2">
      <c r="A529" s="28" t="s">
        <v>76</v>
      </c>
      <c r="B529" s="31">
        <v>915</v>
      </c>
      <c r="C529" s="24" t="s">
        <v>51</v>
      </c>
      <c r="D529" s="24" t="s">
        <v>50</v>
      </c>
      <c r="E529" s="24" t="s">
        <v>99</v>
      </c>
      <c r="F529" s="27" t="s">
        <v>68</v>
      </c>
      <c r="G529" s="25">
        <v>1234</v>
      </c>
      <c r="H529" s="25">
        <v>1088.4000000000001</v>
      </c>
      <c r="I529" s="25">
        <v>1088.4000000000001</v>
      </c>
      <c r="J529" s="118"/>
      <c r="K529" s="118"/>
      <c r="L529" s="118"/>
      <c r="M529" s="118"/>
      <c r="N529" s="118"/>
      <c r="O529" s="118"/>
      <c r="P529" s="118"/>
      <c r="Q529" s="118"/>
    </row>
    <row r="530" spans="1:17" s="84" customFormat="1" x14ac:dyDescent="0.2">
      <c r="A530" s="87" t="s">
        <v>72</v>
      </c>
      <c r="B530" s="86">
        <v>915</v>
      </c>
      <c r="C530" s="82" t="s">
        <v>51</v>
      </c>
      <c r="D530" s="82" t="s">
        <v>50</v>
      </c>
      <c r="E530" s="82" t="s">
        <v>99</v>
      </c>
      <c r="F530" s="82" t="s">
        <v>73</v>
      </c>
      <c r="G530" s="62">
        <v>7.6</v>
      </c>
      <c r="H530" s="62">
        <v>7.6</v>
      </c>
      <c r="I530" s="62">
        <v>7.6</v>
      </c>
    </row>
    <row r="531" spans="1:17" ht="25.5" x14ac:dyDescent="0.2">
      <c r="A531" s="18" t="s">
        <v>678</v>
      </c>
      <c r="B531" s="22">
        <v>915</v>
      </c>
      <c r="C531" s="19" t="s">
        <v>51</v>
      </c>
      <c r="D531" s="19" t="s">
        <v>50</v>
      </c>
      <c r="E531" s="19" t="s">
        <v>679</v>
      </c>
      <c r="F531" s="19"/>
      <c r="G531" s="20">
        <v>7725.3</v>
      </c>
      <c r="H531" s="20">
        <v>0</v>
      </c>
      <c r="I531" s="20">
        <v>0</v>
      </c>
      <c r="J531" s="117"/>
      <c r="K531" s="117"/>
      <c r="L531" s="117"/>
      <c r="M531" s="117"/>
      <c r="N531" s="117"/>
      <c r="O531" s="117"/>
      <c r="P531" s="117"/>
      <c r="Q531" s="117"/>
    </row>
    <row r="532" spans="1:17" s="9" customFormat="1" ht="25.5" x14ac:dyDescent="0.2">
      <c r="A532" s="28" t="s">
        <v>141</v>
      </c>
      <c r="B532" s="22">
        <v>915</v>
      </c>
      <c r="C532" s="19" t="s">
        <v>51</v>
      </c>
      <c r="D532" s="19" t="s">
        <v>50</v>
      </c>
      <c r="E532" s="19" t="s">
        <v>679</v>
      </c>
      <c r="F532" s="19" t="s">
        <v>65</v>
      </c>
      <c r="G532" s="20">
        <v>7725.3</v>
      </c>
      <c r="H532" s="20">
        <v>0</v>
      </c>
      <c r="I532" s="20">
        <v>0</v>
      </c>
      <c r="J532" s="127"/>
      <c r="K532" s="127"/>
      <c r="L532" s="127"/>
      <c r="M532" s="127"/>
      <c r="N532" s="127"/>
      <c r="O532" s="127"/>
      <c r="P532" s="127"/>
      <c r="Q532" s="127"/>
    </row>
    <row r="533" spans="1:17" x14ac:dyDescent="0.2">
      <c r="A533" s="18" t="s">
        <v>177</v>
      </c>
      <c r="B533" s="18">
        <v>915</v>
      </c>
      <c r="C533" s="19" t="s">
        <v>51</v>
      </c>
      <c r="D533" s="19" t="s">
        <v>50</v>
      </c>
      <c r="E533" s="16" t="s">
        <v>178</v>
      </c>
      <c r="F533" s="19"/>
      <c r="G533" s="4">
        <v>450</v>
      </c>
      <c r="H533" s="4">
        <v>0</v>
      </c>
      <c r="I533" s="4">
        <v>0</v>
      </c>
      <c r="J533" s="117"/>
      <c r="K533" s="117"/>
      <c r="L533" s="117"/>
      <c r="M533" s="117"/>
      <c r="N533" s="117"/>
      <c r="O533" s="117"/>
      <c r="P533" s="117"/>
      <c r="Q533" s="117"/>
    </row>
    <row r="534" spans="1:17" ht="25.5" x14ac:dyDescent="0.2">
      <c r="A534" s="28" t="s">
        <v>76</v>
      </c>
      <c r="B534" s="18">
        <v>915</v>
      </c>
      <c r="C534" s="24" t="s">
        <v>51</v>
      </c>
      <c r="D534" s="24" t="s">
        <v>50</v>
      </c>
      <c r="E534" s="24" t="s">
        <v>178</v>
      </c>
      <c r="F534" s="24" t="s">
        <v>68</v>
      </c>
      <c r="G534" s="20">
        <v>60</v>
      </c>
      <c r="H534" s="25">
        <v>0</v>
      </c>
      <c r="I534" s="25">
        <v>0</v>
      </c>
      <c r="J534" s="117"/>
      <c r="K534" s="117"/>
      <c r="L534" s="117"/>
      <c r="M534" s="117"/>
      <c r="N534" s="117"/>
      <c r="O534" s="117"/>
      <c r="P534" s="117"/>
      <c r="Q534" s="117"/>
    </row>
    <row r="535" spans="1:17" x14ac:dyDescent="0.2">
      <c r="A535" s="28" t="s">
        <v>69</v>
      </c>
      <c r="B535" s="18">
        <v>915</v>
      </c>
      <c r="C535" s="24" t="s">
        <v>51</v>
      </c>
      <c r="D535" s="24" t="s">
        <v>50</v>
      </c>
      <c r="E535" s="24" t="s">
        <v>178</v>
      </c>
      <c r="F535" s="24" t="s">
        <v>70</v>
      </c>
      <c r="G535" s="20">
        <v>390</v>
      </c>
      <c r="H535" s="25">
        <v>0</v>
      </c>
      <c r="I535" s="25">
        <v>0</v>
      </c>
      <c r="J535" s="117"/>
      <c r="K535" s="117"/>
      <c r="L535" s="117"/>
      <c r="M535" s="117"/>
      <c r="N535" s="117"/>
      <c r="O535" s="117"/>
      <c r="P535" s="117"/>
      <c r="Q535" s="117"/>
    </row>
    <row r="536" spans="1:17" s="79" customFormat="1" x14ac:dyDescent="0.2">
      <c r="A536" s="75" t="s">
        <v>429</v>
      </c>
      <c r="B536" s="75">
        <v>915</v>
      </c>
      <c r="C536" s="77" t="s">
        <v>51</v>
      </c>
      <c r="D536" s="77" t="s">
        <v>50</v>
      </c>
      <c r="E536" s="111" t="s">
        <v>428</v>
      </c>
      <c r="F536" s="77"/>
      <c r="G536" s="73">
        <v>30</v>
      </c>
      <c r="H536" s="73">
        <v>0</v>
      </c>
      <c r="I536" s="73">
        <v>0</v>
      </c>
    </row>
    <row r="537" spans="1:17" ht="25.5" x14ac:dyDescent="0.2">
      <c r="A537" s="28" t="s">
        <v>76</v>
      </c>
      <c r="B537" s="18">
        <v>915</v>
      </c>
      <c r="C537" s="24" t="s">
        <v>51</v>
      </c>
      <c r="D537" s="24" t="s">
        <v>50</v>
      </c>
      <c r="E537" s="24" t="s">
        <v>428</v>
      </c>
      <c r="F537" s="24" t="s">
        <v>68</v>
      </c>
      <c r="G537" s="20">
        <v>30</v>
      </c>
      <c r="H537" s="62">
        <v>0</v>
      </c>
      <c r="I537" s="62">
        <v>0</v>
      </c>
      <c r="J537" s="237"/>
      <c r="K537" s="237"/>
      <c r="L537" s="237"/>
      <c r="M537" s="237"/>
      <c r="N537" s="237"/>
      <c r="O537" s="237"/>
      <c r="P537" s="237"/>
      <c r="Q537" s="237"/>
    </row>
    <row r="538" spans="1:17" s="9" customFormat="1" ht="30.75" customHeight="1" x14ac:dyDescent="0.2">
      <c r="A538" s="40" t="s">
        <v>48</v>
      </c>
      <c r="B538" s="37">
        <v>919</v>
      </c>
      <c r="C538" s="41"/>
      <c r="D538" s="41"/>
      <c r="E538" s="41"/>
      <c r="F538" s="41"/>
      <c r="G538" s="39">
        <v>459349.99407000007</v>
      </c>
      <c r="H538" s="39">
        <v>41568.800000000003</v>
      </c>
      <c r="I538" s="39">
        <v>41001.599999999999</v>
      </c>
      <c r="J538" s="39">
        <f t="shared" ref="J538:Q538" si="4">J547+J564+J614+J543</f>
        <v>0</v>
      </c>
      <c r="K538" s="39">
        <f t="shared" si="4"/>
        <v>0</v>
      </c>
      <c r="L538" s="39">
        <f t="shared" si="4"/>
        <v>0</v>
      </c>
      <c r="M538" s="39">
        <f t="shared" si="4"/>
        <v>0</v>
      </c>
      <c r="N538" s="39">
        <f t="shared" si="4"/>
        <v>0</v>
      </c>
      <c r="O538" s="39">
        <f t="shared" si="4"/>
        <v>0</v>
      </c>
      <c r="P538" s="39">
        <f t="shared" si="4"/>
        <v>0</v>
      </c>
      <c r="Q538" s="39">
        <f t="shared" si="4"/>
        <v>0</v>
      </c>
    </row>
    <row r="539" spans="1:17" s="9" customFormat="1" x14ac:dyDescent="0.2">
      <c r="A539" s="13" t="s">
        <v>60</v>
      </c>
      <c r="B539" s="42">
        <v>919</v>
      </c>
      <c r="C539" s="1" t="s">
        <v>12</v>
      </c>
      <c r="D539" s="1"/>
      <c r="E539" s="1"/>
      <c r="F539" s="1"/>
      <c r="G539" s="4">
        <v>2042.9</v>
      </c>
      <c r="H539" s="4">
        <v>0</v>
      </c>
      <c r="I539" s="4">
        <v>0</v>
      </c>
      <c r="J539" s="234"/>
      <c r="K539" s="234"/>
      <c r="L539" s="234"/>
      <c r="M539" s="234"/>
      <c r="N539" s="234"/>
      <c r="O539" s="234"/>
      <c r="P539" s="234"/>
      <c r="Q539" s="234"/>
    </row>
    <row r="540" spans="1:17" s="9" customFormat="1" x14ac:dyDescent="0.2">
      <c r="A540" s="11" t="s">
        <v>24</v>
      </c>
      <c r="B540" s="14">
        <v>919</v>
      </c>
      <c r="C540" s="8" t="s">
        <v>12</v>
      </c>
      <c r="D540" s="8" t="s">
        <v>61</v>
      </c>
      <c r="E540" s="8"/>
      <c r="F540" s="8"/>
      <c r="G540" s="4">
        <v>2042.9</v>
      </c>
      <c r="H540" s="4">
        <v>0</v>
      </c>
      <c r="I540" s="4">
        <v>0</v>
      </c>
      <c r="J540" s="234"/>
      <c r="K540" s="234"/>
      <c r="L540" s="234"/>
      <c r="M540" s="234"/>
      <c r="N540" s="234"/>
      <c r="O540" s="234"/>
      <c r="P540" s="234"/>
      <c r="Q540" s="234"/>
    </row>
    <row r="541" spans="1:17" s="9" customFormat="1" x14ac:dyDescent="0.2">
      <c r="A541" s="18" t="s">
        <v>203</v>
      </c>
      <c r="B541" s="22">
        <v>919</v>
      </c>
      <c r="C541" s="19" t="s">
        <v>12</v>
      </c>
      <c r="D541" s="19" t="s">
        <v>61</v>
      </c>
      <c r="E541" s="5" t="s">
        <v>204</v>
      </c>
      <c r="F541" s="5"/>
      <c r="G541" s="20">
        <v>2042.9</v>
      </c>
      <c r="H541" s="20">
        <v>0</v>
      </c>
      <c r="I541" s="20">
        <v>0</v>
      </c>
      <c r="J541" s="243"/>
      <c r="K541" s="243"/>
      <c r="L541" s="243"/>
      <c r="M541" s="243"/>
      <c r="N541" s="243"/>
      <c r="O541" s="243"/>
      <c r="P541" s="243"/>
      <c r="Q541" s="243"/>
    </row>
    <row r="542" spans="1:17" s="9" customFormat="1" ht="25.5" x14ac:dyDescent="0.2">
      <c r="A542" s="28" t="s">
        <v>141</v>
      </c>
      <c r="B542" s="32">
        <v>919</v>
      </c>
      <c r="C542" s="24" t="s">
        <v>12</v>
      </c>
      <c r="D542" s="24" t="s">
        <v>61</v>
      </c>
      <c r="E542" s="24" t="s">
        <v>204</v>
      </c>
      <c r="F542" s="27" t="s">
        <v>65</v>
      </c>
      <c r="G542" s="20">
        <v>2042.9</v>
      </c>
      <c r="H542" s="20">
        <v>0</v>
      </c>
      <c r="I542" s="20">
        <v>0</v>
      </c>
      <c r="J542" s="243"/>
      <c r="K542" s="243"/>
      <c r="L542" s="243"/>
      <c r="M542" s="243"/>
      <c r="N542" s="243"/>
      <c r="O542" s="243"/>
      <c r="P542" s="243"/>
      <c r="Q542" s="243"/>
    </row>
    <row r="543" spans="1:17" s="3" customFormat="1" ht="25.5" x14ac:dyDescent="0.2">
      <c r="A543" s="13" t="s">
        <v>5</v>
      </c>
      <c r="B543" s="42">
        <v>919</v>
      </c>
      <c r="C543" s="1" t="s">
        <v>16</v>
      </c>
      <c r="D543" s="1"/>
      <c r="E543" s="1"/>
      <c r="F543" s="1"/>
      <c r="G543" s="2">
        <v>2879.4999999999995</v>
      </c>
      <c r="H543" s="2">
        <v>0</v>
      </c>
      <c r="I543" s="2">
        <v>0</v>
      </c>
    </row>
    <row r="544" spans="1:17" s="9" customFormat="1" ht="38.25" x14ac:dyDescent="0.2">
      <c r="A544" s="11" t="s">
        <v>81</v>
      </c>
      <c r="B544" s="14">
        <v>919</v>
      </c>
      <c r="C544" s="8" t="s">
        <v>16</v>
      </c>
      <c r="D544" s="8" t="s">
        <v>26</v>
      </c>
      <c r="E544" s="8"/>
      <c r="F544" s="8"/>
      <c r="G544" s="4">
        <v>2879.4999999999995</v>
      </c>
      <c r="H544" s="4">
        <v>0</v>
      </c>
      <c r="I544" s="4">
        <v>0</v>
      </c>
      <c r="J544" s="127"/>
      <c r="K544" s="127"/>
      <c r="L544" s="127"/>
      <c r="M544" s="127"/>
      <c r="N544" s="127"/>
      <c r="O544" s="127"/>
      <c r="P544" s="127"/>
      <c r="Q544" s="127"/>
    </row>
    <row r="545" spans="1:17" s="26" customFormat="1" x14ac:dyDescent="0.2">
      <c r="A545" s="51" t="s">
        <v>160</v>
      </c>
      <c r="B545" s="51">
        <v>919</v>
      </c>
      <c r="C545" s="19" t="s">
        <v>16</v>
      </c>
      <c r="D545" s="19" t="s">
        <v>26</v>
      </c>
      <c r="E545" s="19" t="s">
        <v>161</v>
      </c>
      <c r="F545" s="19"/>
      <c r="G545" s="20">
        <v>2879.4999999999995</v>
      </c>
      <c r="H545" s="20">
        <v>0</v>
      </c>
      <c r="I545" s="20">
        <v>0</v>
      </c>
      <c r="J545" s="118"/>
      <c r="K545" s="118"/>
      <c r="L545" s="118"/>
      <c r="M545" s="118"/>
      <c r="N545" s="118"/>
      <c r="O545" s="118"/>
      <c r="P545" s="118"/>
      <c r="Q545" s="118"/>
    </row>
    <row r="546" spans="1:17" s="26" customFormat="1" ht="25.5" x14ac:dyDescent="0.2">
      <c r="A546" s="28" t="s">
        <v>141</v>
      </c>
      <c r="B546" s="23">
        <v>919</v>
      </c>
      <c r="C546" s="24" t="s">
        <v>16</v>
      </c>
      <c r="D546" s="24" t="s">
        <v>26</v>
      </c>
      <c r="E546" s="24" t="s">
        <v>161</v>
      </c>
      <c r="F546" s="27" t="s">
        <v>65</v>
      </c>
      <c r="G546" s="25">
        <v>2879.4999999999995</v>
      </c>
      <c r="H546" s="25">
        <v>0</v>
      </c>
      <c r="I546" s="25">
        <v>0</v>
      </c>
      <c r="J546" s="118"/>
      <c r="K546" s="118"/>
      <c r="L546" s="118"/>
      <c r="M546" s="118"/>
      <c r="N546" s="118"/>
      <c r="O546" s="118"/>
      <c r="P546" s="118"/>
      <c r="Q546" s="118"/>
    </row>
    <row r="547" spans="1:17" s="3" customFormat="1" x14ac:dyDescent="0.2">
      <c r="A547" s="13" t="s">
        <v>27</v>
      </c>
      <c r="B547" s="42">
        <v>919</v>
      </c>
      <c r="C547" s="1" t="s">
        <v>18</v>
      </c>
      <c r="D547" s="1"/>
      <c r="E547" s="1"/>
      <c r="F547" s="1"/>
      <c r="G547" s="2">
        <v>291754.48508000001</v>
      </c>
      <c r="H547" s="2">
        <v>17273</v>
      </c>
      <c r="I547" s="2">
        <v>19729</v>
      </c>
    </row>
    <row r="548" spans="1:17" s="9" customFormat="1" x14ac:dyDescent="0.2">
      <c r="A548" s="11" t="s">
        <v>28</v>
      </c>
      <c r="B548" s="14">
        <v>919</v>
      </c>
      <c r="C548" s="8" t="s">
        <v>18</v>
      </c>
      <c r="D548" s="8" t="s">
        <v>14</v>
      </c>
      <c r="E548" s="8"/>
      <c r="F548" s="8"/>
      <c r="G548" s="4">
        <v>35925.800000000003</v>
      </c>
      <c r="H548" s="4">
        <v>0</v>
      </c>
      <c r="I548" s="4">
        <v>0</v>
      </c>
    </row>
    <row r="549" spans="1:17" ht="51" x14ac:dyDescent="0.2">
      <c r="A549" s="18" t="s">
        <v>427</v>
      </c>
      <c r="B549" s="22">
        <v>919</v>
      </c>
      <c r="C549" s="19" t="s">
        <v>18</v>
      </c>
      <c r="D549" s="19" t="s">
        <v>14</v>
      </c>
      <c r="E549" s="19" t="s">
        <v>289</v>
      </c>
      <c r="F549" s="19"/>
      <c r="G549" s="20">
        <v>35925.800000000003</v>
      </c>
      <c r="H549" s="20">
        <v>0</v>
      </c>
      <c r="I549" s="20">
        <v>0</v>
      </c>
      <c r="J549" s="237"/>
      <c r="K549" s="237"/>
      <c r="L549" s="237"/>
      <c r="M549" s="237"/>
      <c r="N549" s="237"/>
      <c r="O549" s="237"/>
      <c r="P549" s="237"/>
      <c r="Q549" s="237"/>
    </row>
    <row r="550" spans="1:17" s="84" customFormat="1" x14ac:dyDescent="0.2">
      <c r="A550" s="87" t="s">
        <v>72</v>
      </c>
      <c r="B550" s="86">
        <v>919</v>
      </c>
      <c r="C550" s="82" t="s">
        <v>18</v>
      </c>
      <c r="D550" s="82" t="s">
        <v>14</v>
      </c>
      <c r="E550" s="82" t="s">
        <v>289</v>
      </c>
      <c r="F550" s="82" t="s">
        <v>73</v>
      </c>
      <c r="G550" s="62">
        <v>35925.800000000003</v>
      </c>
      <c r="H550" s="62">
        <v>0</v>
      </c>
      <c r="I550" s="62">
        <v>0</v>
      </c>
    </row>
    <row r="551" spans="1:17" s="74" customFormat="1" x14ac:dyDescent="0.2">
      <c r="A551" s="70" t="s">
        <v>79</v>
      </c>
      <c r="B551" s="71">
        <v>919</v>
      </c>
      <c r="C551" s="72" t="s">
        <v>18</v>
      </c>
      <c r="D551" s="72" t="s">
        <v>26</v>
      </c>
      <c r="E551" s="72"/>
      <c r="F551" s="72"/>
      <c r="G551" s="73">
        <v>255828.68508</v>
      </c>
      <c r="H551" s="73">
        <v>17273</v>
      </c>
      <c r="I551" s="73">
        <v>19729</v>
      </c>
      <c r="J551" s="73">
        <f t="shared" ref="J551:Q551" si="5">+J556+J558+J554+J552</f>
        <v>0</v>
      </c>
      <c r="K551" s="73">
        <f t="shared" si="5"/>
        <v>0</v>
      </c>
      <c r="L551" s="73">
        <f t="shared" si="5"/>
        <v>0</v>
      </c>
      <c r="M551" s="73">
        <f t="shared" si="5"/>
        <v>0</v>
      </c>
      <c r="N551" s="73">
        <f t="shared" si="5"/>
        <v>0</v>
      </c>
      <c r="O551" s="73">
        <f t="shared" si="5"/>
        <v>0</v>
      </c>
      <c r="P551" s="73">
        <f t="shared" si="5"/>
        <v>0</v>
      </c>
      <c r="Q551" s="73">
        <f t="shared" si="5"/>
        <v>0</v>
      </c>
    </row>
    <row r="552" spans="1:17" ht="69" customHeight="1" x14ac:dyDescent="0.2">
      <c r="A552" s="18" t="s">
        <v>383</v>
      </c>
      <c r="B552" s="22">
        <v>919</v>
      </c>
      <c r="C552" s="19" t="s">
        <v>18</v>
      </c>
      <c r="D552" s="19" t="s">
        <v>26</v>
      </c>
      <c r="E552" s="19" t="s">
        <v>384</v>
      </c>
      <c r="F552" s="19"/>
      <c r="G552" s="20">
        <v>109287.13582</v>
      </c>
      <c r="H552" s="20">
        <v>0</v>
      </c>
      <c r="I552" s="20">
        <v>0</v>
      </c>
      <c r="J552" s="117"/>
      <c r="K552" s="117"/>
      <c r="L552" s="117"/>
      <c r="M552" s="117"/>
      <c r="N552" s="117"/>
      <c r="O552" s="117"/>
      <c r="P552" s="117"/>
      <c r="Q552" s="117"/>
    </row>
    <row r="553" spans="1:17" s="26" customFormat="1" ht="25.5" x14ac:dyDescent="0.2">
      <c r="A553" s="28" t="s">
        <v>141</v>
      </c>
      <c r="B553" s="31">
        <v>919</v>
      </c>
      <c r="C553" s="24" t="s">
        <v>18</v>
      </c>
      <c r="D553" s="24" t="s">
        <v>26</v>
      </c>
      <c r="E553" s="24" t="s">
        <v>384</v>
      </c>
      <c r="F553" s="24" t="s">
        <v>65</v>
      </c>
      <c r="G553" s="25">
        <v>109287.13582</v>
      </c>
      <c r="H553" s="25">
        <v>0</v>
      </c>
      <c r="I553" s="25">
        <v>0</v>
      </c>
      <c r="J553" s="118"/>
      <c r="K553" s="118"/>
      <c r="L553" s="118"/>
      <c r="M553" s="118"/>
      <c r="N553" s="118"/>
      <c r="O553" s="118"/>
      <c r="P553" s="118"/>
      <c r="Q553" s="118"/>
    </row>
    <row r="554" spans="1:17" ht="69" customHeight="1" x14ac:dyDescent="0.2">
      <c r="A554" s="18" t="s">
        <v>383</v>
      </c>
      <c r="B554" s="22">
        <v>919</v>
      </c>
      <c r="C554" s="19" t="s">
        <v>18</v>
      </c>
      <c r="D554" s="19" t="s">
        <v>26</v>
      </c>
      <c r="E554" s="19" t="s">
        <v>387</v>
      </c>
      <c r="F554" s="19"/>
      <c r="G554" s="20">
        <v>8282.2000000000007</v>
      </c>
      <c r="H554" s="20">
        <v>0</v>
      </c>
      <c r="I554" s="20">
        <v>0</v>
      </c>
      <c r="J554" s="117"/>
      <c r="K554" s="117"/>
      <c r="L554" s="117"/>
      <c r="M554" s="117"/>
      <c r="N554" s="117"/>
      <c r="O554" s="117"/>
      <c r="P554" s="117"/>
      <c r="Q554" s="117"/>
    </row>
    <row r="555" spans="1:17" s="26" customFormat="1" ht="25.5" x14ac:dyDescent="0.2">
      <c r="A555" s="28" t="s">
        <v>141</v>
      </c>
      <c r="B555" s="31">
        <v>919</v>
      </c>
      <c r="C555" s="24" t="s">
        <v>18</v>
      </c>
      <c r="D555" s="24" t="s">
        <v>26</v>
      </c>
      <c r="E555" s="24" t="s">
        <v>387</v>
      </c>
      <c r="F555" s="24" t="s">
        <v>65</v>
      </c>
      <c r="G555" s="25">
        <v>8282.2000000000007</v>
      </c>
      <c r="H555" s="25">
        <v>0</v>
      </c>
      <c r="I555" s="25">
        <v>0</v>
      </c>
      <c r="J555" s="118"/>
      <c r="K555" s="118"/>
      <c r="L555" s="118"/>
      <c r="M555" s="118"/>
      <c r="N555" s="118"/>
      <c r="O555" s="118"/>
      <c r="P555" s="118"/>
      <c r="Q555" s="118"/>
    </row>
    <row r="556" spans="1:17" ht="25.5" x14ac:dyDescent="0.2">
      <c r="A556" s="18" t="s">
        <v>291</v>
      </c>
      <c r="B556" s="22">
        <v>919</v>
      </c>
      <c r="C556" s="19" t="s">
        <v>18</v>
      </c>
      <c r="D556" s="19" t="s">
        <v>26</v>
      </c>
      <c r="E556" s="19" t="s">
        <v>290</v>
      </c>
      <c r="F556" s="19"/>
      <c r="G556" s="20">
        <v>100330</v>
      </c>
      <c r="H556" s="20">
        <v>17273</v>
      </c>
      <c r="I556" s="20">
        <v>19729</v>
      </c>
      <c r="J556" s="117"/>
      <c r="K556" s="117"/>
      <c r="L556" s="117"/>
      <c r="M556" s="117"/>
      <c r="N556" s="117"/>
      <c r="O556" s="117"/>
      <c r="P556" s="117"/>
      <c r="Q556" s="117"/>
    </row>
    <row r="557" spans="1:17" s="26" customFormat="1" ht="25.5" x14ac:dyDescent="0.2">
      <c r="A557" s="28" t="s">
        <v>141</v>
      </c>
      <c r="B557" s="31">
        <v>919</v>
      </c>
      <c r="C557" s="24" t="s">
        <v>18</v>
      </c>
      <c r="D557" s="24" t="s">
        <v>26</v>
      </c>
      <c r="E557" s="24" t="s">
        <v>290</v>
      </c>
      <c r="F557" s="24" t="s">
        <v>65</v>
      </c>
      <c r="G557" s="25">
        <v>100330</v>
      </c>
      <c r="H557" s="25">
        <v>17273</v>
      </c>
      <c r="I557" s="25">
        <v>19729</v>
      </c>
      <c r="J557" s="118"/>
      <c r="K557" s="118"/>
      <c r="L557" s="118"/>
      <c r="M557" s="118"/>
      <c r="N557" s="118"/>
      <c r="O557" s="118"/>
      <c r="P557" s="118"/>
      <c r="Q557" s="118"/>
    </row>
    <row r="558" spans="1:17" s="79" customFormat="1" ht="25.5" x14ac:dyDescent="0.2">
      <c r="A558" s="75" t="s">
        <v>293</v>
      </c>
      <c r="B558" s="75">
        <v>919</v>
      </c>
      <c r="C558" s="77" t="s">
        <v>18</v>
      </c>
      <c r="D558" s="77" t="s">
        <v>26</v>
      </c>
      <c r="E558" s="77" t="s">
        <v>292</v>
      </c>
      <c r="F558" s="77"/>
      <c r="G558" s="78">
        <v>14287</v>
      </c>
      <c r="H558" s="78">
        <v>0</v>
      </c>
      <c r="I558" s="78">
        <v>0</v>
      </c>
    </row>
    <row r="559" spans="1:17" s="79" customFormat="1" ht="25.5" x14ac:dyDescent="0.2">
      <c r="A559" s="87" t="s">
        <v>141</v>
      </c>
      <c r="B559" s="87">
        <v>919</v>
      </c>
      <c r="C559" s="82" t="s">
        <v>18</v>
      </c>
      <c r="D559" s="82" t="s">
        <v>26</v>
      </c>
      <c r="E559" s="82" t="s">
        <v>292</v>
      </c>
      <c r="F559" s="82" t="s">
        <v>65</v>
      </c>
      <c r="G559" s="62">
        <v>14287</v>
      </c>
      <c r="H559" s="62">
        <v>0</v>
      </c>
      <c r="I559" s="62">
        <v>0</v>
      </c>
    </row>
    <row r="560" spans="1:17" ht="25.5" x14ac:dyDescent="0.2">
      <c r="A560" s="17" t="s">
        <v>409</v>
      </c>
      <c r="B560" s="43">
        <v>919</v>
      </c>
      <c r="C560" s="19" t="s">
        <v>18</v>
      </c>
      <c r="D560" s="19" t="s">
        <v>26</v>
      </c>
      <c r="E560" s="19" t="s">
        <v>407</v>
      </c>
      <c r="F560" s="19"/>
      <c r="G560" s="20">
        <v>1182.1174600000002</v>
      </c>
      <c r="H560" s="20">
        <v>0</v>
      </c>
      <c r="I560" s="20">
        <v>0</v>
      </c>
      <c r="J560" s="117"/>
      <c r="K560" s="117"/>
      <c r="L560" s="117"/>
      <c r="M560" s="117"/>
      <c r="N560" s="117"/>
      <c r="O560" s="117"/>
      <c r="P560" s="117"/>
      <c r="Q560" s="117"/>
    </row>
    <row r="561" spans="1:17" ht="25.5" x14ac:dyDescent="0.2">
      <c r="A561" s="28" t="s">
        <v>76</v>
      </c>
      <c r="B561" s="31">
        <v>919</v>
      </c>
      <c r="C561" s="24" t="s">
        <v>18</v>
      </c>
      <c r="D561" s="24" t="s">
        <v>26</v>
      </c>
      <c r="E561" s="24" t="s">
        <v>408</v>
      </c>
      <c r="F561" s="24" t="s">
        <v>68</v>
      </c>
      <c r="G561" s="25">
        <v>1182.1174600000002</v>
      </c>
      <c r="H561" s="25">
        <v>0</v>
      </c>
      <c r="I561" s="25">
        <v>0</v>
      </c>
      <c r="J561" s="117"/>
      <c r="K561" s="117"/>
      <c r="L561" s="117"/>
      <c r="M561" s="117"/>
      <c r="N561" s="117"/>
      <c r="O561" s="117"/>
      <c r="P561" s="117"/>
      <c r="Q561" s="117"/>
    </row>
    <row r="562" spans="1:17" ht="25.5" x14ac:dyDescent="0.2">
      <c r="A562" s="17" t="s">
        <v>441</v>
      </c>
      <c r="B562" s="43">
        <v>919</v>
      </c>
      <c r="C562" s="19" t="s">
        <v>18</v>
      </c>
      <c r="D562" s="19" t="s">
        <v>26</v>
      </c>
      <c r="E562" s="19" t="s">
        <v>438</v>
      </c>
      <c r="F562" s="19"/>
      <c r="G562" s="20">
        <v>22460.231799999998</v>
      </c>
      <c r="H562" s="20">
        <v>0</v>
      </c>
      <c r="I562" s="20">
        <v>0</v>
      </c>
      <c r="J562" s="117"/>
      <c r="K562" s="117"/>
      <c r="L562" s="117"/>
      <c r="M562" s="117"/>
      <c r="N562" s="117"/>
      <c r="O562" s="117"/>
      <c r="P562" s="117"/>
      <c r="Q562" s="117"/>
    </row>
    <row r="563" spans="1:17" ht="25.5" x14ac:dyDescent="0.2">
      <c r="A563" s="28" t="s">
        <v>76</v>
      </c>
      <c r="B563" s="31">
        <v>919</v>
      </c>
      <c r="C563" s="24" t="s">
        <v>18</v>
      </c>
      <c r="D563" s="24" t="s">
        <v>26</v>
      </c>
      <c r="E563" s="19" t="s">
        <v>438</v>
      </c>
      <c r="F563" s="24" t="s">
        <v>68</v>
      </c>
      <c r="G563" s="25">
        <v>22460.231799999998</v>
      </c>
      <c r="H563" s="25">
        <v>0</v>
      </c>
      <c r="I563" s="25">
        <v>0</v>
      </c>
      <c r="J563" s="117"/>
      <c r="K563" s="117"/>
      <c r="L563" s="117"/>
      <c r="M563" s="117"/>
      <c r="N563" s="117"/>
      <c r="O563" s="117"/>
      <c r="P563" s="117"/>
      <c r="Q563" s="117"/>
    </row>
    <row r="564" spans="1:17" s="99" customFormat="1" x14ac:dyDescent="0.2">
      <c r="A564" s="98" t="s">
        <v>30</v>
      </c>
      <c r="B564" s="64">
        <v>919</v>
      </c>
      <c r="C564" s="65" t="s">
        <v>31</v>
      </c>
      <c r="D564" s="65"/>
      <c r="E564" s="65"/>
      <c r="F564" s="65"/>
      <c r="G564" s="68">
        <v>160222.20899000001</v>
      </c>
      <c r="H564" s="68">
        <v>24295.8</v>
      </c>
      <c r="I564" s="68">
        <v>21272.6</v>
      </c>
    </row>
    <row r="565" spans="1:17" s="9" customFormat="1" x14ac:dyDescent="0.2">
      <c r="A565" s="11" t="s">
        <v>32</v>
      </c>
      <c r="B565" s="14">
        <v>919</v>
      </c>
      <c r="C565" s="8" t="s">
        <v>31</v>
      </c>
      <c r="D565" s="8" t="s">
        <v>12</v>
      </c>
      <c r="E565" s="8"/>
      <c r="F565" s="8"/>
      <c r="G565" s="4">
        <v>2986</v>
      </c>
      <c r="H565" s="4">
        <v>0</v>
      </c>
      <c r="I565" s="4">
        <v>0</v>
      </c>
      <c r="J565" s="4">
        <f t="shared" ref="J565:Q565" si="6">J566+J568</f>
        <v>0</v>
      </c>
      <c r="K565" s="4">
        <f t="shared" si="6"/>
        <v>0</v>
      </c>
      <c r="L565" s="4">
        <f t="shared" si="6"/>
        <v>0</v>
      </c>
      <c r="M565" s="4">
        <f t="shared" si="6"/>
        <v>0</v>
      </c>
      <c r="N565" s="4">
        <f t="shared" si="6"/>
        <v>0</v>
      </c>
      <c r="O565" s="4">
        <f t="shared" si="6"/>
        <v>0</v>
      </c>
      <c r="P565" s="4">
        <f t="shared" si="6"/>
        <v>0</v>
      </c>
      <c r="Q565" s="4">
        <f t="shared" si="6"/>
        <v>0</v>
      </c>
    </row>
    <row r="566" spans="1:17" x14ac:dyDescent="0.2">
      <c r="A566" s="18" t="s">
        <v>420</v>
      </c>
      <c r="B566" s="22">
        <v>919</v>
      </c>
      <c r="C566" s="19" t="s">
        <v>31</v>
      </c>
      <c r="D566" s="19" t="s">
        <v>12</v>
      </c>
      <c r="E566" s="19" t="s">
        <v>421</v>
      </c>
      <c r="F566" s="19"/>
      <c r="G566" s="20">
        <v>1586</v>
      </c>
      <c r="H566" s="20">
        <v>0</v>
      </c>
      <c r="I566" s="20">
        <v>0</v>
      </c>
      <c r="J566" s="117"/>
      <c r="K566" s="117"/>
      <c r="L566" s="117"/>
      <c r="M566" s="117"/>
      <c r="N566" s="117"/>
      <c r="O566" s="117"/>
      <c r="P566" s="117"/>
      <c r="Q566" s="117"/>
    </row>
    <row r="567" spans="1:17" s="26" customFormat="1" x14ac:dyDescent="0.2">
      <c r="A567" s="28" t="s">
        <v>72</v>
      </c>
      <c r="B567" s="31">
        <v>919</v>
      </c>
      <c r="C567" s="24" t="s">
        <v>31</v>
      </c>
      <c r="D567" s="24" t="s">
        <v>12</v>
      </c>
      <c r="E567" s="24" t="s">
        <v>421</v>
      </c>
      <c r="F567" s="24" t="s">
        <v>73</v>
      </c>
      <c r="G567" s="25">
        <v>1586</v>
      </c>
      <c r="H567" s="25">
        <v>0</v>
      </c>
      <c r="I567" s="25">
        <v>0</v>
      </c>
      <c r="J567" s="118"/>
      <c r="K567" s="118"/>
      <c r="L567" s="118"/>
      <c r="M567" s="118"/>
      <c r="N567" s="118"/>
      <c r="O567" s="118"/>
      <c r="P567" s="118"/>
      <c r="Q567" s="118"/>
    </row>
    <row r="568" spans="1:17" s="26" customFormat="1" ht="25.5" x14ac:dyDescent="0.2">
      <c r="A568" s="18" t="s">
        <v>375</v>
      </c>
      <c r="B568" s="18">
        <v>919</v>
      </c>
      <c r="C568" s="19" t="s">
        <v>31</v>
      </c>
      <c r="D568" s="19" t="s">
        <v>12</v>
      </c>
      <c r="E568" s="19" t="s">
        <v>376</v>
      </c>
      <c r="F568" s="19"/>
      <c r="G568" s="25">
        <v>1400</v>
      </c>
      <c r="H568" s="25">
        <v>0</v>
      </c>
      <c r="I568" s="25">
        <v>0</v>
      </c>
      <c r="J568" s="118"/>
      <c r="K568" s="118"/>
      <c r="L568" s="118"/>
      <c r="M568" s="118"/>
      <c r="N568" s="118"/>
      <c r="O568" s="118"/>
      <c r="P568" s="118"/>
      <c r="Q568" s="118"/>
    </row>
    <row r="569" spans="1:17" s="26" customFormat="1" ht="25.5" x14ac:dyDescent="0.2">
      <c r="A569" s="28" t="s">
        <v>76</v>
      </c>
      <c r="B569" s="28">
        <v>919</v>
      </c>
      <c r="C569" s="24" t="s">
        <v>31</v>
      </c>
      <c r="D569" s="24" t="s">
        <v>12</v>
      </c>
      <c r="E569" s="24" t="s">
        <v>376</v>
      </c>
      <c r="F569" s="27" t="s">
        <v>68</v>
      </c>
      <c r="G569" s="25">
        <v>1400</v>
      </c>
      <c r="H569" s="25">
        <v>0</v>
      </c>
      <c r="I569" s="25">
        <v>0</v>
      </c>
      <c r="J569" s="118"/>
      <c r="K569" s="118"/>
      <c r="L569" s="118"/>
      <c r="M569" s="118"/>
      <c r="N569" s="118"/>
      <c r="O569" s="118"/>
      <c r="P569" s="118"/>
      <c r="Q569" s="118"/>
    </row>
    <row r="570" spans="1:17" s="74" customFormat="1" x14ac:dyDescent="0.2">
      <c r="A570" s="70" t="s">
        <v>33</v>
      </c>
      <c r="B570" s="71">
        <v>919</v>
      </c>
      <c r="C570" s="72" t="s">
        <v>31</v>
      </c>
      <c r="D570" s="72" t="s">
        <v>14</v>
      </c>
      <c r="E570" s="72"/>
      <c r="F570" s="72"/>
      <c r="G570" s="73">
        <v>103281.1</v>
      </c>
      <c r="H570" s="73">
        <v>5844</v>
      </c>
      <c r="I570" s="73">
        <v>3000</v>
      </c>
      <c r="J570" s="73">
        <f t="shared" ref="J570:Q570" si="7">+J581+J583+J585+J577+J579+J571</f>
        <v>0</v>
      </c>
      <c r="K570" s="73">
        <f t="shared" si="7"/>
        <v>0</v>
      </c>
      <c r="L570" s="73">
        <f t="shared" si="7"/>
        <v>0</v>
      </c>
      <c r="M570" s="73">
        <f t="shared" si="7"/>
        <v>0</v>
      </c>
      <c r="N570" s="73">
        <f t="shared" si="7"/>
        <v>0</v>
      </c>
      <c r="O570" s="73">
        <f t="shared" si="7"/>
        <v>0</v>
      </c>
      <c r="P570" s="73">
        <f t="shared" si="7"/>
        <v>0</v>
      </c>
      <c r="Q570" s="73">
        <f t="shared" si="7"/>
        <v>0</v>
      </c>
    </row>
    <row r="571" spans="1:17" s="9" customFormat="1" ht="25.5" x14ac:dyDescent="0.2">
      <c r="A571" s="17" t="s">
        <v>391</v>
      </c>
      <c r="B571" s="43">
        <v>919</v>
      </c>
      <c r="C571" s="19" t="s">
        <v>31</v>
      </c>
      <c r="D571" s="19" t="s">
        <v>14</v>
      </c>
      <c r="E571" s="19" t="s">
        <v>392</v>
      </c>
      <c r="F571" s="19"/>
      <c r="G571" s="20">
        <v>6975</v>
      </c>
      <c r="H571" s="20">
        <v>0</v>
      </c>
      <c r="I571" s="20">
        <v>0</v>
      </c>
      <c r="J571" s="127"/>
      <c r="K571" s="127"/>
      <c r="L571" s="127"/>
      <c r="M571" s="127"/>
      <c r="N571" s="127"/>
      <c r="O571" s="127"/>
      <c r="P571" s="127"/>
      <c r="Q571" s="127"/>
    </row>
    <row r="572" spans="1:17" s="9" customFormat="1" ht="25.5" x14ac:dyDescent="0.2">
      <c r="A572" s="28" t="s">
        <v>76</v>
      </c>
      <c r="B572" s="31">
        <v>919</v>
      </c>
      <c r="C572" s="24" t="s">
        <v>31</v>
      </c>
      <c r="D572" s="24" t="s">
        <v>14</v>
      </c>
      <c r="E572" s="24" t="s">
        <v>392</v>
      </c>
      <c r="F572" s="24" t="s">
        <v>68</v>
      </c>
      <c r="G572" s="25">
        <v>6975</v>
      </c>
      <c r="H572" s="25">
        <v>0</v>
      </c>
      <c r="I572" s="25">
        <v>0</v>
      </c>
      <c r="J572" s="127"/>
      <c r="K572" s="127"/>
      <c r="L572" s="127"/>
      <c r="M572" s="127"/>
      <c r="N572" s="127"/>
      <c r="O572" s="127"/>
      <c r="P572" s="127"/>
      <c r="Q572" s="127"/>
    </row>
    <row r="573" spans="1:17" s="9" customFormat="1" ht="25.5" x14ac:dyDescent="0.2">
      <c r="A573" s="17" t="s">
        <v>297</v>
      </c>
      <c r="B573" s="43">
        <v>919</v>
      </c>
      <c r="C573" s="19" t="s">
        <v>31</v>
      </c>
      <c r="D573" s="19" t="s">
        <v>14</v>
      </c>
      <c r="E573" s="19" t="s">
        <v>393</v>
      </c>
      <c r="F573" s="19"/>
      <c r="G573" s="25">
        <v>775</v>
      </c>
      <c r="H573" s="25">
        <v>0</v>
      </c>
      <c r="I573" s="25">
        <v>0</v>
      </c>
      <c r="J573" s="127"/>
      <c r="K573" s="127"/>
      <c r="L573" s="127"/>
      <c r="M573" s="127"/>
      <c r="N573" s="127"/>
      <c r="O573" s="127"/>
      <c r="P573" s="127"/>
      <c r="Q573" s="127"/>
    </row>
    <row r="574" spans="1:17" s="9" customFormat="1" ht="25.5" x14ac:dyDescent="0.2">
      <c r="A574" s="28" t="s">
        <v>76</v>
      </c>
      <c r="B574" s="31">
        <v>919</v>
      </c>
      <c r="C574" s="24" t="s">
        <v>31</v>
      </c>
      <c r="D574" s="24" t="s">
        <v>14</v>
      </c>
      <c r="E574" s="24" t="s">
        <v>393</v>
      </c>
      <c r="F574" s="24" t="s">
        <v>68</v>
      </c>
      <c r="G574" s="25">
        <v>775</v>
      </c>
      <c r="H574" s="25">
        <v>0</v>
      </c>
      <c r="I574" s="25">
        <v>0</v>
      </c>
      <c r="J574" s="127"/>
      <c r="K574" s="127"/>
      <c r="L574" s="127"/>
      <c r="M574" s="127"/>
      <c r="N574" s="127"/>
      <c r="O574" s="127"/>
      <c r="P574" s="127"/>
      <c r="Q574" s="127"/>
    </row>
    <row r="575" spans="1:17" s="9" customFormat="1" ht="25.5" x14ac:dyDescent="0.2">
      <c r="A575" s="17" t="s">
        <v>689</v>
      </c>
      <c r="B575" s="43">
        <v>919</v>
      </c>
      <c r="C575" s="19" t="s">
        <v>31</v>
      </c>
      <c r="D575" s="19" t="s">
        <v>14</v>
      </c>
      <c r="E575" s="19" t="s">
        <v>688</v>
      </c>
      <c r="F575" s="19"/>
      <c r="G575" s="20">
        <v>375</v>
      </c>
      <c r="H575" s="20">
        <v>0</v>
      </c>
      <c r="I575" s="20">
        <v>0</v>
      </c>
      <c r="J575" s="127"/>
      <c r="K575" s="127"/>
      <c r="L575" s="127"/>
      <c r="M575" s="127"/>
      <c r="N575" s="127"/>
      <c r="O575" s="127"/>
      <c r="P575" s="127"/>
      <c r="Q575" s="127"/>
    </row>
    <row r="576" spans="1:17" s="9" customFormat="1" ht="25.5" x14ac:dyDescent="0.2">
      <c r="A576" s="28" t="s">
        <v>76</v>
      </c>
      <c r="B576" s="31">
        <v>919</v>
      </c>
      <c r="C576" s="24" t="s">
        <v>31</v>
      </c>
      <c r="D576" s="24" t="s">
        <v>14</v>
      </c>
      <c r="E576" s="24" t="s">
        <v>688</v>
      </c>
      <c r="F576" s="24" t="s">
        <v>68</v>
      </c>
      <c r="G576" s="25">
        <v>375</v>
      </c>
      <c r="H576" s="25">
        <v>0</v>
      </c>
      <c r="I576" s="25">
        <v>0</v>
      </c>
      <c r="J576" s="127"/>
      <c r="K576" s="127"/>
      <c r="L576" s="127"/>
      <c r="M576" s="127"/>
      <c r="N576" s="127"/>
      <c r="O576" s="127"/>
      <c r="P576" s="127"/>
      <c r="Q576" s="127"/>
    </row>
    <row r="577" spans="1:17" s="7" customFormat="1" ht="25.5" x14ac:dyDescent="0.2">
      <c r="A577" s="17" t="s">
        <v>297</v>
      </c>
      <c r="B577" s="43">
        <v>919</v>
      </c>
      <c r="C577" s="19" t="s">
        <v>31</v>
      </c>
      <c r="D577" s="19" t="s">
        <v>14</v>
      </c>
      <c r="E577" s="19" t="s">
        <v>296</v>
      </c>
      <c r="F577" s="19"/>
      <c r="G577" s="20">
        <v>2536</v>
      </c>
      <c r="H577" s="20">
        <v>5844</v>
      </c>
      <c r="I577" s="20">
        <v>3000</v>
      </c>
      <c r="J577" s="119"/>
      <c r="K577" s="119"/>
      <c r="L577" s="119"/>
      <c r="M577" s="119"/>
      <c r="N577" s="119"/>
      <c r="O577" s="119"/>
      <c r="P577" s="119"/>
      <c r="Q577" s="119"/>
    </row>
    <row r="578" spans="1:17" s="7" customFormat="1" ht="25.5" x14ac:dyDescent="0.2">
      <c r="A578" s="28" t="s">
        <v>76</v>
      </c>
      <c r="B578" s="31">
        <v>919</v>
      </c>
      <c r="C578" s="24" t="s">
        <v>31</v>
      </c>
      <c r="D578" s="24" t="s">
        <v>14</v>
      </c>
      <c r="E578" s="24" t="s">
        <v>296</v>
      </c>
      <c r="F578" s="24" t="s">
        <v>68</v>
      </c>
      <c r="G578" s="25">
        <v>2536</v>
      </c>
      <c r="H578" s="25">
        <v>5844</v>
      </c>
      <c r="I578" s="25">
        <v>3000</v>
      </c>
      <c r="J578" s="119"/>
      <c r="K578" s="119"/>
      <c r="L578" s="119"/>
      <c r="M578" s="119"/>
      <c r="N578" s="119"/>
      <c r="O578" s="119"/>
      <c r="P578" s="119"/>
      <c r="Q578" s="119"/>
    </row>
    <row r="579" spans="1:17" s="7" customFormat="1" ht="13.5" customHeight="1" x14ac:dyDescent="0.2">
      <c r="A579" s="17" t="s">
        <v>356</v>
      </c>
      <c r="B579" s="17">
        <v>919</v>
      </c>
      <c r="C579" s="19" t="s">
        <v>31</v>
      </c>
      <c r="D579" s="19" t="s">
        <v>14</v>
      </c>
      <c r="E579" s="19" t="s">
        <v>355</v>
      </c>
      <c r="F579" s="19"/>
      <c r="G579" s="20">
        <v>1487.2999999999997</v>
      </c>
      <c r="H579" s="20">
        <v>0</v>
      </c>
      <c r="I579" s="20">
        <v>0</v>
      </c>
      <c r="J579" s="119"/>
      <c r="K579" s="119"/>
      <c r="L579" s="119"/>
      <c r="M579" s="119"/>
      <c r="N579" s="119"/>
      <c r="O579" s="119"/>
      <c r="P579" s="119"/>
      <c r="Q579" s="119"/>
    </row>
    <row r="580" spans="1:17" s="7" customFormat="1" ht="25.5" x14ac:dyDescent="0.2">
      <c r="A580" s="28" t="s">
        <v>76</v>
      </c>
      <c r="B580" s="28">
        <v>919</v>
      </c>
      <c r="C580" s="24" t="s">
        <v>31</v>
      </c>
      <c r="D580" s="24" t="s">
        <v>14</v>
      </c>
      <c r="E580" s="24" t="s">
        <v>355</v>
      </c>
      <c r="F580" s="24" t="s">
        <v>68</v>
      </c>
      <c r="G580" s="25">
        <v>1487.2999999999997</v>
      </c>
      <c r="H580" s="25">
        <v>0</v>
      </c>
      <c r="I580" s="25">
        <v>0</v>
      </c>
      <c r="J580" s="119"/>
      <c r="K580" s="119"/>
      <c r="L580" s="119"/>
      <c r="M580" s="119"/>
      <c r="N580" s="119"/>
      <c r="O580" s="119"/>
      <c r="P580" s="119"/>
      <c r="Q580" s="119"/>
    </row>
    <row r="581" spans="1:17" ht="63.75" x14ac:dyDescent="0.2">
      <c r="A581" s="18" t="s">
        <v>303</v>
      </c>
      <c r="B581" s="22">
        <v>919</v>
      </c>
      <c r="C581" s="19" t="s">
        <v>31</v>
      </c>
      <c r="D581" s="19" t="s">
        <v>14</v>
      </c>
      <c r="E581" s="19" t="s">
        <v>302</v>
      </c>
      <c r="F581" s="19"/>
      <c r="G581" s="20">
        <v>74230.400000000009</v>
      </c>
      <c r="H581" s="20">
        <v>0</v>
      </c>
      <c r="I581" s="20">
        <v>0</v>
      </c>
      <c r="J581" s="237"/>
      <c r="K581" s="237"/>
      <c r="L581" s="237"/>
      <c r="M581" s="237"/>
      <c r="N581" s="237"/>
      <c r="O581" s="237"/>
      <c r="P581" s="237"/>
      <c r="Q581" s="237"/>
    </row>
    <row r="582" spans="1:17" s="84" customFormat="1" x14ac:dyDescent="0.2">
      <c r="A582" s="87" t="s">
        <v>72</v>
      </c>
      <c r="B582" s="86">
        <v>919</v>
      </c>
      <c r="C582" s="82" t="s">
        <v>31</v>
      </c>
      <c r="D582" s="82" t="s">
        <v>14</v>
      </c>
      <c r="E582" s="82" t="s">
        <v>302</v>
      </c>
      <c r="F582" s="82" t="s">
        <v>73</v>
      </c>
      <c r="G582" s="62">
        <v>74230.400000000009</v>
      </c>
      <c r="H582" s="62">
        <v>0</v>
      </c>
      <c r="I582" s="62">
        <v>0</v>
      </c>
    </row>
    <row r="583" spans="1:17" ht="63.75" x14ac:dyDescent="0.2">
      <c r="A583" s="17" t="s">
        <v>305</v>
      </c>
      <c r="B583" s="43">
        <v>919</v>
      </c>
      <c r="C583" s="19" t="s">
        <v>31</v>
      </c>
      <c r="D583" s="19" t="s">
        <v>14</v>
      </c>
      <c r="E583" s="19" t="s">
        <v>304</v>
      </c>
      <c r="F583" s="19"/>
      <c r="G583" s="20">
        <v>14244.7</v>
      </c>
      <c r="H583" s="20">
        <v>0</v>
      </c>
      <c r="I583" s="20">
        <v>0</v>
      </c>
      <c r="J583" s="237"/>
      <c r="K583" s="237"/>
      <c r="L583" s="237"/>
      <c r="M583" s="237"/>
      <c r="N583" s="237"/>
      <c r="O583" s="237"/>
      <c r="P583" s="237"/>
      <c r="Q583" s="237"/>
    </row>
    <row r="584" spans="1:17" s="26" customFormat="1" x14ac:dyDescent="0.2">
      <c r="A584" s="28" t="s">
        <v>72</v>
      </c>
      <c r="B584" s="31">
        <v>919</v>
      </c>
      <c r="C584" s="24" t="s">
        <v>31</v>
      </c>
      <c r="D584" s="24" t="s">
        <v>14</v>
      </c>
      <c r="E584" s="24" t="s">
        <v>304</v>
      </c>
      <c r="F584" s="24" t="s">
        <v>73</v>
      </c>
      <c r="G584" s="25">
        <v>14244.7</v>
      </c>
      <c r="H584" s="62">
        <v>0</v>
      </c>
      <c r="I584" s="62">
        <v>0</v>
      </c>
    </row>
    <row r="585" spans="1:17" ht="38.25" x14ac:dyDescent="0.2">
      <c r="A585" s="18" t="s">
        <v>307</v>
      </c>
      <c r="B585" s="22">
        <v>919</v>
      </c>
      <c r="C585" s="19" t="s">
        <v>31</v>
      </c>
      <c r="D585" s="19" t="s">
        <v>14</v>
      </c>
      <c r="E585" s="19" t="s">
        <v>306</v>
      </c>
      <c r="F585" s="19"/>
      <c r="G585" s="20">
        <v>2657.7</v>
      </c>
      <c r="H585" s="20">
        <v>0</v>
      </c>
      <c r="I585" s="20">
        <v>0</v>
      </c>
      <c r="J585" s="237"/>
      <c r="K585" s="237"/>
      <c r="L585" s="237"/>
      <c r="M585" s="237"/>
      <c r="N585" s="237"/>
      <c r="O585" s="237"/>
      <c r="P585" s="237"/>
      <c r="Q585" s="237"/>
    </row>
    <row r="586" spans="1:17" s="26" customFormat="1" x14ac:dyDescent="0.2">
      <c r="A586" s="28" t="s">
        <v>72</v>
      </c>
      <c r="B586" s="31">
        <v>919</v>
      </c>
      <c r="C586" s="24" t="s">
        <v>31</v>
      </c>
      <c r="D586" s="24" t="s">
        <v>14</v>
      </c>
      <c r="E586" s="24" t="s">
        <v>306</v>
      </c>
      <c r="F586" s="24" t="s">
        <v>73</v>
      </c>
      <c r="G586" s="25">
        <v>2657.7</v>
      </c>
      <c r="H586" s="62">
        <v>0</v>
      </c>
      <c r="I586" s="62">
        <v>0</v>
      </c>
    </row>
    <row r="587" spans="1:17" s="9" customFormat="1" x14ac:dyDescent="0.2">
      <c r="A587" s="11" t="s">
        <v>35</v>
      </c>
      <c r="B587" s="14">
        <v>919</v>
      </c>
      <c r="C587" s="8" t="s">
        <v>31</v>
      </c>
      <c r="D587" s="8" t="s">
        <v>16</v>
      </c>
      <c r="E587" s="8"/>
      <c r="F587" s="8"/>
      <c r="G587" s="4">
        <v>26487.608990000004</v>
      </c>
      <c r="H587" s="4">
        <v>0</v>
      </c>
      <c r="I587" s="4">
        <v>0</v>
      </c>
      <c r="J587" s="127"/>
      <c r="K587" s="127"/>
      <c r="L587" s="127"/>
      <c r="M587" s="127"/>
      <c r="N587" s="127"/>
      <c r="O587" s="127"/>
      <c r="P587" s="127"/>
      <c r="Q587" s="127"/>
    </row>
    <row r="588" spans="1:17" s="7" customFormat="1" ht="25.5" x14ac:dyDescent="0.2">
      <c r="A588" s="17" t="s">
        <v>441</v>
      </c>
      <c r="B588" s="43">
        <v>919</v>
      </c>
      <c r="C588" s="19" t="s">
        <v>31</v>
      </c>
      <c r="D588" s="19" t="s">
        <v>16</v>
      </c>
      <c r="E588" s="19" t="s">
        <v>438</v>
      </c>
      <c r="F588" s="19"/>
      <c r="G588" s="20">
        <v>8654.7682000000023</v>
      </c>
      <c r="H588" s="20">
        <v>0</v>
      </c>
      <c r="I588" s="20">
        <v>0</v>
      </c>
      <c r="J588" s="119"/>
      <c r="K588" s="119"/>
      <c r="L588" s="119"/>
      <c r="M588" s="119"/>
      <c r="N588" s="119"/>
      <c r="O588" s="119"/>
      <c r="P588" s="119"/>
      <c r="Q588" s="119"/>
    </row>
    <row r="589" spans="1:17" s="7" customFormat="1" ht="25.5" x14ac:dyDescent="0.2">
      <c r="A589" s="28" t="s">
        <v>76</v>
      </c>
      <c r="B589" s="31">
        <v>919</v>
      </c>
      <c r="C589" s="24" t="s">
        <v>31</v>
      </c>
      <c r="D589" s="24" t="s">
        <v>16</v>
      </c>
      <c r="E589" s="19" t="s">
        <v>438</v>
      </c>
      <c r="F589" s="24" t="s">
        <v>68</v>
      </c>
      <c r="G589" s="25">
        <v>3451.1749500000028</v>
      </c>
      <c r="H589" s="25">
        <v>0</v>
      </c>
      <c r="I589" s="25"/>
      <c r="J589" s="119"/>
      <c r="K589" s="119"/>
      <c r="L589" s="119"/>
      <c r="M589" s="119"/>
      <c r="N589" s="119"/>
      <c r="O589" s="119"/>
      <c r="P589" s="119"/>
      <c r="Q589" s="119"/>
    </row>
    <row r="590" spans="1:17" s="7" customFormat="1" ht="25.5" x14ac:dyDescent="0.2">
      <c r="A590" s="28" t="s">
        <v>141</v>
      </c>
      <c r="B590" s="31">
        <v>919</v>
      </c>
      <c r="C590" s="24" t="s">
        <v>31</v>
      </c>
      <c r="D590" s="24" t="s">
        <v>16</v>
      </c>
      <c r="E590" s="19" t="s">
        <v>438</v>
      </c>
      <c r="F590" s="24" t="s">
        <v>65</v>
      </c>
      <c r="G590" s="25">
        <v>5203.5932499999999</v>
      </c>
      <c r="H590" s="25">
        <v>0</v>
      </c>
      <c r="I590" s="25"/>
      <c r="J590" s="119"/>
      <c r="K590" s="119"/>
      <c r="L590" s="119"/>
      <c r="M590" s="119"/>
      <c r="N590" s="119"/>
      <c r="O590" s="119"/>
      <c r="P590" s="119"/>
      <c r="Q590" s="119"/>
    </row>
    <row r="591" spans="1:17" s="7" customFormat="1" ht="25.5" x14ac:dyDescent="0.2">
      <c r="A591" s="17" t="s">
        <v>369</v>
      </c>
      <c r="B591" s="43">
        <v>919</v>
      </c>
      <c r="C591" s="19" t="s">
        <v>31</v>
      </c>
      <c r="D591" s="19" t="s">
        <v>16</v>
      </c>
      <c r="E591" s="19" t="s">
        <v>368</v>
      </c>
      <c r="F591" s="19"/>
      <c r="G591" s="20">
        <v>150</v>
      </c>
      <c r="H591" s="20">
        <v>0</v>
      </c>
      <c r="I591" s="20">
        <v>0</v>
      </c>
    </row>
    <row r="592" spans="1:17" s="7" customFormat="1" ht="25.5" x14ac:dyDescent="0.2">
      <c r="A592" s="28" t="s">
        <v>76</v>
      </c>
      <c r="B592" s="31">
        <v>919</v>
      </c>
      <c r="C592" s="24" t="s">
        <v>31</v>
      </c>
      <c r="D592" s="24" t="s">
        <v>16</v>
      </c>
      <c r="E592" s="19" t="s">
        <v>368</v>
      </c>
      <c r="F592" s="24" t="s">
        <v>68</v>
      </c>
      <c r="G592" s="25">
        <v>150</v>
      </c>
      <c r="H592" s="62">
        <v>0</v>
      </c>
      <c r="I592" s="62">
        <v>0</v>
      </c>
    </row>
    <row r="593" spans="1:17" s="7" customFormat="1" ht="25.5" x14ac:dyDescent="0.2">
      <c r="A593" s="17" t="s">
        <v>409</v>
      </c>
      <c r="B593" s="43">
        <v>919</v>
      </c>
      <c r="C593" s="19" t="s">
        <v>31</v>
      </c>
      <c r="D593" s="19" t="s">
        <v>16</v>
      </c>
      <c r="E593" s="19" t="s">
        <v>407</v>
      </c>
      <c r="F593" s="19"/>
      <c r="G593" s="20">
        <v>181.64079000000004</v>
      </c>
      <c r="H593" s="20">
        <v>0</v>
      </c>
      <c r="I593" s="20">
        <v>0</v>
      </c>
      <c r="J593" s="119"/>
      <c r="K593" s="119"/>
      <c r="L593" s="119"/>
      <c r="M593" s="119"/>
      <c r="N593" s="119"/>
      <c r="O593" s="119"/>
      <c r="P593" s="119"/>
      <c r="Q593" s="119"/>
    </row>
    <row r="594" spans="1:17" s="7" customFormat="1" ht="25.5" x14ac:dyDescent="0.2">
      <c r="A594" s="28" t="s">
        <v>76</v>
      </c>
      <c r="B594" s="31">
        <v>919</v>
      </c>
      <c r="C594" s="24" t="s">
        <v>31</v>
      </c>
      <c r="D594" s="24" t="s">
        <v>16</v>
      </c>
      <c r="E594" s="24" t="s">
        <v>408</v>
      </c>
      <c r="F594" s="24" t="s">
        <v>68</v>
      </c>
      <c r="G594" s="25">
        <v>181.64079000000004</v>
      </c>
      <c r="H594" s="25">
        <v>0</v>
      </c>
      <c r="I594" s="25"/>
      <c r="J594" s="119"/>
      <c r="K594" s="119"/>
      <c r="L594" s="119"/>
      <c r="M594" s="119"/>
      <c r="N594" s="119"/>
      <c r="O594" s="119"/>
      <c r="P594" s="119"/>
      <c r="Q594" s="119"/>
    </row>
    <row r="595" spans="1:17" s="88" customFormat="1" x14ac:dyDescent="0.2">
      <c r="A595" s="75" t="s">
        <v>309</v>
      </c>
      <c r="B595" s="76">
        <v>919</v>
      </c>
      <c r="C595" s="77" t="s">
        <v>31</v>
      </c>
      <c r="D595" s="77" t="s">
        <v>16</v>
      </c>
      <c r="E595" s="77" t="s">
        <v>308</v>
      </c>
      <c r="F595" s="77"/>
      <c r="G595" s="78">
        <v>650</v>
      </c>
      <c r="H595" s="78">
        <v>0</v>
      </c>
      <c r="I595" s="78">
        <v>0</v>
      </c>
    </row>
    <row r="596" spans="1:17" s="84" customFormat="1" ht="25.5" x14ac:dyDescent="0.2">
      <c r="A596" s="87" t="s">
        <v>141</v>
      </c>
      <c r="B596" s="86">
        <v>919</v>
      </c>
      <c r="C596" s="82" t="s">
        <v>31</v>
      </c>
      <c r="D596" s="82" t="s">
        <v>16</v>
      </c>
      <c r="E596" s="82" t="s">
        <v>308</v>
      </c>
      <c r="F596" s="82" t="s">
        <v>65</v>
      </c>
      <c r="G596" s="62">
        <v>650</v>
      </c>
      <c r="H596" s="62">
        <v>0</v>
      </c>
      <c r="I596" s="62">
        <v>0</v>
      </c>
    </row>
    <row r="597" spans="1:17" s="7" customFormat="1" ht="25.5" x14ac:dyDescent="0.2">
      <c r="A597" s="18" t="s">
        <v>310</v>
      </c>
      <c r="B597" s="22">
        <v>919</v>
      </c>
      <c r="C597" s="19" t="s">
        <v>31</v>
      </c>
      <c r="D597" s="19" t="s">
        <v>16</v>
      </c>
      <c r="E597" s="19" t="s">
        <v>311</v>
      </c>
      <c r="F597" s="19"/>
      <c r="G597" s="20">
        <v>3500</v>
      </c>
      <c r="H597" s="20">
        <v>0</v>
      </c>
      <c r="I597" s="20">
        <v>0</v>
      </c>
    </row>
    <row r="598" spans="1:17" s="26" customFormat="1" ht="25.5" x14ac:dyDescent="0.2">
      <c r="A598" s="28" t="s">
        <v>141</v>
      </c>
      <c r="B598" s="31">
        <v>919</v>
      </c>
      <c r="C598" s="24" t="s">
        <v>31</v>
      </c>
      <c r="D598" s="24" t="s">
        <v>16</v>
      </c>
      <c r="E598" s="24" t="s">
        <v>311</v>
      </c>
      <c r="F598" s="24" t="s">
        <v>65</v>
      </c>
      <c r="G598" s="25">
        <v>3500</v>
      </c>
      <c r="H598" s="62">
        <v>0</v>
      </c>
      <c r="I598" s="62">
        <v>0</v>
      </c>
    </row>
    <row r="599" spans="1:17" s="7" customFormat="1" x14ac:dyDescent="0.2">
      <c r="A599" s="18" t="s">
        <v>313</v>
      </c>
      <c r="B599" s="22">
        <v>919</v>
      </c>
      <c r="C599" s="24" t="s">
        <v>31</v>
      </c>
      <c r="D599" s="24" t="s">
        <v>16</v>
      </c>
      <c r="E599" s="19" t="s">
        <v>312</v>
      </c>
      <c r="F599" s="24"/>
      <c r="G599" s="25">
        <v>1000</v>
      </c>
      <c r="H599" s="25">
        <v>0</v>
      </c>
      <c r="I599" s="25">
        <v>0</v>
      </c>
    </row>
    <row r="600" spans="1:17" s="26" customFormat="1" ht="25.5" x14ac:dyDescent="0.2">
      <c r="A600" s="28" t="s">
        <v>141</v>
      </c>
      <c r="B600" s="31">
        <v>919</v>
      </c>
      <c r="C600" s="24" t="s">
        <v>31</v>
      </c>
      <c r="D600" s="24" t="s">
        <v>16</v>
      </c>
      <c r="E600" s="24" t="s">
        <v>312</v>
      </c>
      <c r="F600" s="24" t="s">
        <v>65</v>
      </c>
      <c r="G600" s="25">
        <v>1000</v>
      </c>
      <c r="H600" s="62">
        <v>0</v>
      </c>
      <c r="I600" s="62">
        <v>0</v>
      </c>
    </row>
    <row r="601" spans="1:17" s="7" customFormat="1" ht="38.25" x14ac:dyDescent="0.2">
      <c r="A601" s="18" t="s">
        <v>315</v>
      </c>
      <c r="B601" s="22">
        <v>919</v>
      </c>
      <c r="C601" s="19" t="s">
        <v>31</v>
      </c>
      <c r="D601" s="19" t="s">
        <v>16</v>
      </c>
      <c r="E601" s="16" t="s">
        <v>314</v>
      </c>
      <c r="F601" s="19"/>
      <c r="G601" s="20">
        <v>8351.1999999999989</v>
      </c>
      <c r="H601" s="20">
        <v>0</v>
      </c>
      <c r="I601" s="20">
        <v>0</v>
      </c>
      <c r="J601" s="119"/>
      <c r="K601" s="119"/>
      <c r="L601" s="119"/>
      <c r="M601" s="119"/>
      <c r="N601" s="119"/>
      <c r="O601" s="119"/>
      <c r="P601" s="119"/>
      <c r="Q601" s="119"/>
    </row>
    <row r="602" spans="1:17" s="7" customFormat="1" ht="25.5" x14ac:dyDescent="0.2">
      <c r="A602" s="28" t="s">
        <v>76</v>
      </c>
      <c r="B602" s="31">
        <v>919</v>
      </c>
      <c r="C602" s="24" t="s">
        <v>31</v>
      </c>
      <c r="D602" s="24" t="s">
        <v>16</v>
      </c>
      <c r="E602" s="16" t="s">
        <v>314</v>
      </c>
      <c r="F602" s="19" t="s">
        <v>68</v>
      </c>
      <c r="G602" s="20">
        <v>87.8</v>
      </c>
      <c r="H602" s="20">
        <v>0</v>
      </c>
      <c r="I602" s="20">
        <v>0</v>
      </c>
      <c r="J602" s="119"/>
      <c r="K602" s="119"/>
      <c r="L602" s="119"/>
      <c r="M602" s="119"/>
      <c r="N602" s="119"/>
      <c r="O602" s="119"/>
      <c r="P602" s="119"/>
      <c r="Q602" s="119"/>
    </row>
    <row r="603" spans="1:17" s="26" customFormat="1" ht="25.5" x14ac:dyDescent="0.2">
      <c r="A603" s="28" t="s">
        <v>141</v>
      </c>
      <c r="B603" s="31">
        <v>919</v>
      </c>
      <c r="C603" s="24" t="s">
        <v>31</v>
      </c>
      <c r="D603" s="24" t="s">
        <v>16</v>
      </c>
      <c r="E603" s="16" t="s">
        <v>314</v>
      </c>
      <c r="F603" s="24" t="s">
        <v>65</v>
      </c>
      <c r="G603" s="25">
        <v>8263.4</v>
      </c>
      <c r="H603" s="25">
        <v>0</v>
      </c>
      <c r="I603" s="25">
        <v>0</v>
      </c>
      <c r="J603" s="118"/>
      <c r="K603" s="118"/>
      <c r="L603" s="118"/>
      <c r="M603" s="118"/>
      <c r="N603" s="118"/>
      <c r="O603" s="118"/>
      <c r="P603" s="118"/>
      <c r="Q603" s="118"/>
    </row>
    <row r="604" spans="1:17" x14ac:dyDescent="0.2">
      <c r="A604" s="18" t="s">
        <v>389</v>
      </c>
      <c r="B604" s="18">
        <v>919</v>
      </c>
      <c r="C604" s="19" t="s">
        <v>31</v>
      </c>
      <c r="D604" s="19" t="s">
        <v>16</v>
      </c>
      <c r="E604" s="16" t="s">
        <v>390</v>
      </c>
      <c r="F604" s="19"/>
      <c r="G604" s="20">
        <v>4000</v>
      </c>
      <c r="H604" s="20">
        <v>0</v>
      </c>
      <c r="I604" s="20">
        <v>0</v>
      </c>
      <c r="J604" s="237"/>
      <c r="K604" s="237"/>
      <c r="L604" s="237"/>
      <c r="M604" s="237"/>
      <c r="N604" s="237"/>
      <c r="O604" s="237"/>
      <c r="P604" s="237"/>
      <c r="Q604" s="237"/>
    </row>
    <row r="605" spans="1:17" ht="25.5" x14ac:dyDescent="0.2">
      <c r="A605" s="28" t="s">
        <v>141</v>
      </c>
      <c r="B605" s="28">
        <v>919</v>
      </c>
      <c r="C605" s="24" t="s">
        <v>31</v>
      </c>
      <c r="D605" s="24" t="s">
        <v>16</v>
      </c>
      <c r="E605" s="16" t="s">
        <v>390</v>
      </c>
      <c r="F605" s="24" t="s">
        <v>65</v>
      </c>
      <c r="G605" s="25">
        <v>4000</v>
      </c>
      <c r="H605" s="62">
        <v>0</v>
      </c>
      <c r="I605" s="62">
        <v>0</v>
      </c>
      <c r="J605" s="237"/>
      <c r="K605" s="237"/>
      <c r="L605" s="237"/>
      <c r="M605" s="237"/>
      <c r="N605" s="237"/>
      <c r="O605" s="237"/>
      <c r="P605" s="237"/>
      <c r="Q605" s="237"/>
    </row>
    <row r="606" spans="1:17" s="74" customFormat="1" ht="25.5" x14ac:dyDescent="0.2">
      <c r="A606" s="70" t="s">
        <v>36</v>
      </c>
      <c r="B606" s="71">
        <v>919</v>
      </c>
      <c r="C606" s="72" t="s">
        <v>31</v>
      </c>
      <c r="D606" s="72" t="s">
        <v>31</v>
      </c>
      <c r="E606" s="72"/>
      <c r="F606" s="72"/>
      <c r="G606" s="73">
        <v>27467.5</v>
      </c>
      <c r="H606" s="73">
        <v>18451.8</v>
      </c>
      <c r="I606" s="73">
        <v>18272.599999999999</v>
      </c>
    </row>
    <row r="607" spans="1:17" ht="38.25" x14ac:dyDescent="0.2">
      <c r="A607" s="18" t="s">
        <v>317</v>
      </c>
      <c r="B607" s="22">
        <v>919</v>
      </c>
      <c r="C607" s="19" t="s">
        <v>31</v>
      </c>
      <c r="D607" s="19" t="s">
        <v>31</v>
      </c>
      <c r="E607" s="19" t="s">
        <v>316</v>
      </c>
      <c r="F607" s="19"/>
      <c r="G607" s="20">
        <v>5099.4000000000005</v>
      </c>
      <c r="H607" s="20">
        <v>0</v>
      </c>
      <c r="I607" s="20">
        <v>0</v>
      </c>
      <c r="J607" s="117"/>
      <c r="K607" s="117"/>
      <c r="L607" s="117"/>
      <c r="M607" s="117"/>
      <c r="N607" s="117"/>
      <c r="O607" s="117"/>
      <c r="P607" s="117"/>
      <c r="Q607" s="117"/>
    </row>
    <row r="608" spans="1:17" s="26" customFormat="1" ht="25.5" x14ac:dyDescent="0.2">
      <c r="A608" s="28" t="s">
        <v>141</v>
      </c>
      <c r="B608" s="31">
        <v>919</v>
      </c>
      <c r="C608" s="24" t="s">
        <v>31</v>
      </c>
      <c r="D608" s="24" t="s">
        <v>31</v>
      </c>
      <c r="E608" s="24" t="s">
        <v>316</v>
      </c>
      <c r="F608" s="24" t="s">
        <v>65</v>
      </c>
      <c r="G608" s="25">
        <v>5099.4000000000005</v>
      </c>
      <c r="H608" s="25">
        <v>0</v>
      </c>
      <c r="I608" s="25">
        <v>0</v>
      </c>
      <c r="J608" s="118"/>
      <c r="K608" s="118"/>
      <c r="L608" s="118"/>
      <c r="M608" s="118"/>
      <c r="N608" s="118"/>
      <c r="O608" s="118"/>
      <c r="P608" s="118"/>
      <c r="Q608" s="118"/>
    </row>
    <row r="609" spans="1:17" ht="23.25" customHeight="1" x14ac:dyDescent="0.2">
      <c r="A609" s="18" t="s">
        <v>319</v>
      </c>
      <c r="B609" s="22">
        <v>919</v>
      </c>
      <c r="C609" s="19" t="s">
        <v>31</v>
      </c>
      <c r="D609" s="19" t="s">
        <v>31</v>
      </c>
      <c r="E609" s="19" t="s">
        <v>318</v>
      </c>
      <c r="F609" s="19"/>
      <c r="G609" s="20">
        <v>6303.5</v>
      </c>
      <c r="H609" s="20">
        <v>4769</v>
      </c>
      <c r="I609" s="20">
        <v>4769</v>
      </c>
      <c r="J609" s="117"/>
      <c r="K609" s="117"/>
      <c r="L609" s="117"/>
      <c r="M609" s="117"/>
      <c r="N609" s="117"/>
      <c r="O609" s="117"/>
      <c r="P609" s="117"/>
      <c r="Q609" s="117"/>
    </row>
    <row r="610" spans="1:17" s="26" customFormat="1" ht="54" customHeight="1" x14ac:dyDescent="0.2">
      <c r="A610" s="30" t="s">
        <v>66</v>
      </c>
      <c r="B610" s="32">
        <v>919</v>
      </c>
      <c r="C610" s="24" t="s">
        <v>31</v>
      </c>
      <c r="D610" s="24" t="s">
        <v>31</v>
      </c>
      <c r="E610" s="24" t="s">
        <v>318</v>
      </c>
      <c r="F610" s="24" t="s">
        <v>67</v>
      </c>
      <c r="G610" s="25">
        <v>5860.9</v>
      </c>
      <c r="H610" s="25">
        <v>4351.3999999999996</v>
      </c>
      <c r="I610" s="25">
        <v>4351.3999999999996</v>
      </c>
      <c r="J610" s="118"/>
      <c r="K610" s="118"/>
      <c r="L610" s="118"/>
      <c r="M610" s="118"/>
      <c r="N610" s="118"/>
      <c r="O610" s="118"/>
      <c r="P610" s="118"/>
      <c r="Q610" s="118"/>
    </row>
    <row r="611" spans="1:17" s="26" customFormat="1" ht="25.5" x14ac:dyDescent="0.2">
      <c r="A611" s="28" t="s">
        <v>76</v>
      </c>
      <c r="B611" s="32">
        <v>919</v>
      </c>
      <c r="C611" s="24" t="s">
        <v>31</v>
      </c>
      <c r="D611" s="24" t="s">
        <v>31</v>
      </c>
      <c r="E611" s="24" t="s">
        <v>318</v>
      </c>
      <c r="F611" s="24" t="s">
        <v>68</v>
      </c>
      <c r="G611" s="25">
        <v>442.6</v>
      </c>
      <c r="H611" s="25">
        <v>417.6</v>
      </c>
      <c r="I611" s="25">
        <v>417.6</v>
      </c>
      <c r="J611" s="118"/>
      <c r="K611" s="118"/>
      <c r="L611" s="118"/>
      <c r="M611" s="118"/>
      <c r="N611" s="118"/>
      <c r="O611" s="118"/>
      <c r="P611" s="118"/>
      <c r="Q611" s="118"/>
    </row>
    <row r="612" spans="1:17" s="12" customFormat="1" ht="38.25" x14ac:dyDescent="0.2">
      <c r="A612" s="18" t="s">
        <v>321</v>
      </c>
      <c r="B612" s="22">
        <v>919</v>
      </c>
      <c r="C612" s="19" t="s">
        <v>31</v>
      </c>
      <c r="D612" s="19" t="s">
        <v>31</v>
      </c>
      <c r="E612" s="19" t="s">
        <v>320</v>
      </c>
      <c r="F612" s="5"/>
      <c r="G612" s="6">
        <v>16064.599999999999</v>
      </c>
      <c r="H612" s="6">
        <v>13682.8</v>
      </c>
      <c r="I612" s="6">
        <v>13503.6</v>
      </c>
      <c r="J612" s="128"/>
      <c r="K612" s="128"/>
      <c r="L612" s="128"/>
      <c r="M612" s="128"/>
      <c r="N612" s="128"/>
      <c r="O612" s="128"/>
      <c r="P612" s="128"/>
      <c r="Q612" s="128"/>
    </row>
    <row r="613" spans="1:17" s="26" customFormat="1" ht="25.5" x14ac:dyDescent="0.2">
      <c r="A613" s="28" t="s">
        <v>141</v>
      </c>
      <c r="B613" s="31">
        <v>919</v>
      </c>
      <c r="C613" s="24" t="s">
        <v>31</v>
      </c>
      <c r="D613" s="24" t="s">
        <v>31</v>
      </c>
      <c r="E613" s="24" t="s">
        <v>320</v>
      </c>
      <c r="F613" s="24" t="s">
        <v>65</v>
      </c>
      <c r="G613" s="25">
        <v>16064.599999999999</v>
      </c>
      <c r="H613" s="25">
        <v>13682.8</v>
      </c>
      <c r="I613" s="25">
        <v>13503.6</v>
      </c>
      <c r="J613" s="118"/>
      <c r="K613" s="118"/>
      <c r="L613" s="118"/>
      <c r="M613" s="118"/>
      <c r="N613" s="118"/>
      <c r="O613" s="118"/>
      <c r="P613" s="118"/>
      <c r="Q613" s="118"/>
    </row>
    <row r="614" spans="1:17" s="9" customFormat="1" x14ac:dyDescent="0.2">
      <c r="A614" s="11" t="s">
        <v>52</v>
      </c>
      <c r="B614" s="14">
        <v>919</v>
      </c>
      <c r="C614" s="8" t="s">
        <v>51</v>
      </c>
      <c r="D614" s="8"/>
      <c r="E614" s="8"/>
      <c r="F614" s="8"/>
      <c r="G614" s="4">
        <v>2450.8999999999996</v>
      </c>
      <c r="H614" s="4">
        <v>0</v>
      </c>
      <c r="I614" s="4">
        <v>0</v>
      </c>
    </row>
    <row r="615" spans="1:17" s="9" customFormat="1" x14ac:dyDescent="0.2">
      <c r="A615" s="11" t="s">
        <v>57</v>
      </c>
      <c r="B615" s="14">
        <v>919</v>
      </c>
      <c r="C615" s="8" t="s">
        <v>51</v>
      </c>
      <c r="D615" s="8" t="s">
        <v>50</v>
      </c>
      <c r="E615" s="8"/>
      <c r="F615" s="8"/>
      <c r="G615" s="4">
        <v>2450.8999999999996</v>
      </c>
      <c r="H615" s="4">
        <v>0</v>
      </c>
      <c r="I615" s="4">
        <v>0</v>
      </c>
    </row>
    <row r="616" spans="1:17" x14ac:dyDescent="0.2">
      <c r="A616" s="18" t="s">
        <v>322</v>
      </c>
      <c r="B616" s="22">
        <v>919</v>
      </c>
      <c r="C616" s="19" t="s">
        <v>51</v>
      </c>
      <c r="D616" s="19" t="s">
        <v>50</v>
      </c>
      <c r="E616" s="19" t="s">
        <v>323</v>
      </c>
      <c r="F616" s="19"/>
      <c r="G616" s="20">
        <v>847.8</v>
      </c>
      <c r="H616" s="20">
        <v>0</v>
      </c>
      <c r="I616" s="20">
        <v>0</v>
      </c>
      <c r="J616" s="237"/>
      <c r="K616" s="237"/>
      <c r="L616" s="237"/>
      <c r="M616" s="237"/>
      <c r="N616" s="237"/>
      <c r="O616" s="237"/>
      <c r="P616" s="237"/>
      <c r="Q616" s="237"/>
    </row>
    <row r="617" spans="1:17" s="26" customFormat="1" x14ac:dyDescent="0.2">
      <c r="A617" s="28" t="s">
        <v>69</v>
      </c>
      <c r="B617" s="31">
        <v>919</v>
      </c>
      <c r="C617" s="24" t="s">
        <v>51</v>
      </c>
      <c r="D617" s="24" t="s">
        <v>50</v>
      </c>
      <c r="E617" s="24" t="s">
        <v>323</v>
      </c>
      <c r="F617" s="24" t="s">
        <v>70</v>
      </c>
      <c r="G617" s="25">
        <v>847.8</v>
      </c>
      <c r="H617" s="62">
        <v>0</v>
      </c>
      <c r="I617" s="62">
        <v>0</v>
      </c>
    </row>
    <row r="618" spans="1:17" ht="25.5" x14ac:dyDescent="0.2">
      <c r="A618" s="18" t="s">
        <v>325</v>
      </c>
      <c r="B618" s="18">
        <v>919</v>
      </c>
      <c r="C618" s="19" t="s">
        <v>51</v>
      </c>
      <c r="D618" s="19" t="s">
        <v>50</v>
      </c>
      <c r="E618" s="19" t="s">
        <v>324</v>
      </c>
      <c r="F618" s="19"/>
      <c r="G618" s="20">
        <v>1553.1</v>
      </c>
      <c r="H618" s="20">
        <v>0</v>
      </c>
      <c r="I618" s="20">
        <v>0</v>
      </c>
      <c r="J618" s="117"/>
      <c r="K618" s="117"/>
      <c r="L618" s="117"/>
      <c r="M618" s="117"/>
      <c r="N618" s="117"/>
      <c r="O618" s="117"/>
      <c r="P618" s="117"/>
      <c r="Q618" s="117"/>
    </row>
    <row r="619" spans="1:17" s="26" customFormat="1" x14ac:dyDescent="0.2">
      <c r="A619" s="28" t="s">
        <v>69</v>
      </c>
      <c r="B619" s="28">
        <v>919</v>
      </c>
      <c r="C619" s="24" t="s">
        <v>51</v>
      </c>
      <c r="D619" s="24" t="s">
        <v>50</v>
      </c>
      <c r="E619" s="24" t="s">
        <v>324</v>
      </c>
      <c r="F619" s="24" t="s">
        <v>70</v>
      </c>
      <c r="G619" s="25">
        <v>1553.1</v>
      </c>
      <c r="H619" s="25">
        <v>0</v>
      </c>
      <c r="I619" s="25">
        <v>0</v>
      </c>
      <c r="J619" s="118"/>
      <c r="K619" s="118"/>
      <c r="L619" s="118"/>
      <c r="M619" s="118"/>
      <c r="N619" s="118"/>
      <c r="O619" s="118"/>
      <c r="P619" s="118"/>
      <c r="Q619" s="118"/>
    </row>
    <row r="620" spans="1:17" ht="76.5" x14ac:dyDescent="0.2">
      <c r="A620" s="61" t="s">
        <v>327</v>
      </c>
      <c r="B620" s="51">
        <v>919</v>
      </c>
      <c r="C620" s="19" t="s">
        <v>51</v>
      </c>
      <c r="D620" s="19" t="s">
        <v>50</v>
      </c>
      <c r="E620" s="19" t="s">
        <v>326</v>
      </c>
      <c r="F620" s="19"/>
      <c r="G620" s="20">
        <v>50</v>
      </c>
      <c r="H620" s="20">
        <v>0</v>
      </c>
      <c r="I620" s="20">
        <v>0</v>
      </c>
      <c r="J620" s="117"/>
      <c r="K620" s="117"/>
      <c r="L620" s="117"/>
      <c r="M620" s="117"/>
      <c r="N620" s="117"/>
      <c r="O620" s="117"/>
      <c r="P620" s="117"/>
      <c r="Q620" s="117"/>
    </row>
    <row r="621" spans="1:17" s="26" customFormat="1" x14ac:dyDescent="0.2">
      <c r="A621" s="52" t="s">
        <v>69</v>
      </c>
      <c r="B621" s="28">
        <v>919</v>
      </c>
      <c r="C621" s="24" t="s">
        <v>51</v>
      </c>
      <c r="D621" s="24" t="s">
        <v>50</v>
      </c>
      <c r="E621" s="24" t="s">
        <v>326</v>
      </c>
      <c r="F621" s="24" t="s">
        <v>70</v>
      </c>
      <c r="G621" s="25">
        <v>50</v>
      </c>
      <c r="H621" s="25">
        <v>0</v>
      </c>
      <c r="I621" s="25">
        <v>0</v>
      </c>
      <c r="J621" s="118"/>
      <c r="K621" s="118"/>
      <c r="L621" s="118"/>
      <c r="M621" s="118"/>
      <c r="N621" s="118"/>
      <c r="O621" s="118"/>
      <c r="P621" s="118"/>
      <c r="Q621" s="118"/>
    </row>
    <row r="622" spans="1:17" s="15" customFormat="1" ht="14.25" customHeight="1" x14ac:dyDescent="0.25">
      <c r="A622" s="33" t="s">
        <v>58</v>
      </c>
      <c r="B622" s="45"/>
      <c r="C622" s="34"/>
      <c r="D622" s="34"/>
      <c r="E622" s="34"/>
      <c r="F622" s="34"/>
      <c r="G622" s="35">
        <v>3554306.0833700001</v>
      </c>
      <c r="H622" s="35">
        <v>2743590.4217400001</v>
      </c>
      <c r="I622" s="35">
        <v>2712916.764</v>
      </c>
    </row>
    <row r="623" spans="1:17" ht="9.75" customHeight="1" x14ac:dyDescent="0.2">
      <c r="G623" s="134"/>
      <c r="H623" s="134"/>
      <c r="I623" s="134"/>
      <c r="J623" s="237"/>
      <c r="K623" s="237"/>
      <c r="L623" s="237"/>
      <c r="M623" s="237"/>
      <c r="N623" s="237"/>
      <c r="O623" s="237"/>
      <c r="P623" s="237"/>
      <c r="Q623" s="237"/>
    </row>
    <row r="624" spans="1:17" s="79" customFormat="1" hidden="1" x14ac:dyDescent="0.2">
      <c r="C624" s="108"/>
      <c r="D624" s="108"/>
      <c r="E624" s="108"/>
      <c r="F624" s="108"/>
      <c r="G624" s="112"/>
      <c r="H624" s="112"/>
      <c r="I624" s="112"/>
    </row>
    <row r="625" spans="1:17" s="79" customFormat="1" hidden="1" x14ac:dyDescent="0.2">
      <c r="C625" s="108"/>
      <c r="D625" s="108"/>
      <c r="E625" s="108"/>
      <c r="F625" s="108"/>
      <c r="G625" s="112">
        <f>3068286.91127+2000+13.63059+1268.63294+40.89179+50+2538.27819+25-500+120+40+30+452+800+85.1-549+37672.1+158.5+119.3+186.5+137.6-5.6-595.9+180.6+283.3+54.52238+52000+1000+850-30+88+3200+1339+110+685.7-30+100-100-4017-390-45+1000+650+15+4432.6+50+1.5-650+6952.9-312.4628+100879+81</f>
        <v>3280752.6043600002</v>
      </c>
      <c r="H625" s="112">
        <f>2338074.6-387+20441.05382+796.44</f>
        <v>2358925.0938200001</v>
      </c>
      <c r="I625" s="112">
        <f>2308087.1-387+21095.92313+821.96</f>
        <v>2329617.9831300001</v>
      </c>
    </row>
    <row r="626" spans="1:17" s="79" customFormat="1" hidden="1" x14ac:dyDescent="0.2">
      <c r="C626" s="108"/>
      <c r="D626" s="108"/>
      <c r="E626" s="108"/>
      <c r="F626" s="108"/>
      <c r="G626" s="113">
        <f>G625-G622</f>
        <v>-273553.47900999989</v>
      </c>
      <c r="H626" s="112">
        <f>H625-H622</f>
        <v>-384665.32792000007</v>
      </c>
      <c r="I626" s="112">
        <f>I625-I622</f>
        <v>-383298.7808699999</v>
      </c>
    </row>
    <row r="627" spans="1:17" ht="30" customHeight="1" x14ac:dyDescent="0.2">
      <c r="A627" s="135" t="s">
        <v>736</v>
      </c>
      <c r="B627" s="266"/>
      <c r="F627" s="134"/>
      <c r="G627" s="136"/>
      <c r="H627" s="136"/>
      <c r="I627" s="137" t="s">
        <v>737</v>
      </c>
      <c r="J627" s="237"/>
      <c r="K627" s="237"/>
      <c r="L627" s="237"/>
      <c r="M627" s="237"/>
      <c r="N627" s="237"/>
      <c r="O627" s="237"/>
      <c r="P627" s="237"/>
      <c r="Q627" s="237"/>
    </row>
    <row r="629" spans="1:17" x14ac:dyDescent="0.2">
      <c r="G629" s="216"/>
      <c r="H629" s="216"/>
      <c r="I629" s="216"/>
      <c r="J629" s="216" t="e">
        <f>#REF!-#REF!</f>
        <v>#REF!</v>
      </c>
      <c r="K629" s="216" t="e">
        <f>#REF!-#REF!</f>
        <v>#REF!</v>
      </c>
      <c r="L629" s="216" t="e">
        <f>#REF!-#REF!</f>
        <v>#REF!</v>
      </c>
      <c r="M629" s="216" t="e">
        <f>#REF!-#REF!</f>
        <v>#REF!</v>
      </c>
      <c r="N629" s="216" t="e">
        <f>#REF!-#REF!</f>
        <v>#REF!</v>
      </c>
      <c r="O629" s="216" t="e">
        <f>#REF!-#REF!</f>
        <v>#REF!</v>
      </c>
      <c r="P629" s="216" t="e">
        <f>#REF!-#REF!</f>
        <v>#REF!</v>
      </c>
      <c r="Q629" s="216" t="e">
        <f>#REF!-#REF!</f>
        <v>#REF!</v>
      </c>
    </row>
  </sheetData>
  <mergeCells count="20">
    <mergeCell ref="H11:H12"/>
    <mergeCell ref="I11:I12"/>
    <mergeCell ref="S203:W204"/>
    <mergeCell ref="S355:X355"/>
    <mergeCell ref="A7:I7"/>
    <mergeCell ref="A9:I9"/>
    <mergeCell ref="A10:G10"/>
    <mergeCell ref="A11:A12"/>
    <mergeCell ref="B11:B12"/>
    <mergeCell ref="C11:C12"/>
    <mergeCell ref="D11:D12"/>
    <mergeCell ref="E11:E12"/>
    <mergeCell ref="F11:F12"/>
    <mergeCell ref="G11:G12"/>
    <mergeCell ref="A6:I6"/>
    <mergeCell ref="A1:I1"/>
    <mergeCell ref="A2:I2"/>
    <mergeCell ref="A3:I3"/>
    <mergeCell ref="A4:I4"/>
    <mergeCell ref="A5:I5"/>
  </mergeCells>
  <pageMargins left="0.78740157480314965" right="0.39370078740157483" top="0.59055118110236227" bottom="0.78740157480314965" header="0.31496062992125984" footer="0.31496062992125984"/>
  <pageSetup paperSize="9" scale="67" fitToHeight="30" orientation="portrait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2"/>
  <sheetViews>
    <sheetView zoomScaleNormal="100" workbookViewId="0">
      <selection activeCell="A13" sqref="A13:I529"/>
    </sheetView>
  </sheetViews>
  <sheetFormatPr defaultRowHeight="12.75" x14ac:dyDescent="0.2"/>
  <cols>
    <col min="1" max="1" width="61.140625" style="237" customWidth="1"/>
    <col min="2" max="2" width="8.7109375" style="201" customWidth="1"/>
    <col min="3" max="3" width="8.7109375" style="266" customWidth="1"/>
    <col min="4" max="4" width="12.140625" style="201" customWidth="1"/>
    <col min="5" max="5" width="12.140625" style="266" customWidth="1"/>
    <col min="6" max="6" width="5.85546875" style="266" customWidth="1"/>
    <col min="7" max="7" width="13.42578125" style="266" customWidth="1"/>
    <col min="8" max="8" width="11.85546875" style="237" customWidth="1"/>
    <col min="9" max="9" width="13.42578125" style="237" customWidth="1"/>
    <col min="10" max="16384" width="9.140625" style="237"/>
  </cols>
  <sheetData>
    <row r="1" spans="1:9" ht="18.75" x14ac:dyDescent="0.3">
      <c r="A1" s="289" t="s">
        <v>675</v>
      </c>
      <c r="B1" s="289"/>
      <c r="C1" s="289"/>
      <c r="D1" s="289"/>
      <c r="E1" s="289"/>
      <c r="F1" s="289"/>
      <c r="G1" s="289"/>
      <c r="H1" s="289"/>
      <c r="I1" s="289"/>
    </row>
    <row r="2" spans="1:9" ht="18.75" x14ac:dyDescent="0.3">
      <c r="A2" s="289" t="s">
        <v>671</v>
      </c>
      <c r="B2" s="289"/>
      <c r="C2" s="289"/>
      <c r="D2" s="289"/>
      <c r="E2" s="289"/>
      <c r="F2" s="289"/>
      <c r="G2" s="289"/>
      <c r="H2" s="289"/>
      <c r="I2" s="289"/>
    </row>
    <row r="3" spans="1:9" ht="18.75" x14ac:dyDescent="0.3">
      <c r="A3" s="289" t="s">
        <v>674</v>
      </c>
      <c r="B3" s="289"/>
      <c r="C3" s="289"/>
      <c r="D3" s="289"/>
      <c r="E3" s="289"/>
      <c r="F3" s="289"/>
      <c r="G3" s="289"/>
      <c r="H3" s="289"/>
      <c r="I3" s="289"/>
    </row>
    <row r="5" spans="1:9" ht="14.25" customHeight="1" x14ac:dyDescent="0.2">
      <c r="A5" s="281" t="s">
        <v>656</v>
      </c>
      <c r="B5" s="281"/>
      <c r="C5" s="281"/>
      <c r="D5" s="281"/>
      <c r="E5" s="281"/>
      <c r="F5" s="281"/>
      <c r="G5" s="281"/>
      <c r="H5" s="281"/>
      <c r="I5" s="281"/>
    </row>
    <row r="6" spans="1:9" ht="14.25" customHeight="1" x14ac:dyDescent="0.2">
      <c r="A6" s="281" t="s">
        <v>78</v>
      </c>
      <c r="B6" s="281"/>
      <c r="C6" s="281"/>
      <c r="D6" s="281"/>
      <c r="E6" s="281"/>
      <c r="F6" s="281"/>
      <c r="G6" s="281"/>
      <c r="H6" s="281"/>
      <c r="I6" s="281"/>
    </row>
    <row r="7" spans="1:9" ht="14.25" customHeight="1" x14ac:dyDescent="0.2">
      <c r="A7" s="281" t="s">
        <v>672</v>
      </c>
      <c r="B7" s="281"/>
      <c r="C7" s="281"/>
      <c r="D7" s="281"/>
      <c r="E7" s="281"/>
      <c r="F7" s="281"/>
      <c r="G7" s="281"/>
      <c r="H7" s="281"/>
      <c r="I7" s="281"/>
    </row>
    <row r="8" spans="1:9" x14ac:dyDescent="0.2">
      <c r="A8" s="232"/>
      <c r="B8" s="232"/>
      <c r="C8" s="232"/>
      <c r="D8" s="232"/>
      <c r="E8" s="232"/>
      <c r="F8" s="232"/>
      <c r="G8" s="232"/>
      <c r="H8" s="232"/>
      <c r="I8" s="232"/>
    </row>
    <row r="9" spans="1:9" s="185" customFormat="1" ht="67.5" customHeight="1" x14ac:dyDescent="0.2">
      <c r="A9" s="290" t="s">
        <v>655</v>
      </c>
      <c r="B9" s="290"/>
      <c r="C9" s="290"/>
      <c r="D9" s="290"/>
      <c r="E9" s="290"/>
      <c r="F9" s="290"/>
      <c r="G9" s="290"/>
      <c r="H9" s="290"/>
      <c r="I9" s="290"/>
    </row>
    <row r="10" spans="1:9" s="186" customFormat="1" ht="11.25" x14ac:dyDescent="0.2">
      <c r="A10" s="291"/>
      <c r="B10" s="291"/>
      <c r="C10" s="291"/>
      <c r="D10" s="291"/>
      <c r="E10" s="291"/>
      <c r="F10" s="291"/>
      <c r="G10" s="291"/>
      <c r="I10" s="187" t="s">
        <v>62</v>
      </c>
    </row>
    <row r="11" spans="1:9" ht="51.75" x14ac:dyDescent="0.25">
      <c r="A11" s="188"/>
      <c r="B11" s="189" t="s">
        <v>654</v>
      </c>
      <c r="C11" s="189" t="s">
        <v>653</v>
      </c>
      <c r="D11" s="190" t="s">
        <v>652</v>
      </c>
      <c r="E11" s="189" t="s">
        <v>651</v>
      </c>
      <c r="F11" s="191" t="s">
        <v>11</v>
      </c>
      <c r="G11" s="192" t="s">
        <v>650</v>
      </c>
      <c r="H11" s="192" t="s">
        <v>649</v>
      </c>
      <c r="I11" s="192" t="s">
        <v>648</v>
      </c>
    </row>
    <row r="12" spans="1:9" s="177" customFormat="1" ht="15.75" customHeight="1" x14ac:dyDescent="0.2">
      <c r="A12" s="182">
        <v>1</v>
      </c>
      <c r="B12" s="180" t="s">
        <v>502</v>
      </c>
      <c r="C12" s="180" t="s">
        <v>498</v>
      </c>
      <c r="D12" s="181" t="s">
        <v>495</v>
      </c>
      <c r="E12" s="180" t="s">
        <v>492</v>
      </c>
      <c r="F12" s="179">
        <v>6</v>
      </c>
      <c r="G12" s="178">
        <v>7</v>
      </c>
      <c r="H12" s="178">
        <v>8</v>
      </c>
      <c r="I12" s="178">
        <v>9</v>
      </c>
    </row>
    <row r="13" spans="1:9" s="9" customFormat="1" ht="25.5" x14ac:dyDescent="0.2">
      <c r="A13" s="36" t="s">
        <v>647</v>
      </c>
      <c r="B13" s="176" t="s">
        <v>12</v>
      </c>
      <c r="C13" s="176"/>
      <c r="D13" s="176"/>
      <c r="E13" s="176"/>
      <c r="F13" s="175"/>
      <c r="G13" s="174">
        <v>82767.399999999994</v>
      </c>
      <c r="H13" s="174">
        <v>70741</v>
      </c>
      <c r="I13" s="174">
        <v>63256.999999999993</v>
      </c>
    </row>
    <row r="14" spans="1:9" s="84" customFormat="1" ht="25.5" x14ac:dyDescent="0.2">
      <c r="A14" s="173" t="s">
        <v>646</v>
      </c>
      <c r="B14" s="172" t="s">
        <v>12</v>
      </c>
      <c r="C14" s="172" t="s">
        <v>507</v>
      </c>
      <c r="D14" s="172"/>
      <c r="E14" s="172"/>
      <c r="F14" s="171"/>
      <c r="G14" s="170">
        <v>68804.399999999994</v>
      </c>
      <c r="H14" s="170">
        <v>57349.399999999994</v>
      </c>
      <c r="I14" s="170">
        <v>56355.799999999996</v>
      </c>
    </row>
    <row r="15" spans="1:9" s="84" customFormat="1" ht="25.5" x14ac:dyDescent="0.2">
      <c r="A15" s="75" t="s">
        <v>343</v>
      </c>
      <c r="B15" s="77" t="s">
        <v>12</v>
      </c>
      <c r="C15" s="77">
        <v>1</v>
      </c>
      <c r="D15" s="77" t="s">
        <v>463</v>
      </c>
      <c r="E15" s="77" t="s">
        <v>645</v>
      </c>
      <c r="F15" s="77"/>
      <c r="G15" s="78">
        <v>2148.9</v>
      </c>
      <c r="H15" s="78">
        <v>1972.4</v>
      </c>
      <c r="I15" s="78">
        <v>1972.4</v>
      </c>
    </row>
    <row r="16" spans="1:9" s="79" customFormat="1" ht="51" x14ac:dyDescent="0.2">
      <c r="A16" s="80" t="s">
        <v>66</v>
      </c>
      <c r="B16" s="82" t="s">
        <v>12</v>
      </c>
      <c r="C16" s="82">
        <v>1</v>
      </c>
      <c r="D16" s="82" t="s">
        <v>463</v>
      </c>
      <c r="E16" s="82" t="s">
        <v>645</v>
      </c>
      <c r="F16" s="83" t="s">
        <v>67</v>
      </c>
      <c r="G16" s="62">
        <v>2148.9</v>
      </c>
      <c r="H16" s="62">
        <v>1972.4</v>
      </c>
      <c r="I16" s="62">
        <v>1972.4</v>
      </c>
    </row>
    <row r="17" spans="1:9" s="26" customFormat="1" ht="25.5" x14ac:dyDescent="0.2">
      <c r="A17" s="18" t="s">
        <v>343</v>
      </c>
      <c r="B17" s="19" t="s">
        <v>12</v>
      </c>
      <c r="C17" s="19">
        <v>1</v>
      </c>
      <c r="D17" s="19" t="s">
        <v>463</v>
      </c>
      <c r="E17" s="19" t="s">
        <v>644</v>
      </c>
      <c r="F17" s="19"/>
      <c r="G17" s="20">
        <v>60644</v>
      </c>
      <c r="H17" s="20">
        <v>50316.399999999994</v>
      </c>
      <c r="I17" s="20">
        <v>49322.799999999996</v>
      </c>
    </row>
    <row r="18" spans="1:9" s="74" customFormat="1" ht="51" x14ac:dyDescent="0.2">
      <c r="A18" s="80" t="s">
        <v>66</v>
      </c>
      <c r="B18" s="82" t="s">
        <v>12</v>
      </c>
      <c r="C18" s="82">
        <v>1</v>
      </c>
      <c r="D18" s="82" t="s">
        <v>463</v>
      </c>
      <c r="E18" s="82" t="s">
        <v>644</v>
      </c>
      <c r="F18" s="83" t="s">
        <v>67</v>
      </c>
      <c r="G18" s="62">
        <v>38881.599999999999</v>
      </c>
      <c r="H18" s="62">
        <v>33307.1</v>
      </c>
      <c r="I18" s="62">
        <v>33307.1</v>
      </c>
    </row>
    <row r="19" spans="1:9" ht="25.5" x14ac:dyDescent="0.2">
      <c r="A19" s="30" t="s">
        <v>466</v>
      </c>
      <c r="B19" s="24" t="s">
        <v>12</v>
      </c>
      <c r="C19" s="24">
        <v>1</v>
      </c>
      <c r="D19" s="24" t="s">
        <v>463</v>
      </c>
      <c r="E19" s="24" t="s">
        <v>644</v>
      </c>
      <c r="F19" s="27" t="s">
        <v>68</v>
      </c>
      <c r="G19" s="62">
        <v>21448.800000000003</v>
      </c>
      <c r="H19" s="62">
        <v>16583.699999999997</v>
      </c>
      <c r="I19" s="62">
        <v>15590.099999999999</v>
      </c>
    </row>
    <row r="20" spans="1:9" s="26" customFormat="1" x14ac:dyDescent="0.2">
      <c r="A20" s="28" t="s">
        <v>72</v>
      </c>
      <c r="B20" s="24" t="s">
        <v>12</v>
      </c>
      <c r="C20" s="24">
        <v>1</v>
      </c>
      <c r="D20" s="24" t="s">
        <v>463</v>
      </c>
      <c r="E20" s="24" t="s">
        <v>644</v>
      </c>
      <c r="F20" s="24" t="s">
        <v>73</v>
      </c>
      <c r="G20" s="62">
        <v>313.60000000000002</v>
      </c>
      <c r="H20" s="62">
        <v>425.6</v>
      </c>
      <c r="I20" s="62">
        <v>425.6</v>
      </c>
    </row>
    <row r="21" spans="1:9" s="12" customFormat="1" ht="25.5" x14ac:dyDescent="0.2">
      <c r="A21" s="18" t="s">
        <v>343</v>
      </c>
      <c r="B21" s="19" t="s">
        <v>12</v>
      </c>
      <c r="C21" s="19">
        <v>1</v>
      </c>
      <c r="D21" s="19" t="s">
        <v>463</v>
      </c>
      <c r="E21" s="19" t="s">
        <v>643</v>
      </c>
      <c r="F21" s="19"/>
      <c r="G21" s="20">
        <v>6011.4999999999991</v>
      </c>
      <c r="H21" s="20">
        <v>5060.5999999999995</v>
      </c>
      <c r="I21" s="20">
        <v>5060.5999999999995</v>
      </c>
    </row>
    <row r="22" spans="1:9" s="133" customFormat="1" ht="51" x14ac:dyDescent="0.2">
      <c r="A22" s="30" t="s">
        <v>66</v>
      </c>
      <c r="B22" s="19" t="s">
        <v>12</v>
      </c>
      <c r="C22" s="19">
        <v>1</v>
      </c>
      <c r="D22" s="19" t="s">
        <v>463</v>
      </c>
      <c r="E22" s="19" t="s">
        <v>643</v>
      </c>
      <c r="F22" s="27" t="s">
        <v>67</v>
      </c>
      <c r="G22" s="25">
        <v>5475.7999999999993</v>
      </c>
      <c r="H22" s="25">
        <v>4694.8999999999996</v>
      </c>
      <c r="I22" s="25">
        <v>4694.8999999999996</v>
      </c>
    </row>
    <row r="23" spans="1:9" s="84" customFormat="1" ht="25.5" x14ac:dyDescent="0.2">
      <c r="A23" s="80" t="s">
        <v>466</v>
      </c>
      <c r="B23" s="77" t="s">
        <v>12</v>
      </c>
      <c r="C23" s="77">
        <v>1</v>
      </c>
      <c r="D23" s="77" t="s">
        <v>463</v>
      </c>
      <c r="E23" s="77" t="s">
        <v>643</v>
      </c>
      <c r="F23" s="83" t="s">
        <v>68</v>
      </c>
      <c r="G23" s="25">
        <v>535.70000000000005</v>
      </c>
      <c r="H23" s="25">
        <v>365.7</v>
      </c>
      <c r="I23" s="25">
        <v>365.7</v>
      </c>
    </row>
    <row r="24" spans="1:9" s="79" customFormat="1" ht="25.5" x14ac:dyDescent="0.2">
      <c r="A24" s="159" t="s">
        <v>642</v>
      </c>
      <c r="B24" s="152" t="s">
        <v>12</v>
      </c>
      <c r="C24" s="152" t="s">
        <v>495</v>
      </c>
      <c r="D24" s="152"/>
      <c r="E24" s="152"/>
      <c r="F24" s="158"/>
      <c r="G24" s="151">
        <v>6222.4</v>
      </c>
      <c r="H24" s="151">
        <v>5171</v>
      </c>
      <c r="I24" s="151">
        <v>5035.6000000000004</v>
      </c>
    </row>
    <row r="25" spans="1:9" ht="25.5" x14ac:dyDescent="0.2">
      <c r="A25" s="132" t="s">
        <v>152</v>
      </c>
      <c r="B25" s="5" t="s">
        <v>12</v>
      </c>
      <c r="C25" s="5">
        <v>4</v>
      </c>
      <c r="D25" s="5" t="s">
        <v>463</v>
      </c>
      <c r="E25" s="5" t="s">
        <v>641</v>
      </c>
      <c r="F25" s="5"/>
      <c r="G25" s="6">
        <v>6102.4</v>
      </c>
      <c r="H25" s="6">
        <v>5051</v>
      </c>
      <c r="I25" s="6">
        <v>4915.6000000000004</v>
      </c>
    </row>
    <row r="26" spans="1:9" s="26" customFormat="1" ht="25.5" x14ac:dyDescent="0.2">
      <c r="A26" s="28" t="s">
        <v>141</v>
      </c>
      <c r="B26" s="24" t="s">
        <v>12</v>
      </c>
      <c r="C26" s="24">
        <v>4</v>
      </c>
      <c r="D26" s="24" t="s">
        <v>463</v>
      </c>
      <c r="E26" s="24" t="s">
        <v>641</v>
      </c>
      <c r="F26" s="24" t="s">
        <v>65</v>
      </c>
      <c r="G26" s="25">
        <v>6102.4</v>
      </c>
      <c r="H26" s="25">
        <v>5051</v>
      </c>
      <c r="I26" s="25">
        <v>4915.6000000000004</v>
      </c>
    </row>
    <row r="27" spans="1:9" ht="24.75" customHeight="1" x14ac:dyDescent="0.2">
      <c r="A27" s="18" t="s">
        <v>149</v>
      </c>
      <c r="B27" s="19" t="s">
        <v>12</v>
      </c>
      <c r="C27" s="19">
        <v>4</v>
      </c>
      <c r="D27" s="19" t="s">
        <v>463</v>
      </c>
      <c r="E27" s="19" t="s">
        <v>640</v>
      </c>
      <c r="F27" s="19"/>
      <c r="G27" s="20">
        <v>120</v>
      </c>
      <c r="H27" s="20">
        <v>120</v>
      </c>
      <c r="I27" s="20">
        <v>120</v>
      </c>
    </row>
    <row r="28" spans="1:9" s="26" customFormat="1" ht="25.5" x14ac:dyDescent="0.2">
      <c r="A28" s="28" t="s">
        <v>141</v>
      </c>
      <c r="B28" s="24" t="s">
        <v>12</v>
      </c>
      <c r="C28" s="24">
        <v>4</v>
      </c>
      <c r="D28" s="24" t="s">
        <v>463</v>
      </c>
      <c r="E28" s="24">
        <v>79050</v>
      </c>
      <c r="F28" s="24" t="s">
        <v>65</v>
      </c>
      <c r="G28" s="25">
        <v>120</v>
      </c>
      <c r="H28" s="25">
        <v>120</v>
      </c>
      <c r="I28" s="25">
        <v>120</v>
      </c>
    </row>
    <row r="29" spans="1:9" s="84" customFormat="1" ht="25.5" x14ac:dyDescent="0.2">
      <c r="A29" s="154" t="s">
        <v>639</v>
      </c>
      <c r="B29" s="153" t="s">
        <v>12</v>
      </c>
      <c r="C29" s="152" t="s">
        <v>492</v>
      </c>
      <c r="D29" s="152"/>
      <c r="E29" s="152"/>
      <c r="F29" s="152"/>
      <c r="G29" s="151">
        <v>7740.6</v>
      </c>
      <c r="H29" s="151">
        <v>8220.5999999999985</v>
      </c>
      <c r="I29" s="151">
        <v>1865.6</v>
      </c>
    </row>
    <row r="30" spans="1:9" s="84" customFormat="1" x14ac:dyDescent="0.2">
      <c r="A30" s="75" t="s">
        <v>285</v>
      </c>
      <c r="B30" s="77" t="s">
        <v>12</v>
      </c>
      <c r="C30" s="77">
        <v>5</v>
      </c>
      <c r="D30" s="77" t="s">
        <v>463</v>
      </c>
      <c r="E30" s="77" t="s">
        <v>638</v>
      </c>
      <c r="F30" s="77"/>
      <c r="G30" s="78">
        <v>1544.1</v>
      </c>
      <c r="H30" s="78">
        <v>2024.1</v>
      </c>
      <c r="I30" s="78">
        <v>57.799999999999955</v>
      </c>
    </row>
    <row r="31" spans="1:9" s="157" customFormat="1" ht="15.75" x14ac:dyDescent="0.25">
      <c r="A31" s="28" t="s">
        <v>72</v>
      </c>
      <c r="B31" s="24" t="s">
        <v>12</v>
      </c>
      <c r="C31" s="24">
        <v>5</v>
      </c>
      <c r="D31" s="24" t="s">
        <v>463</v>
      </c>
      <c r="E31" s="24" t="s">
        <v>638</v>
      </c>
      <c r="F31" s="24" t="s">
        <v>73</v>
      </c>
      <c r="G31" s="62">
        <v>1544.1</v>
      </c>
      <c r="H31" s="62">
        <v>2024.1</v>
      </c>
      <c r="I31" s="62">
        <v>57.799999999999955</v>
      </c>
    </row>
    <row r="32" spans="1:9" s="9" customFormat="1" x14ac:dyDescent="0.2">
      <c r="A32" s="18" t="s">
        <v>185</v>
      </c>
      <c r="B32" s="19" t="s">
        <v>12</v>
      </c>
      <c r="C32" s="19">
        <v>5</v>
      </c>
      <c r="D32" s="19" t="s">
        <v>463</v>
      </c>
      <c r="E32" s="19" t="s">
        <v>637</v>
      </c>
      <c r="F32" s="19"/>
      <c r="G32" s="20">
        <v>114.19999999999999</v>
      </c>
      <c r="H32" s="20">
        <v>114.19999999999999</v>
      </c>
      <c r="I32" s="20">
        <v>114.19999999999999</v>
      </c>
    </row>
    <row r="33" spans="1:9" ht="25.5" x14ac:dyDescent="0.2">
      <c r="A33" s="30" t="s">
        <v>466</v>
      </c>
      <c r="B33" s="24" t="s">
        <v>12</v>
      </c>
      <c r="C33" s="24">
        <v>5</v>
      </c>
      <c r="D33" s="24" t="s">
        <v>463</v>
      </c>
      <c r="E33" s="24" t="s">
        <v>637</v>
      </c>
      <c r="F33" s="27" t="s">
        <v>68</v>
      </c>
      <c r="G33" s="25">
        <v>0.6</v>
      </c>
      <c r="H33" s="25">
        <v>0.6</v>
      </c>
      <c r="I33" s="25">
        <v>0.6</v>
      </c>
    </row>
    <row r="34" spans="1:9" s="26" customFormat="1" x14ac:dyDescent="0.2">
      <c r="A34" s="28" t="s">
        <v>69</v>
      </c>
      <c r="B34" s="24" t="s">
        <v>12</v>
      </c>
      <c r="C34" s="24">
        <v>5</v>
      </c>
      <c r="D34" s="24" t="s">
        <v>463</v>
      </c>
      <c r="E34" s="24" t="s">
        <v>637</v>
      </c>
      <c r="F34" s="24" t="s">
        <v>70</v>
      </c>
      <c r="G34" s="25">
        <v>113.6</v>
      </c>
      <c r="H34" s="25">
        <v>113.6</v>
      </c>
      <c r="I34" s="25">
        <v>113.6</v>
      </c>
    </row>
    <row r="35" spans="1:9" s="169" customFormat="1" ht="15" x14ac:dyDescent="0.2">
      <c r="A35" s="75" t="s">
        <v>227</v>
      </c>
      <c r="B35" s="77" t="s">
        <v>12</v>
      </c>
      <c r="C35" s="77">
        <v>5</v>
      </c>
      <c r="D35" s="77" t="s">
        <v>463</v>
      </c>
      <c r="E35" s="77" t="s">
        <v>636</v>
      </c>
      <c r="F35" s="77"/>
      <c r="G35" s="78">
        <v>3423.5</v>
      </c>
      <c r="H35" s="78">
        <v>3423.5</v>
      </c>
      <c r="I35" s="78">
        <v>144.30000000000001</v>
      </c>
    </row>
    <row r="36" spans="1:9" s="74" customFormat="1" x14ac:dyDescent="0.2">
      <c r="A36" s="87" t="s">
        <v>69</v>
      </c>
      <c r="B36" s="82" t="s">
        <v>12</v>
      </c>
      <c r="C36" s="82">
        <v>5</v>
      </c>
      <c r="D36" s="82" t="s">
        <v>463</v>
      </c>
      <c r="E36" s="82" t="s">
        <v>636</v>
      </c>
      <c r="F36" s="82" t="s">
        <v>70</v>
      </c>
      <c r="G36" s="62">
        <v>3423.5</v>
      </c>
      <c r="H36" s="62">
        <v>3423.5</v>
      </c>
      <c r="I36" s="62">
        <v>144.30000000000001</v>
      </c>
    </row>
    <row r="37" spans="1:9" x14ac:dyDescent="0.2">
      <c r="A37" s="18" t="s">
        <v>286</v>
      </c>
      <c r="B37" s="19" t="s">
        <v>12</v>
      </c>
      <c r="C37" s="19">
        <v>5</v>
      </c>
      <c r="D37" s="19" t="s">
        <v>463</v>
      </c>
      <c r="E37" s="19" t="s">
        <v>635</v>
      </c>
      <c r="F37" s="19"/>
      <c r="G37" s="20">
        <v>1109.5</v>
      </c>
      <c r="H37" s="20">
        <v>1109.5</v>
      </c>
      <c r="I37" s="20">
        <v>0</v>
      </c>
    </row>
    <row r="38" spans="1:9" x14ac:dyDescent="0.2">
      <c r="A38" s="28" t="s">
        <v>72</v>
      </c>
      <c r="B38" s="24" t="s">
        <v>12</v>
      </c>
      <c r="C38" s="24">
        <v>5</v>
      </c>
      <c r="D38" s="24" t="s">
        <v>463</v>
      </c>
      <c r="E38" s="24" t="s">
        <v>635</v>
      </c>
      <c r="F38" s="24" t="s">
        <v>73</v>
      </c>
      <c r="G38" s="25">
        <v>1109.5</v>
      </c>
      <c r="H38" s="25">
        <v>1109.5</v>
      </c>
      <c r="I38" s="25">
        <v>0</v>
      </c>
    </row>
    <row r="39" spans="1:9" s="26" customFormat="1" ht="25.5" x14ac:dyDescent="0.2">
      <c r="A39" s="18" t="s">
        <v>143</v>
      </c>
      <c r="B39" s="19" t="s">
        <v>12</v>
      </c>
      <c r="C39" s="19">
        <v>5</v>
      </c>
      <c r="D39" s="19" t="s">
        <v>463</v>
      </c>
      <c r="E39" s="19" t="s">
        <v>634</v>
      </c>
      <c r="F39" s="19"/>
      <c r="G39" s="20">
        <v>468.29999999999995</v>
      </c>
      <c r="H39" s="20">
        <v>468.29999999999995</v>
      </c>
      <c r="I39" s="20">
        <v>468.29999999999995</v>
      </c>
    </row>
    <row r="40" spans="1:9" s="9" customFormat="1" ht="51" x14ac:dyDescent="0.2">
      <c r="A40" s="30" t="s">
        <v>66</v>
      </c>
      <c r="B40" s="24" t="s">
        <v>12</v>
      </c>
      <c r="C40" s="24">
        <v>5</v>
      </c>
      <c r="D40" s="24" t="s">
        <v>463</v>
      </c>
      <c r="E40" s="24">
        <v>71960</v>
      </c>
      <c r="F40" s="27" t="s">
        <v>67</v>
      </c>
      <c r="G40" s="25">
        <v>440.29999999999995</v>
      </c>
      <c r="H40" s="25">
        <v>440.29999999999995</v>
      </c>
      <c r="I40" s="25">
        <v>440.29999999999995</v>
      </c>
    </row>
    <row r="41" spans="1:9" ht="25.5" x14ac:dyDescent="0.2">
      <c r="A41" s="30" t="s">
        <v>466</v>
      </c>
      <c r="B41" s="24" t="s">
        <v>12</v>
      </c>
      <c r="C41" s="24">
        <v>5</v>
      </c>
      <c r="D41" s="24" t="s">
        <v>463</v>
      </c>
      <c r="E41" s="24">
        <v>71960</v>
      </c>
      <c r="F41" s="27" t="s">
        <v>68</v>
      </c>
      <c r="G41" s="25">
        <v>28</v>
      </c>
      <c r="H41" s="25">
        <v>28</v>
      </c>
      <c r="I41" s="25">
        <v>28</v>
      </c>
    </row>
    <row r="42" spans="1:9" s="79" customFormat="1" x14ac:dyDescent="0.2">
      <c r="A42" s="75" t="s">
        <v>144</v>
      </c>
      <c r="B42" s="77" t="s">
        <v>12</v>
      </c>
      <c r="C42" s="77">
        <v>5</v>
      </c>
      <c r="D42" s="77" t="s">
        <v>463</v>
      </c>
      <c r="E42" s="77">
        <v>79060</v>
      </c>
      <c r="F42" s="77"/>
      <c r="G42" s="78">
        <v>115</v>
      </c>
      <c r="H42" s="78">
        <v>115</v>
      </c>
      <c r="I42" s="78">
        <v>115</v>
      </c>
    </row>
    <row r="43" spans="1:9" s="84" customFormat="1" ht="51" x14ac:dyDescent="0.2">
      <c r="A43" s="80" t="s">
        <v>66</v>
      </c>
      <c r="B43" s="82" t="s">
        <v>12</v>
      </c>
      <c r="C43" s="82">
        <v>5</v>
      </c>
      <c r="D43" s="82" t="s">
        <v>463</v>
      </c>
      <c r="E43" s="82">
        <v>79060</v>
      </c>
      <c r="F43" s="83" t="s">
        <v>67</v>
      </c>
      <c r="G43" s="62">
        <v>113</v>
      </c>
      <c r="H43" s="62">
        <v>113</v>
      </c>
      <c r="I43" s="62">
        <v>113</v>
      </c>
    </row>
    <row r="44" spans="1:9" s="79" customFormat="1" ht="25.5" x14ac:dyDescent="0.2">
      <c r="A44" s="80" t="s">
        <v>466</v>
      </c>
      <c r="B44" s="82" t="s">
        <v>12</v>
      </c>
      <c r="C44" s="82">
        <v>5</v>
      </c>
      <c r="D44" s="82" t="s">
        <v>463</v>
      </c>
      <c r="E44" s="82">
        <v>79060</v>
      </c>
      <c r="F44" s="83" t="s">
        <v>68</v>
      </c>
      <c r="G44" s="62">
        <v>2</v>
      </c>
      <c r="H44" s="62">
        <v>2</v>
      </c>
      <c r="I44" s="62">
        <v>2</v>
      </c>
    </row>
    <row r="45" spans="1:9" s="79" customFormat="1" ht="25.5" x14ac:dyDescent="0.2">
      <c r="A45" s="89" t="s">
        <v>150</v>
      </c>
      <c r="B45" s="77" t="s">
        <v>12</v>
      </c>
      <c r="C45" s="77">
        <v>5</v>
      </c>
      <c r="D45" s="77" t="s">
        <v>463</v>
      </c>
      <c r="E45" s="77" t="s">
        <v>633</v>
      </c>
      <c r="F45" s="77"/>
      <c r="G45" s="78">
        <v>966</v>
      </c>
      <c r="H45" s="78">
        <v>966</v>
      </c>
      <c r="I45" s="78">
        <v>966</v>
      </c>
    </row>
    <row r="46" spans="1:9" s="74" customFormat="1" x14ac:dyDescent="0.2">
      <c r="A46" s="87" t="s">
        <v>69</v>
      </c>
      <c r="B46" s="82" t="s">
        <v>12</v>
      </c>
      <c r="C46" s="82">
        <v>5</v>
      </c>
      <c r="D46" s="82" t="s">
        <v>463</v>
      </c>
      <c r="E46" s="77" t="s">
        <v>633</v>
      </c>
      <c r="F46" s="82" t="s">
        <v>70</v>
      </c>
      <c r="G46" s="62">
        <v>966</v>
      </c>
      <c r="H46" s="62">
        <v>966</v>
      </c>
      <c r="I46" s="62">
        <v>966</v>
      </c>
    </row>
    <row r="47" spans="1:9" s="26" customFormat="1" ht="38.25" x14ac:dyDescent="0.2">
      <c r="A47" s="40" t="s">
        <v>632</v>
      </c>
      <c r="B47" s="41" t="s">
        <v>14</v>
      </c>
      <c r="C47" s="41"/>
      <c r="D47" s="41"/>
      <c r="E47" s="41"/>
      <c r="F47" s="41"/>
      <c r="G47" s="39">
        <v>50640.299999999996</v>
      </c>
      <c r="H47" s="39">
        <v>17980.399999999998</v>
      </c>
      <c r="I47" s="39">
        <v>17980.399999999998</v>
      </c>
    </row>
    <row r="48" spans="1:9" x14ac:dyDescent="0.2">
      <c r="A48" s="18" t="s">
        <v>212</v>
      </c>
      <c r="B48" s="19" t="s">
        <v>14</v>
      </c>
      <c r="C48" s="19">
        <v>0</v>
      </c>
      <c r="D48" s="19" t="s">
        <v>463</v>
      </c>
      <c r="E48" s="19" t="s">
        <v>631</v>
      </c>
      <c r="F48" s="19"/>
      <c r="G48" s="20">
        <v>700</v>
      </c>
      <c r="H48" s="20">
        <v>400</v>
      </c>
      <c r="I48" s="20">
        <v>400</v>
      </c>
    </row>
    <row r="49" spans="1:11" s="26" customFormat="1" ht="25.5" x14ac:dyDescent="0.2">
      <c r="A49" s="30" t="s">
        <v>466</v>
      </c>
      <c r="B49" s="24" t="s">
        <v>14</v>
      </c>
      <c r="C49" s="24">
        <v>0</v>
      </c>
      <c r="D49" s="24" t="s">
        <v>463</v>
      </c>
      <c r="E49" s="24" t="s">
        <v>631</v>
      </c>
      <c r="F49" s="27" t="s">
        <v>68</v>
      </c>
      <c r="G49" s="25">
        <v>700</v>
      </c>
      <c r="H49" s="25">
        <v>400</v>
      </c>
      <c r="I49" s="25">
        <v>400</v>
      </c>
    </row>
    <row r="50" spans="1:11" s="26" customFormat="1" ht="38.25" x14ac:dyDescent="0.2">
      <c r="A50" s="18" t="s">
        <v>213</v>
      </c>
      <c r="B50" s="19" t="s">
        <v>14</v>
      </c>
      <c r="C50" s="19">
        <v>0</v>
      </c>
      <c r="D50" s="19" t="s">
        <v>463</v>
      </c>
      <c r="E50" s="19" t="s">
        <v>630</v>
      </c>
      <c r="F50" s="19"/>
      <c r="G50" s="20">
        <v>50</v>
      </c>
      <c r="H50" s="20">
        <v>200</v>
      </c>
      <c r="I50" s="20">
        <v>200</v>
      </c>
    </row>
    <row r="51" spans="1:11" ht="25.5" x14ac:dyDescent="0.2">
      <c r="A51" s="30" t="s">
        <v>466</v>
      </c>
      <c r="B51" s="24" t="s">
        <v>14</v>
      </c>
      <c r="C51" s="24">
        <v>0</v>
      </c>
      <c r="D51" s="24" t="s">
        <v>463</v>
      </c>
      <c r="E51" s="24" t="s">
        <v>630</v>
      </c>
      <c r="F51" s="27" t="s">
        <v>68</v>
      </c>
      <c r="G51" s="25">
        <v>50</v>
      </c>
      <c r="H51" s="25">
        <v>200</v>
      </c>
      <c r="I51" s="25">
        <v>200</v>
      </c>
    </row>
    <row r="52" spans="1:11" s="26" customFormat="1" ht="25.5" x14ac:dyDescent="0.2">
      <c r="A52" s="18" t="s">
        <v>198</v>
      </c>
      <c r="B52" s="5" t="s">
        <v>14</v>
      </c>
      <c r="C52" s="5">
        <v>0</v>
      </c>
      <c r="D52" s="5" t="s">
        <v>463</v>
      </c>
      <c r="E52" s="5" t="s">
        <v>629</v>
      </c>
      <c r="F52" s="5"/>
      <c r="G52" s="6">
        <v>1050</v>
      </c>
      <c r="H52" s="6">
        <v>300</v>
      </c>
      <c r="I52" s="6">
        <v>300</v>
      </c>
    </row>
    <row r="53" spans="1:11" s="26" customFormat="1" ht="25.5" x14ac:dyDescent="0.2">
      <c r="A53" s="30" t="s">
        <v>466</v>
      </c>
      <c r="B53" s="24" t="s">
        <v>14</v>
      </c>
      <c r="C53" s="24">
        <v>0</v>
      </c>
      <c r="D53" s="24" t="s">
        <v>463</v>
      </c>
      <c r="E53" s="24" t="s">
        <v>629</v>
      </c>
      <c r="F53" s="27" t="s">
        <v>68</v>
      </c>
      <c r="G53" s="25">
        <v>1050</v>
      </c>
      <c r="H53" s="25">
        <v>300</v>
      </c>
      <c r="I53" s="25">
        <v>300</v>
      </c>
    </row>
    <row r="54" spans="1:11" s="26" customFormat="1" x14ac:dyDescent="0.2">
      <c r="A54" s="18" t="s">
        <v>199</v>
      </c>
      <c r="B54" s="5" t="s">
        <v>14</v>
      </c>
      <c r="C54" s="5">
        <v>0</v>
      </c>
      <c r="D54" s="5" t="s">
        <v>463</v>
      </c>
      <c r="E54" s="5" t="s">
        <v>628</v>
      </c>
      <c r="F54" s="5"/>
      <c r="G54" s="6">
        <v>600</v>
      </c>
      <c r="H54" s="6">
        <v>300</v>
      </c>
      <c r="I54" s="6">
        <v>300</v>
      </c>
      <c r="J54" s="237"/>
      <c r="K54" s="237"/>
    </row>
    <row r="55" spans="1:11" ht="25.5" x14ac:dyDescent="0.2">
      <c r="A55" s="30" t="s">
        <v>466</v>
      </c>
      <c r="B55" s="24" t="s">
        <v>14</v>
      </c>
      <c r="C55" s="24">
        <v>0</v>
      </c>
      <c r="D55" s="24" t="s">
        <v>463</v>
      </c>
      <c r="E55" s="24" t="s">
        <v>628</v>
      </c>
      <c r="F55" s="27" t="s">
        <v>68</v>
      </c>
      <c r="G55" s="25">
        <v>600</v>
      </c>
      <c r="H55" s="25">
        <v>300</v>
      </c>
      <c r="I55" s="25">
        <v>300</v>
      </c>
    </row>
    <row r="56" spans="1:11" s="26" customFormat="1" ht="25.5" x14ac:dyDescent="0.2">
      <c r="A56" s="18" t="s">
        <v>201</v>
      </c>
      <c r="B56" s="19" t="s">
        <v>14</v>
      </c>
      <c r="C56" s="19" t="s">
        <v>464</v>
      </c>
      <c r="D56" s="19" t="s">
        <v>463</v>
      </c>
      <c r="E56" s="19" t="s">
        <v>627</v>
      </c>
      <c r="F56" s="19"/>
      <c r="G56" s="20">
        <v>7310</v>
      </c>
      <c r="H56" s="20">
        <v>7310</v>
      </c>
      <c r="I56" s="20">
        <v>7310</v>
      </c>
    </row>
    <row r="57" spans="1:11" s="26" customFormat="1" ht="25.5" x14ac:dyDescent="0.2">
      <c r="A57" s="30" t="s">
        <v>466</v>
      </c>
      <c r="B57" s="24" t="s">
        <v>14</v>
      </c>
      <c r="C57" s="24">
        <v>0</v>
      </c>
      <c r="D57" s="24" t="s">
        <v>463</v>
      </c>
      <c r="E57" s="24" t="s">
        <v>627</v>
      </c>
      <c r="F57" s="27" t="s">
        <v>68</v>
      </c>
      <c r="G57" s="25">
        <v>7310</v>
      </c>
      <c r="H57" s="25">
        <v>7310</v>
      </c>
      <c r="I57" s="25">
        <v>7310</v>
      </c>
      <c r="J57" s="237"/>
      <c r="K57" s="237"/>
    </row>
    <row r="58" spans="1:11" x14ac:dyDescent="0.2">
      <c r="A58" s="18" t="s">
        <v>203</v>
      </c>
      <c r="B58" s="5" t="s">
        <v>14</v>
      </c>
      <c r="C58" s="5">
        <v>0</v>
      </c>
      <c r="D58" s="5" t="s">
        <v>463</v>
      </c>
      <c r="E58" s="5" t="s">
        <v>626</v>
      </c>
      <c r="F58" s="5"/>
      <c r="G58" s="6">
        <v>6892.9</v>
      </c>
      <c r="H58" s="6">
        <v>400</v>
      </c>
      <c r="I58" s="6">
        <v>400</v>
      </c>
    </row>
    <row r="59" spans="1:11" s="26" customFormat="1" ht="25.5" x14ac:dyDescent="0.2">
      <c r="A59" s="30" t="s">
        <v>466</v>
      </c>
      <c r="B59" s="24" t="s">
        <v>14</v>
      </c>
      <c r="C59" s="24">
        <v>0</v>
      </c>
      <c r="D59" s="24" t="s">
        <v>463</v>
      </c>
      <c r="E59" s="24" t="s">
        <v>626</v>
      </c>
      <c r="F59" s="27" t="s">
        <v>68</v>
      </c>
      <c r="G59" s="25">
        <v>4600</v>
      </c>
      <c r="H59" s="25">
        <v>150</v>
      </c>
      <c r="I59" s="25">
        <v>150</v>
      </c>
      <c r="J59" s="237"/>
      <c r="K59" s="237"/>
    </row>
    <row r="60" spans="1:11" s="26" customFormat="1" ht="25.5" x14ac:dyDescent="0.2">
      <c r="A60" s="28" t="s">
        <v>141</v>
      </c>
      <c r="B60" s="24" t="s">
        <v>14</v>
      </c>
      <c r="C60" s="24">
        <v>0</v>
      </c>
      <c r="D60" s="24" t="s">
        <v>463</v>
      </c>
      <c r="E60" s="24" t="s">
        <v>626</v>
      </c>
      <c r="F60" s="27" t="s">
        <v>65</v>
      </c>
      <c r="G60" s="25">
        <v>2042.9</v>
      </c>
      <c r="H60" s="25">
        <v>0</v>
      </c>
      <c r="I60" s="25">
        <v>0</v>
      </c>
      <c r="J60" s="237"/>
      <c r="K60" s="237"/>
    </row>
    <row r="61" spans="1:11" s="26" customFormat="1" x14ac:dyDescent="0.2">
      <c r="A61" s="28" t="s">
        <v>72</v>
      </c>
      <c r="B61" s="24" t="s">
        <v>14</v>
      </c>
      <c r="C61" s="24">
        <v>0</v>
      </c>
      <c r="D61" s="24" t="s">
        <v>463</v>
      </c>
      <c r="E61" s="24" t="s">
        <v>626</v>
      </c>
      <c r="F61" s="27" t="s">
        <v>73</v>
      </c>
      <c r="G61" s="25">
        <v>250</v>
      </c>
      <c r="H61" s="25">
        <v>250</v>
      </c>
      <c r="I61" s="25">
        <v>250</v>
      </c>
      <c r="J61" s="237"/>
      <c r="K61" s="237"/>
    </row>
    <row r="62" spans="1:11" s="9" customFormat="1" x14ac:dyDescent="0.2">
      <c r="A62" s="18" t="s">
        <v>206</v>
      </c>
      <c r="B62" s="5" t="s">
        <v>14</v>
      </c>
      <c r="C62" s="5">
        <v>0</v>
      </c>
      <c r="D62" s="5" t="s">
        <v>463</v>
      </c>
      <c r="E62" s="5" t="s">
        <v>625</v>
      </c>
      <c r="F62" s="5"/>
      <c r="G62" s="6">
        <v>700</v>
      </c>
      <c r="H62" s="6">
        <v>600</v>
      </c>
      <c r="I62" s="6">
        <v>600</v>
      </c>
    </row>
    <row r="63" spans="1:11" s="7" customFormat="1" ht="25.5" x14ac:dyDescent="0.2">
      <c r="A63" s="30" t="s">
        <v>466</v>
      </c>
      <c r="B63" s="24" t="s">
        <v>14</v>
      </c>
      <c r="C63" s="24">
        <v>0</v>
      </c>
      <c r="D63" s="24" t="s">
        <v>463</v>
      </c>
      <c r="E63" s="24" t="s">
        <v>625</v>
      </c>
      <c r="F63" s="27" t="s">
        <v>68</v>
      </c>
      <c r="G63" s="25">
        <v>700</v>
      </c>
      <c r="H63" s="25">
        <v>600</v>
      </c>
      <c r="I63" s="25">
        <v>600</v>
      </c>
    </row>
    <row r="64" spans="1:11" s="7" customFormat="1" x14ac:dyDescent="0.2">
      <c r="A64" s="18" t="s">
        <v>207</v>
      </c>
      <c r="B64" s="5" t="s">
        <v>14</v>
      </c>
      <c r="C64" s="5">
        <v>0</v>
      </c>
      <c r="D64" s="5" t="s">
        <v>463</v>
      </c>
      <c r="E64" s="5" t="s">
        <v>624</v>
      </c>
      <c r="F64" s="5"/>
      <c r="G64" s="6">
        <v>23982.3</v>
      </c>
      <c r="H64" s="6">
        <v>288.3</v>
      </c>
      <c r="I64" s="6">
        <v>288.3</v>
      </c>
    </row>
    <row r="65" spans="1:9" s="7" customFormat="1" ht="25.5" x14ac:dyDescent="0.2">
      <c r="A65" s="30" t="s">
        <v>466</v>
      </c>
      <c r="B65" s="24" t="s">
        <v>14</v>
      </c>
      <c r="C65" s="24">
        <v>0</v>
      </c>
      <c r="D65" s="24" t="s">
        <v>463</v>
      </c>
      <c r="E65" s="24" t="s">
        <v>624</v>
      </c>
      <c r="F65" s="27" t="s">
        <v>68</v>
      </c>
      <c r="G65" s="25">
        <v>88.3</v>
      </c>
      <c r="H65" s="25">
        <v>88.3</v>
      </c>
      <c r="I65" s="25">
        <v>88.3</v>
      </c>
    </row>
    <row r="66" spans="1:9" s="7" customFormat="1" x14ac:dyDescent="0.2">
      <c r="A66" s="28" t="s">
        <v>72</v>
      </c>
      <c r="B66" s="24" t="s">
        <v>14</v>
      </c>
      <c r="C66" s="24">
        <v>0</v>
      </c>
      <c r="D66" s="24" t="s">
        <v>463</v>
      </c>
      <c r="E66" s="24" t="s">
        <v>624</v>
      </c>
      <c r="F66" s="24" t="s">
        <v>73</v>
      </c>
      <c r="G66" s="25">
        <v>23894</v>
      </c>
      <c r="H66" s="25">
        <v>200</v>
      </c>
      <c r="I66" s="25">
        <v>200</v>
      </c>
    </row>
    <row r="67" spans="1:9" s="88" customFormat="1" ht="25.5" x14ac:dyDescent="0.2">
      <c r="A67" s="75" t="s">
        <v>209</v>
      </c>
      <c r="B67" s="90" t="s">
        <v>14</v>
      </c>
      <c r="C67" s="90">
        <v>0</v>
      </c>
      <c r="D67" s="90" t="s">
        <v>463</v>
      </c>
      <c r="E67" s="90" t="s">
        <v>623</v>
      </c>
      <c r="F67" s="77"/>
      <c r="G67" s="78">
        <v>9355.1</v>
      </c>
      <c r="H67" s="78">
        <v>8182.0999999999995</v>
      </c>
      <c r="I67" s="78">
        <v>8182.0999999999995</v>
      </c>
    </row>
    <row r="68" spans="1:9" s="7" customFormat="1" ht="51" x14ac:dyDescent="0.2">
      <c r="A68" s="30" t="s">
        <v>66</v>
      </c>
      <c r="B68" s="24" t="s">
        <v>14</v>
      </c>
      <c r="C68" s="24">
        <v>0</v>
      </c>
      <c r="D68" s="24" t="s">
        <v>463</v>
      </c>
      <c r="E68" s="24" t="s">
        <v>623</v>
      </c>
      <c r="F68" s="27" t="s">
        <v>67</v>
      </c>
      <c r="G68" s="25">
        <v>8442.7000000000007</v>
      </c>
      <c r="H68" s="25">
        <v>7269.7</v>
      </c>
      <c r="I68" s="25">
        <v>7269.7</v>
      </c>
    </row>
    <row r="69" spans="1:9" s="74" customFormat="1" ht="24.75" customHeight="1" x14ac:dyDescent="0.2">
      <c r="A69" s="80" t="s">
        <v>466</v>
      </c>
      <c r="B69" s="82" t="s">
        <v>14</v>
      </c>
      <c r="C69" s="82">
        <v>0</v>
      </c>
      <c r="D69" s="82" t="s">
        <v>463</v>
      </c>
      <c r="E69" s="82" t="s">
        <v>623</v>
      </c>
      <c r="F69" s="83" t="s">
        <v>68</v>
      </c>
      <c r="G69" s="25">
        <v>902.4</v>
      </c>
      <c r="H69" s="25">
        <v>902.4</v>
      </c>
      <c r="I69" s="25">
        <v>902.4</v>
      </c>
    </row>
    <row r="70" spans="1:9" s="9" customFormat="1" ht="24.75" customHeight="1" x14ac:dyDescent="0.2">
      <c r="A70" s="30" t="s">
        <v>72</v>
      </c>
      <c r="B70" s="24" t="s">
        <v>14</v>
      </c>
      <c r="C70" s="24">
        <v>0</v>
      </c>
      <c r="D70" s="24" t="s">
        <v>463</v>
      </c>
      <c r="E70" s="24" t="s">
        <v>623</v>
      </c>
      <c r="F70" s="27" t="s">
        <v>73</v>
      </c>
      <c r="G70" s="25">
        <v>10</v>
      </c>
      <c r="H70" s="25">
        <v>10</v>
      </c>
      <c r="I70" s="25">
        <v>10</v>
      </c>
    </row>
    <row r="71" spans="1:9" s="26" customFormat="1" ht="38.25" x14ac:dyDescent="0.2">
      <c r="A71" s="40" t="s">
        <v>622</v>
      </c>
      <c r="B71" s="41" t="s">
        <v>16</v>
      </c>
      <c r="C71" s="41"/>
      <c r="D71" s="41"/>
      <c r="E71" s="41"/>
      <c r="F71" s="41"/>
      <c r="G71" s="39">
        <v>48354.695</v>
      </c>
      <c r="H71" s="39">
        <v>40849.599999999999</v>
      </c>
      <c r="I71" s="39">
        <v>40791.5</v>
      </c>
    </row>
    <row r="72" spans="1:9" s="95" customFormat="1" ht="51" x14ac:dyDescent="0.2">
      <c r="A72" s="154" t="s">
        <v>621</v>
      </c>
      <c r="B72" s="152" t="s">
        <v>16</v>
      </c>
      <c r="C72" s="152" t="s">
        <v>507</v>
      </c>
      <c r="D72" s="152"/>
      <c r="E72" s="152"/>
      <c r="F72" s="152"/>
      <c r="G72" s="151">
        <v>10921.8</v>
      </c>
      <c r="H72" s="151">
        <v>14551.2</v>
      </c>
      <c r="I72" s="151">
        <v>14493.1</v>
      </c>
    </row>
    <row r="73" spans="1:9" s="26" customFormat="1" ht="38.25" x14ac:dyDescent="0.2">
      <c r="A73" s="46" t="s">
        <v>159</v>
      </c>
      <c r="B73" s="19" t="s">
        <v>16</v>
      </c>
      <c r="C73" s="19">
        <v>1</v>
      </c>
      <c r="D73" s="19" t="s">
        <v>463</v>
      </c>
      <c r="E73" s="19" t="s">
        <v>620</v>
      </c>
      <c r="F73" s="19"/>
      <c r="G73" s="20">
        <v>3224.7999999999997</v>
      </c>
      <c r="H73" s="20">
        <v>0</v>
      </c>
      <c r="I73" s="20">
        <v>0</v>
      </c>
    </row>
    <row r="74" spans="1:9" s="12" customFormat="1" ht="51" x14ac:dyDescent="0.2">
      <c r="A74" s="30" t="s">
        <v>66</v>
      </c>
      <c r="B74" s="24" t="s">
        <v>16</v>
      </c>
      <c r="C74" s="24">
        <v>1</v>
      </c>
      <c r="D74" s="24" t="s">
        <v>463</v>
      </c>
      <c r="E74" s="24" t="s">
        <v>620</v>
      </c>
      <c r="F74" s="27" t="s">
        <v>67</v>
      </c>
      <c r="G74" s="25">
        <v>2658.7999999999997</v>
      </c>
      <c r="H74" s="25">
        <v>0</v>
      </c>
      <c r="I74" s="25">
        <v>0</v>
      </c>
    </row>
    <row r="75" spans="1:9" s="84" customFormat="1" ht="25.5" x14ac:dyDescent="0.2">
      <c r="A75" s="80" t="s">
        <v>466</v>
      </c>
      <c r="B75" s="82" t="s">
        <v>16</v>
      </c>
      <c r="C75" s="82">
        <v>1</v>
      </c>
      <c r="D75" s="82" t="s">
        <v>463</v>
      </c>
      <c r="E75" s="82" t="s">
        <v>620</v>
      </c>
      <c r="F75" s="83" t="s">
        <v>68</v>
      </c>
      <c r="G75" s="25">
        <v>559.19999999999982</v>
      </c>
      <c r="H75" s="25">
        <v>0</v>
      </c>
      <c r="I75" s="25">
        <v>0</v>
      </c>
    </row>
    <row r="76" spans="1:9" s="26" customFormat="1" x14ac:dyDescent="0.2">
      <c r="A76" s="28" t="s">
        <v>72</v>
      </c>
      <c r="B76" s="24" t="s">
        <v>16</v>
      </c>
      <c r="C76" s="24">
        <v>1</v>
      </c>
      <c r="D76" s="24" t="s">
        <v>463</v>
      </c>
      <c r="E76" s="24" t="s">
        <v>620</v>
      </c>
      <c r="F76" s="24" t="s">
        <v>73</v>
      </c>
      <c r="G76" s="25">
        <v>6.8</v>
      </c>
      <c r="H76" s="25">
        <v>0</v>
      </c>
      <c r="I76" s="25">
        <v>0</v>
      </c>
    </row>
    <row r="77" spans="1:9" s="168" customFormat="1" ht="15" x14ac:dyDescent="0.2">
      <c r="A77" s="51" t="s">
        <v>160</v>
      </c>
      <c r="B77" s="19" t="s">
        <v>16</v>
      </c>
      <c r="C77" s="19">
        <v>1</v>
      </c>
      <c r="D77" s="19" t="s">
        <v>463</v>
      </c>
      <c r="E77" s="19" t="s">
        <v>619</v>
      </c>
      <c r="F77" s="19"/>
      <c r="G77" s="20">
        <v>2879.4999999999995</v>
      </c>
      <c r="H77" s="20">
        <v>0</v>
      </c>
      <c r="I77" s="20">
        <v>0</v>
      </c>
    </row>
    <row r="78" spans="1:9" s="9" customFormat="1" ht="25.5" x14ac:dyDescent="0.2">
      <c r="A78" s="28" t="s">
        <v>141</v>
      </c>
      <c r="B78" s="24" t="s">
        <v>16</v>
      </c>
      <c r="C78" s="24">
        <v>1</v>
      </c>
      <c r="D78" s="24" t="s">
        <v>463</v>
      </c>
      <c r="E78" s="24" t="s">
        <v>619</v>
      </c>
      <c r="F78" s="27" t="s">
        <v>65</v>
      </c>
      <c r="G78" s="25">
        <v>2879.4999999999995</v>
      </c>
      <c r="H78" s="25">
        <v>0</v>
      </c>
      <c r="I78" s="25">
        <v>0</v>
      </c>
    </row>
    <row r="79" spans="1:9" s="9" customFormat="1" ht="63.75" x14ac:dyDescent="0.2">
      <c r="A79" s="18" t="s">
        <v>709</v>
      </c>
      <c r="B79" s="24" t="s">
        <v>16</v>
      </c>
      <c r="C79" s="24" t="s">
        <v>507</v>
      </c>
      <c r="D79" s="24" t="s">
        <v>463</v>
      </c>
      <c r="E79" s="24" t="s">
        <v>708</v>
      </c>
      <c r="F79" s="27"/>
      <c r="G79" s="25">
        <v>4817.5</v>
      </c>
      <c r="H79" s="25">
        <v>14551.2</v>
      </c>
      <c r="I79" s="25">
        <v>14493.1</v>
      </c>
    </row>
    <row r="80" spans="1:9" s="9" customFormat="1" ht="25.5" x14ac:dyDescent="0.2">
      <c r="A80" s="28" t="s">
        <v>141</v>
      </c>
      <c r="B80" s="24" t="s">
        <v>16</v>
      </c>
      <c r="C80" s="24" t="s">
        <v>507</v>
      </c>
      <c r="D80" s="24" t="s">
        <v>463</v>
      </c>
      <c r="E80" s="24" t="s">
        <v>708</v>
      </c>
      <c r="F80" s="27" t="s">
        <v>65</v>
      </c>
      <c r="G80" s="25">
        <v>4817.5</v>
      </c>
      <c r="H80" s="25">
        <v>14551.2</v>
      </c>
      <c r="I80" s="25">
        <v>14493.1</v>
      </c>
    </row>
    <row r="81" spans="1:11" ht="38.25" x14ac:dyDescent="0.2">
      <c r="A81" s="150" t="s">
        <v>618</v>
      </c>
      <c r="B81" s="149" t="s">
        <v>16</v>
      </c>
      <c r="C81" s="149" t="s">
        <v>502</v>
      </c>
      <c r="D81" s="149"/>
      <c r="E81" s="149"/>
      <c r="F81" s="149"/>
      <c r="G81" s="148">
        <v>28588.494999999999</v>
      </c>
      <c r="H81" s="148">
        <v>18972</v>
      </c>
      <c r="I81" s="148">
        <v>18972</v>
      </c>
    </row>
    <row r="82" spans="1:11" s="26" customFormat="1" ht="25.5" x14ac:dyDescent="0.2">
      <c r="A82" s="17" t="s">
        <v>163</v>
      </c>
      <c r="B82" s="19" t="s">
        <v>16</v>
      </c>
      <c r="C82" s="19">
        <v>2</v>
      </c>
      <c r="D82" s="19" t="s">
        <v>463</v>
      </c>
      <c r="E82" s="19" t="s">
        <v>617</v>
      </c>
      <c r="F82" s="5"/>
      <c r="G82" s="6">
        <v>28421.294999999998</v>
      </c>
      <c r="H82" s="6">
        <v>18804.8</v>
      </c>
      <c r="I82" s="6">
        <v>18804.8</v>
      </c>
      <c r="J82" s="237"/>
      <c r="K82" s="237"/>
    </row>
    <row r="83" spans="1:11" s="84" customFormat="1" ht="25.5" x14ac:dyDescent="0.2">
      <c r="A83" s="80" t="s">
        <v>466</v>
      </c>
      <c r="B83" s="82" t="s">
        <v>16</v>
      </c>
      <c r="C83" s="82">
        <v>2</v>
      </c>
      <c r="D83" s="82" t="s">
        <v>463</v>
      </c>
      <c r="E83" s="82" t="s">
        <v>617</v>
      </c>
      <c r="F83" s="83" t="s">
        <v>68</v>
      </c>
      <c r="G83" s="62">
        <v>5441.6950000000006</v>
      </c>
      <c r="H83" s="62">
        <v>3589.1</v>
      </c>
      <c r="I83" s="62">
        <v>3589.1</v>
      </c>
    </row>
    <row r="84" spans="1:11" s="26" customFormat="1" ht="25.5" x14ac:dyDescent="0.2">
      <c r="A84" s="28" t="s">
        <v>141</v>
      </c>
      <c r="B84" s="24" t="s">
        <v>16</v>
      </c>
      <c r="C84" s="24">
        <v>2</v>
      </c>
      <c r="D84" s="24" t="s">
        <v>463</v>
      </c>
      <c r="E84" s="24" t="s">
        <v>617</v>
      </c>
      <c r="F84" s="27" t="s">
        <v>65</v>
      </c>
      <c r="G84" s="62">
        <v>22979.599999999999</v>
      </c>
      <c r="H84" s="62">
        <v>15215.7</v>
      </c>
      <c r="I84" s="62">
        <v>15215.7</v>
      </c>
    </row>
    <row r="85" spans="1:11" s="84" customFormat="1" x14ac:dyDescent="0.2">
      <c r="A85" s="89" t="s">
        <v>164</v>
      </c>
      <c r="B85" s="77" t="s">
        <v>16</v>
      </c>
      <c r="C85" s="77">
        <v>2</v>
      </c>
      <c r="D85" s="77" t="s">
        <v>463</v>
      </c>
      <c r="E85" s="77" t="s">
        <v>616</v>
      </c>
      <c r="F85" s="90"/>
      <c r="G85" s="91">
        <v>132.19999999999999</v>
      </c>
      <c r="H85" s="91">
        <v>132.19999999999999</v>
      </c>
      <c r="I85" s="91">
        <v>132.19999999999999</v>
      </c>
    </row>
    <row r="86" spans="1:11" s="84" customFormat="1" ht="25.5" x14ac:dyDescent="0.2">
      <c r="A86" s="80" t="s">
        <v>141</v>
      </c>
      <c r="B86" s="82" t="s">
        <v>16</v>
      </c>
      <c r="C86" s="82" t="s">
        <v>502</v>
      </c>
      <c r="D86" s="82" t="s">
        <v>463</v>
      </c>
      <c r="E86" s="82" t="s">
        <v>616</v>
      </c>
      <c r="F86" s="83" t="s">
        <v>65</v>
      </c>
      <c r="G86" s="62">
        <v>132.19999999999999</v>
      </c>
      <c r="H86" s="62">
        <v>132.19999999999999</v>
      </c>
      <c r="I86" s="62">
        <v>132.19999999999999</v>
      </c>
    </row>
    <row r="87" spans="1:11" ht="25.5" x14ac:dyDescent="0.2">
      <c r="A87" s="17" t="s">
        <v>418</v>
      </c>
      <c r="B87" s="19" t="s">
        <v>16</v>
      </c>
      <c r="C87" s="19">
        <v>2</v>
      </c>
      <c r="D87" s="19" t="s">
        <v>463</v>
      </c>
      <c r="E87" s="19" t="s">
        <v>615</v>
      </c>
      <c r="F87" s="5"/>
      <c r="G87" s="6">
        <v>35</v>
      </c>
      <c r="H87" s="6">
        <v>35</v>
      </c>
      <c r="I87" s="6">
        <v>35</v>
      </c>
    </row>
    <row r="88" spans="1:11" x14ac:dyDescent="0.2">
      <c r="A88" s="28" t="s">
        <v>69</v>
      </c>
      <c r="B88" s="19" t="s">
        <v>16</v>
      </c>
      <c r="C88" s="19">
        <v>2</v>
      </c>
      <c r="D88" s="19" t="s">
        <v>463</v>
      </c>
      <c r="E88" s="19" t="s">
        <v>615</v>
      </c>
      <c r="F88" s="27" t="s">
        <v>70</v>
      </c>
      <c r="G88" s="25">
        <v>35</v>
      </c>
      <c r="H88" s="25">
        <v>0</v>
      </c>
      <c r="I88" s="25">
        <v>0</v>
      </c>
    </row>
    <row r="89" spans="1:11" ht="25.5" x14ac:dyDescent="0.2">
      <c r="A89" s="28" t="s">
        <v>141</v>
      </c>
      <c r="B89" s="19" t="s">
        <v>16</v>
      </c>
      <c r="C89" s="19" t="s">
        <v>502</v>
      </c>
      <c r="D89" s="19" t="s">
        <v>463</v>
      </c>
      <c r="E89" s="19" t="s">
        <v>615</v>
      </c>
      <c r="F89" s="27" t="s">
        <v>65</v>
      </c>
      <c r="G89" s="25">
        <v>0</v>
      </c>
      <c r="H89" s="25">
        <v>35</v>
      </c>
      <c r="I89" s="25">
        <v>35</v>
      </c>
    </row>
    <row r="90" spans="1:11" s="79" customFormat="1" ht="38.25" x14ac:dyDescent="0.2">
      <c r="A90" s="159" t="s">
        <v>614</v>
      </c>
      <c r="B90" s="152" t="s">
        <v>16</v>
      </c>
      <c r="C90" s="152" t="s">
        <v>498</v>
      </c>
      <c r="D90" s="153"/>
      <c r="E90" s="153"/>
      <c r="F90" s="158"/>
      <c r="G90" s="151">
        <v>8844.4</v>
      </c>
      <c r="H90" s="151">
        <v>7326.4000000000005</v>
      </c>
      <c r="I90" s="151">
        <v>7326.4000000000005</v>
      </c>
    </row>
    <row r="91" spans="1:11" s="26" customFormat="1" ht="89.25" x14ac:dyDescent="0.2">
      <c r="A91" s="46" t="s">
        <v>155</v>
      </c>
      <c r="B91" s="19" t="s">
        <v>16</v>
      </c>
      <c r="C91" s="19">
        <v>3</v>
      </c>
      <c r="D91" s="19" t="s">
        <v>463</v>
      </c>
      <c r="E91" s="19" t="s">
        <v>613</v>
      </c>
      <c r="F91" s="19"/>
      <c r="G91" s="20">
        <v>8615.6</v>
      </c>
      <c r="H91" s="20">
        <v>7326.4000000000005</v>
      </c>
      <c r="I91" s="20">
        <v>7326.4000000000005</v>
      </c>
    </row>
    <row r="92" spans="1:11" ht="51" x14ac:dyDescent="0.2">
      <c r="A92" s="30" t="s">
        <v>66</v>
      </c>
      <c r="B92" s="24" t="s">
        <v>16</v>
      </c>
      <c r="C92" s="24">
        <v>3</v>
      </c>
      <c r="D92" s="24" t="s">
        <v>463</v>
      </c>
      <c r="E92" s="19" t="s">
        <v>613</v>
      </c>
      <c r="F92" s="27" t="s">
        <v>67</v>
      </c>
      <c r="G92" s="25">
        <v>8509.5</v>
      </c>
      <c r="H92" s="25">
        <v>7220.3</v>
      </c>
      <c r="I92" s="25">
        <v>7220.3</v>
      </c>
    </row>
    <row r="93" spans="1:11" s="84" customFormat="1" ht="25.5" x14ac:dyDescent="0.2">
      <c r="A93" s="80" t="s">
        <v>466</v>
      </c>
      <c r="B93" s="82" t="s">
        <v>16</v>
      </c>
      <c r="C93" s="82">
        <v>3</v>
      </c>
      <c r="D93" s="82" t="s">
        <v>463</v>
      </c>
      <c r="E93" s="77" t="s">
        <v>613</v>
      </c>
      <c r="F93" s="83" t="s">
        <v>68</v>
      </c>
      <c r="G93" s="25">
        <v>106.10000000000001</v>
      </c>
      <c r="H93" s="25">
        <v>106.10000000000001</v>
      </c>
      <c r="I93" s="25">
        <v>106.10000000000001</v>
      </c>
    </row>
    <row r="94" spans="1:11" s="74" customFormat="1" ht="51" x14ac:dyDescent="0.2">
      <c r="A94" s="97" t="s">
        <v>156</v>
      </c>
      <c r="B94" s="77" t="s">
        <v>16</v>
      </c>
      <c r="C94" s="77">
        <v>3</v>
      </c>
      <c r="D94" s="77" t="s">
        <v>463</v>
      </c>
      <c r="E94" s="77" t="s">
        <v>612</v>
      </c>
      <c r="F94" s="77"/>
      <c r="G94" s="78">
        <v>228.8</v>
      </c>
      <c r="H94" s="78">
        <v>0</v>
      </c>
      <c r="I94" s="78">
        <v>0</v>
      </c>
    </row>
    <row r="95" spans="1:11" s="84" customFormat="1" ht="25.5" x14ac:dyDescent="0.2">
      <c r="A95" s="80" t="s">
        <v>466</v>
      </c>
      <c r="B95" s="82" t="s">
        <v>16</v>
      </c>
      <c r="C95" s="82">
        <v>3</v>
      </c>
      <c r="D95" s="82" t="s">
        <v>463</v>
      </c>
      <c r="E95" s="82" t="s">
        <v>612</v>
      </c>
      <c r="F95" s="83" t="s">
        <v>68</v>
      </c>
      <c r="G95" s="62">
        <v>228.8</v>
      </c>
      <c r="H95" s="62">
        <v>0</v>
      </c>
      <c r="I95" s="62">
        <v>0</v>
      </c>
    </row>
    <row r="96" spans="1:11" s="9" customFormat="1" ht="38.25" x14ac:dyDescent="0.2">
      <c r="A96" s="156" t="s">
        <v>611</v>
      </c>
      <c r="B96" s="41" t="s">
        <v>18</v>
      </c>
      <c r="C96" s="41"/>
      <c r="D96" s="41"/>
      <c r="E96" s="41"/>
      <c r="F96" s="160"/>
      <c r="G96" s="39">
        <v>562224.7125299999</v>
      </c>
      <c r="H96" s="39">
        <v>463512.12174000003</v>
      </c>
      <c r="I96" s="39">
        <v>468621.96399999998</v>
      </c>
    </row>
    <row r="97" spans="1:9" s="26" customFormat="1" ht="38.25" x14ac:dyDescent="0.2">
      <c r="A97" s="155" t="s">
        <v>610</v>
      </c>
      <c r="B97" s="122" t="s">
        <v>18</v>
      </c>
      <c r="C97" s="149" t="s">
        <v>507</v>
      </c>
      <c r="D97" s="149"/>
      <c r="E97" s="149"/>
      <c r="F97" s="167"/>
      <c r="G97" s="148">
        <v>120152.3</v>
      </c>
      <c r="H97" s="148">
        <v>82824.5</v>
      </c>
      <c r="I97" s="148">
        <v>80931.199999999997</v>
      </c>
    </row>
    <row r="98" spans="1:9" s="26" customFormat="1" ht="38.25" x14ac:dyDescent="0.2">
      <c r="A98" s="18" t="s">
        <v>341</v>
      </c>
      <c r="B98" s="19" t="s">
        <v>18</v>
      </c>
      <c r="C98" s="19">
        <v>1</v>
      </c>
      <c r="D98" s="19" t="s">
        <v>463</v>
      </c>
      <c r="E98" s="19" t="s">
        <v>609</v>
      </c>
      <c r="F98" s="19"/>
      <c r="G98" s="20">
        <v>4158.1000000000004</v>
      </c>
      <c r="H98" s="20">
        <v>0</v>
      </c>
      <c r="I98" s="20">
        <v>0</v>
      </c>
    </row>
    <row r="99" spans="1:9" ht="25.5" x14ac:dyDescent="0.2">
      <c r="A99" s="28" t="s">
        <v>83</v>
      </c>
      <c r="B99" s="24" t="s">
        <v>18</v>
      </c>
      <c r="C99" s="24">
        <v>1</v>
      </c>
      <c r="D99" s="24" t="s">
        <v>463</v>
      </c>
      <c r="E99" s="24" t="s">
        <v>609</v>
      </c>
      <c r="F99" s="24" t="s">
        <v>71</v>
      </c>
      <c r="G99" s="25">
        <v>4158.1000000000004</v>
      </c>
      <c r="H99" s="25">
        <v>0</v>
      </c>
      <c r="I99" s="25">
        <v>0</v>
      </c>
    </row>
    <row r="100" spans="1:9" ht="51" x14ac:dyDescent="0.2">
      <c r="A100" s="18" t="s">
        <v>373</v>
      </c>
      <c r="B100" s="19" t="s">
        <v>18</v>
      </c>
      <c r="C100" s="19">
        <v>1</v>
      </c>
      <c r="D100" s="19" t="s">
        <v>463</v>
      </c>
      <c r="E100" s="19" t="s">
        <v>608</v>
      </c>
      <c r="F100" s="19"/>
      <c r="G100" s="20">
        <v>1329.3999999999999</v>
      </c>
      <c r="H100" s="20">
        <v>1330</v>
      </c>
      <c r="I100" s="20">
        <v>701.7</v>
      </c>
    </row>
    <row r="101" spans="1:9" ht="25.5" x14ac:dyDescent="0.2">
      <c r="A101" s="28" t="s">
        <v>83</v>
      </c>
      <c r="B101" s="24" t="s">
        <v>18</v>
      </c>
      <c r="C101" s="24">
        <v>1</v>
      </c>
      <c r="D101" s="24" t="s">
        <v>463</v>
      </c>
      <c r="E101" s="24" t="s">
        <v>608</v>
      </c>
      <c r="F101" s="24" t="s">
        <v>71</v>
      </c>
      <c r="G101" s="25">
        <v>1329.3999999999999</v>
      </c>
      <c r="H101" s="25">
        <v>1330</v>
      </c>
      <c r="I101" s="25">
        <v>701.7</v>
      </c>
    </row>
    <row r="102" spans="1:9" s="26" customFormat="1" ht="49.5" customHeight="1" x14ac:dyDescent="0.2">
      <c r="A102" s="18" t="s">
        <v>414</v>
      </c>
      <c r="B102" s="19" t="s">
        <v>18</v>
      </c>
      <c r="C102" s="19">
        <v>1</v>
      </c>
      <c r="D102" s="19" t="s">
        <v>463</v>
      </c>
      <c r="E102" s="19" t="s">
        <v>607</v>
      </c>
      <c r="F102" s="19"/>
      <c r="G102" s="20">
        <v>2515.8000000000002</v>
      </c>
      <c r="H102" s="20">
        <v>0</v>
      </c>
      <c r="I102" s="20">
        <v>0</v>
      </c>
    </row>
    <row r="103" spans="1:9" s="26" customFormat="1" ht="25.5" customHeight="1" x14ac:dyDescent="0.2">
      <c r="A103" s="28" t="s">
        <v>69</v>
      </c>
      <c r="B103" s="19" t="s">
        <v>18</v>
      </c>
      <c r="C103" s="19">
        <v>1</v>
      </c>
      <c r="D103" s="19" t="s">
        <v>463</v>
      </c>
      <c r="E103" s="19" t="s">
        <v>607</v>
      </c>
      <c r="F103" s="19" t="s">
        <v>70</v>
      </c>
      <c r="G103" s="20">
        <v>2515.8000000000002</v>
      </c>
      <c r="H103" s="20">
        <v>0</v>
      </c>
      <c r="I103" s="20">
        <v>0</v>
      </c>
    </row>
    <row r="104" spans="1:9" s="26" customFormat="1" ht="49.5" customHeight="1" x14ac:dyDescent="0.2">
      <c r="A104" s="18" t="s">
        <v>606</v>
      </c>
      <c r="B104" s="19" t="s">
        <v>18</v>
      </c>
      <c r="C104" s="19">
        <v>1</v>
      </c>
      <c r="D104" s="19" t="s">
        <v>463</v>
      </c>
      <c r="E104" s="19">
        <v>51350</v>
      </c>
      <c r="F104" s="19"/>
      <c r="G104" s="20">
        <v>3773.7</v>
      </c>
      <c r="H104" s="20">
        <v>2527.5</v>
      </c>
      <c r="I104" s="20">
        <v>1262.5</v>
      </c>
    </row>
    <row r="105" spans="1:9" s="26" customFormat="1" ht="25.5" customHeight="1" x14ac:dyDescent="0.2">
      <c r="A105" s="28" t="s">
        <v>69</v>
      </c>
      <c r="B105" s="19" t="s">
        <v>18</v>
      </c>
      <c r="C105" s="19">
        <v>1</v>
      </c>
      <c r="D105" s="19" t="s">
        <v>463</v>
      </c>
      <c r="E105" s="19">
        <v>51350</v>
      </c>
      <c r="F105" s="19" t="s">
        <v>70</v>
      </c>
      <c r="G105" s="20">
        <v>3773.7</v>
      </c>
      <c r="H105" s="20">
        <v>2527.5</v>
      </c>
      <c r="I105" s="20">
        <v>1262.5</v>
      </c>
    </row>
    <row r="106" spans="1:9" s="26" customFormat="1" ht="30.75" customHeight="1" x14ac:dyDescent="0.2">
      <c r="A106" s="18" t="s">
        <v>351</v>
      </c>
      <c r="B106" s="19" t="s">
        <v>18</v>
      </c>
      <c r="C106" s="19">
        <v>1</v>
      </c>
      <c r="D106" s="19" t="s">
        <v>463</v>
      </c>
      <c r="E106" s="19" t="s">
        <v>605</v>
      </c>
      <c r="F106" s="19"/>
      <c r="G106" s="20">
        <v>25414.9</v>
      </c>
      <c r="H106" s="20">
        <v>21142.799999999999</v>
      </c>
      <c r="I106" s="20">
        <v>21142.799999999999</v>
      </c>
    </row>
    <row r="107" spans="1:9" ht="25.5" x14ac:dyDescent="0.2">
      <c r="A107" s="28" t="s">
        <v>83</v>
      </c>
      <c r="B107" s="24" t="s">
        <v>18</v>
      </c>
      <c r="C107" s="24">
        <v>1</v>
      </c>
      <c r="D107" s="24" t="s">
        <v>463</v>
      </c>
      <c r="E107" s="24" t="s">
        <v>605</v>
      </c>
      <c r="F107" s="24" t="s">
        <v>71</v>
      </c>
      <c r="G107" s="25">
        <v>25414.9</v>
      </c>
      <c r="H107" s="25">
        <v>21142.799999999999</v>
      </c>
      <c r="I107" s="25">
        <v>21142.799999999999</v>
      </c>
    </row>
    <row r="108" spans="1:9" s="26" customFormat="1" ht="38.25" x14ac:dyDescent="0.2">
      <c r="A108" s="18" t="s">
        <v>217</v>
      </c>
      <c r="B108" s="19" t="s">
        <v>18</v>
      </c>
      <c r="C108" s="19">
        <v>1</v>
      </c>
      <c r="D108" s="19" t="s">
        <v>463</v>
      </c>
      <c r="E108" s="19" t="s">
        <v>604</v>
      </c>
      <c r="F108" s="19"/>
      <c r="G108" s="20">
        <v>24881.1</v>
      </c>
      <c r="H108" s="20">
        <v>25876.2</v>
      </c>
      <c r="I108" s="20">
        <v>25876.2</v>
      </c>
    </row>
    <row r="109" spans="1:9" ht="25.5" x14ac:dyDescent="0.2">
      <c r="A109" s="28" t="s">
        <v>83</v>
      </c>
      <c r="B109" s="19" t="s">
        <v>18</v>
      </c>
      <c r="C109" s="19">
        <v>1</v>
      </c>
      <c r="D109" s="19" t="s">
        <v>463</v>
      </c>
      <c r="E109" s="19" t="s">
        <v>604</v>
      </c>
      <c r="F109" s="24" t="s">
        <v>71</v>
      </c>
      <c r="G109" s="25">
        <v>24881.1</v>
      </c>
      <c r="H109" s="25">
        <v>25876.2</v>
      </c>
      <c r="I109" s="25">
        <v>25876.2</v>
      </c>
    </row>
    <row r="110" spans="1:9" ht="38.25" x14ac:dyDescent="0.2">
      <c r="A110" s="18" t="s">
        <v>217</v>
      </c>
      <c r="B110" s="19" t="s">
        <v>18</v>
      </c>
      <c r="C110" s="19">
        <v>1</v>
      </c>
      <c r="D110" s="19" t="s">
        <v>463</v>
      </c>
      <c r="E110" s="19" t="s">
        <v>603</v>
      </c>
      <c r="F110" s="19"/>
      <c r="G110" s="20">
        <v>58079.3</v>
      </c>
      <c r="H110" s="20">
        <v>31948</v>
      </c>
      <c r="I110" s="20">
        <v>31948</v>
      </c>
    </row>
    <row r="111" spans="1:9" s="79" customFormat="1" ht="25.5" x14ac:dyDescent="0.2">
      <c r="A111" s="87" t="s">
        <v>83</v>
      </c>
      <c r="B111" s="77" t="s">
        <v>18</v>
      </c>
      <c r="C111" s="77">
        <v>1</v>
      </c>
      <c r="D111" s="77" t="s">
        <v>463</v>
      </c>
      <c r="E111" s="77" t="s">
        <v>603</v>
      </c>
      <c r="F111" s="82" t="s">
        <v>71</v>
      </c>
      <c r="G111" s="62">
        <v>58079.3</v>
      </c>
      <c r="H111" s="62">
        <v>31948</v>
      </c>
      <c r="I111" s="62">
        <v>31948</v>
      </c>
    </row>
    <row r="112" spans="1:9" s="79" customFormat="1" x14ac:dyDescent="0.2">
      <c r="A112" s="154" t="s">
        <v>602</v>
      </c>
      <c r="B112" s="152" t="s">
        <v>18</v>
      </c>
      <c r="C112" s="153" t="s">
        <v>502</v>
      </c>
      <c r="D112" s="153"/>
      <c r="E112" s="153"/>
      <c r="F112" s="152"/>
      <c r="G112" s="151">
        <v>5168.35563</v>
      </c>
      <c r="H112" s="151">
        <v>1966.3</v>
      </c>
      <c r="I112" s="151">
        <v>1966.3</v>
      </c>
    </row>
    <row r="113" spans="1:9" s="84" customFormat="1" x14ac:dyDescent="0.2">
      <c r="A113" s="75" t="s">
        <v>386</v>
      </c>
      <c r="B113" s="77" t="s">
        <v>18</v>
      </c>
      <c r="C113" s="77">
        <v>2</v>
      </c>
      <c r="D113" s="77" t="s">
        <v>463</v>
      </c>
      <c r="E113" s="77" t="s">
        <v>601</v>
      </c>
      <c r="F113" s="77"/>
      <c r="G113" s="78">
        <v>5168.35563</v>
      </c>
      <c r="H113" s="78">
        <v>1966.3</v>
      </c>
      <c r="I113" s="78">
        <v>1966.3</v>
      </c>
    </row>
    <row r="114" spans="1:9" s="79" customFormat="1" x14ac:dyDescent="0.2">
      <c r="A114" s="87" t="s">
        <v>69</v>
      </c>
      <c r="B114" s="82" t="s">
        <v>18</v>
      </c>
      <c r="C114" s="82">
        <v>2</v>
      </c>
      <c r="D114" s="82" t="s">
        <v>463</v>
      </c>
      <c r="E114" s="82" t="s">
        <v>601</v>
      </c>
      <c r="F114" s="162">
        <v>300</v>
      </c>
      <c r="G114" s="62">
        <v>5168.35563</v>
      </c>
      <c r="H114" s="62">
        <v>1966.3</v>
      </c>
      <c r="I114" s="62">
        <v>1966.3</v>
      </c>
    </row>
    <row r="115" spans="1:9" s="74" customFormat="1" ht="25.5" x14ac:dyDescent="0.2">
      <c r="A115" s="154" t="s">
        <v>600</v>
      </c>
      <c r="B115" s="152" t="s">
        <v>18</v>
      </c>
      <c r="C115" s="152" t="s">
        <v>498</v>
      </c>
      <c r="D115" s="152"/>
      <c r="E115" s="152"/>
      <c r="F115" s="166"/>
      <c r="G115" s="151">
        <v>381873.1569</v>
      </c>
      <c r="H115" s="151">
        <v>344618.32174000004</v>
      </c>
      <c r="I115" s="151">
        <v>373693.864</v>
      </c>
    </row>
    <row r="116" spans="1:9" s="74" customFormat="1" ht="25.5" x14ac:dyDescent="0.2">
      <c r="A116" s="75" t="s">
        <v>694</v>
      </c>
      <c r="B116" s="82" t="s">
        <v>18</v>
      </c>
      <c r="C116" s="82" t="s">
        <v>498</v>
      </c>
      <c r="D116" s="82" t="s">
        <v>697</v>
      </c>
      <c r="E116" s="152"/>
      <c r="F116" s="166"/>
      <c r="G116" s="78">
        <v>116237.85690000001</v>
      </c>
      <c r="H116" s="78">
        <v>3946.9217400000002</v>
      </c>
      <c r="I116" s="78">
        <v>100785.364</v>
      </c>
    </row>
    <row r="117" spans="1:9" s="74" customFormat="1" ht="51" x14ac:dyDescent="0.2">
      <c r="A117" s="75" t="s">
        <v>696</v>
      </c>
      <c r="B117" s="77" t="s">
        <v>18</v>
      </c>
      <c r="C117" s="77">
        <v>3</v>
      </c>
      <c r="D117" s="77" t="s">
        <v>463</v>
      </c>
      <c r="E117" s="77" t="s">
        <v>720</v>
      </c>
      <c r="F117" s="166"/>
      <c r="G117" s="78">
        <v>110562.23375000001</v>
      </c>
      <c r="H117" s="78">
        <v>0</v>
      </c>
      <c r="I117" s="78">
        <v>0</v>
      </c>
    </row>
    <row r="118" spans="1:9" s="74" customFormat="1" ht="25.5" x14ac:dyDescent="0.2">
      <c r="A118" s="87" t="s">
        <v>83</v>
      </c>
      <c r="B118" s="77" t="s">
        <v>18</v>
      </c>
      <c r="C118" s="77">
        <v>3</v>
      </c>
      <c r="D118" s="77" t="s">
        <v>463</v>
      </c>
      <c r="E118" s="82" t="s">
        <v>720</v>
      </c>
      <c r="F118" s="166">
        <v>400</v>
      </c>
      <c r="G118" s="62">
        <v>110562.23375000001</v>
      </c>
      <c r="H118" s="62">
        <v>0</v>
      </c>
      <c r="I118" s="62">
        <v>0</v>
      </c>
    </row>
    <row r="119" spans="1:9" s="74" customFormat="1" ht="51" x14ac:dyDescent="0.2">
      <c r="A119" s="75" t="s">
        <v>696</v>
      </c>
      <c r="B119" s="77" t="s">
        <v>18</v>
      </c>
      <c r="C119" s="77">
        <v>3</v>
      </c>
      <c r="D119" s="77" t="s">
        <v>463</v>
      </c>
      <c r="E119" s="77" t="s">
        <v>698</v>
      </c>
      <c r="F119" s="166"/>
      <c r="G119" s="78">
        <v>5675.6231500000004</v>
      </c>
      <c r="H119" s="78">
        <v>3946.9217400000002</v>
      </c>
      <c r="I119" s="78">
        <v>100785.364</v>
      </c>
    </row>
    <row r="120" spans="1:9" s="74" customFormat="1" ht="25.5" x14ac:dyDescent="0.2">
      <c r="A120" s="87" t="s">
        <v>83</v>
      </c>
      <c r="B120" s="77" t="s">
        <v>18</v>
      </c>
      <c r="C120" s="77">
        <v>3</v>
      </c>
      <c r="D120" s="77" t="s">
        <v>463</v>
      </c>
      <c r="E120" s="82" t="s">
        <v>698</v>
      </c>
      <c r="F120" s="166">
        <v>400</v>
      </c>
      <c r="G120" s="62">
        <v>5675.6231500000004</v>
      </c>
      <c r="H120" s="62">
        <v>3946.9217400000002</v>
      </c>
      <c r="I120" s="62">
        <v>100785.364</v>
      </c>
    </row>
    <row r="121" spans="1:9" s="79" customFormat="1" ht="25.5" x14ac:dyDescent="0.2">
      <c r="A121" s="75" t="s">
        <v>169</v>
      </c>
      <c r="B121" s="77" t="s">
        <v>18</v>
      </c>
      <c r="C121" s="77">
        <v>3</v>
      </c>
      <c r="D121" s="77" t="s">
        <v>463</v>
      </c>
      <c r="E121" s="77">
        <v>51560</v>
      </c>
      <c r="F121" s="77"/>
      <c r="G121" s="78">
        <v>262958.3</v>
      </c>
      <c r="H121" s="78">
        <v>340671.4</v>
      </c>
      <c r="I121" s="78">
        <v>272908.5</v>
      </c>
    </row>
    <row r="122" spans="1:9" s="84" customFormat="1" x14ac:dyDescent="0.2">
      <c r="A122" s="87" t="s">
        <v>69</v>
      </c>
      <c r="B122" s="82" t="s">
        <v>18</v>
      </c>
      <c r="C122" s="82">
        <v>3</v>
      </c>
      <c r="D122" s="82" t="s">
        <v>463</v>
      </c>
      <c r="E122" s="82">
        <v>51560</v>
      </c>
      <c r="F122" s="82" t="s">
        <v>70</v>
      </c>
      <c r="G122" s="62">
        <v>262958.3</v>
      </c>
      <c r="H122" s="62">
        <v>340671.4</v>
      </c>
      <c r="I122" s="62">
        <v>272908.5</v>
      </c>
    </row>
    <row r="123" spans="1:9" s="84" customFormat="1" x14ac:dyDescent="0.2">
      <c r="A123" s="87" t="s">
        <v>400</v>
      </c>
      <c r="B123" s="82" t="s">
        <v>18</v>
      </c>
      <c r="C123" s="82" t="s">
        <v>498</v>
      </c>
      <c r="D123" s="82" t="s">
        <v>463</v>
      </c>
      <c r="E123" s="82" t="s">
        <v>599</v>
      </c>
      <c r="F123" s="83"/>
      <c r="G123" s="62">
        <v>1277</v>
      </c>
      <c r="H123" s="62">
        <v>0</v>
      </c>
      <c r="I123" s="62">
        <v>0</v>
      </c>
    </row>
    <row r="124" spans="1:9" s="84" customFormat="1" ht="25.5" x14ac:dyDescent="0.2">
      <c r="A124" s="87" t="s">
        <v>83</v>
      </c>
      <c r="B124" s="82" t="s">
        <v>18</v>
      </c>
      <c r="C124" s="82" t="s">
        <v>498</v>
      </c>
      <c r="D124" s="82" t="s">
        <v>463</v>
      </c>
      <c r="E124" s="82" t="s">
        <v>599</v>
      </c>
      <c r="F124" s="83" t="s">
        <v>71</v>
      </c>
      <c r="G124" s="62">
        <v>1277</v>
      </c>
      <c r="H124" s="62">
        <v>0</v>
      </c>
      <c r="I124" s="62">
        <v>0</v>
      </c>
    </row>
    <row r="125" spans="1:9" s="26" customFormat="1" ht="25.5" x14ac:dyDescent="0.2">
      <c r="A125" s="18" t="s">
        <v>375</v>
      </c>
      <c r="B125" s="24" t="s">
        <v>18</v>
      </c>
      <c r="C125" s="24" t="s">
        <v>498</v>
      </c>
      <c r="D125" s="24" t="s">
        <v>463</v>
      </c>
      <c r="E125" s="24" t="s">
        <v>669</v>
      </c>
      <c r="F125" s="27"/>
      <c r="G125" s="25">
        <v>1400</v>
      </c>
      <c r="H125" s="25">
        <v>0</v>
      </c>
      <c r="I125" s="25">
        <v>0</v>
      </c>
    </row>
    <row r="126" spans="1:9" s="26" customFormat="1" ht="25.5" x14ac:dyDescent="0.2">
      <c r="A126" s="28" t="s">
        <v>76</v>
      </c>
      <c r="B126" s="24" t="s">
        <v>18</v>
      </c>
      <c r="C126" s="24" t="s">
        <v>498</v>
      </c>
      <c r="D126" s="24" t="s">
        <v>463</v>
      </c>
      <c r="E126" s="24" t="s">
        <v>669</v>
      </c>
      <c r="F126" s="27" t="s">
        <v>68</v>
      </c>
      <c r="G126" s="25">
        <v>1400</v>
      </c>
      <c r="H126" s="25">
        <v>0</v>
      </c>
      <c r="I126" s="25">
        <v>0</v>
      </c>
    </row>
    <row r="127" spans="1:9" s="74" customFormat="1" x14ac:dyDescent="0.2">
      <c r="A127" s="154" t="s">
        <v>598</v>
      </c>
      <c r="B127" s="152" t="s">
        <v>18</v>
      </c>
      <c r="C127" s="152" t="s">
        <v>495</v>
      </c>
      <c r="D127" s="152"/>
      <c r="E127" s="152"/>
      <c r="F127" s="152"/>
      <c r="G127" s="151">
        <v>51337.200000000004</v>
      </c>
      <c r="H127" s="151">
        <v>34103</v>
      </c>
      <c r="I127" s="151">
        <v>12030.6</v>
      </c>
    </row>
    <row r="128" spans="1:9" x14ac:dyDescent="0.2">
      <c r="A128" s="18" t="s">
        <v>172</v>
      </c>
      <c r="B128" s="19" t="s">
        <v>18</v>
      </c>
      <c r="C128" s="19">
        <v>4</v>
      </c>
      <c r="D128" s="19" t="s">
        <v>463</v>
      </c>
      <c r="E128" s="19" t="s">
        <v>597</v>
      </c>
      <c r="F128" s="19"/>
      <c r="G128" s="20">
        <v>21873.9</v>
      </c>
      <c r="H128" s="20">
        <v>30885</v>
      </c>
      <c r="I128" s="20">
        <v>8812.6</v>
      </c>
    </row>
    <row r="129" spans="1:9" s="165" customFormat="1" ht="25.5" x14ac:dyDescent="0.2">
      <c r="A129" s="80" t="s">
        <v>466</v>
      </c>
      <c r="B129" s="82" t="s">
        <v>18</v>
      </c>
      <c r="C129" s="82">
        <v>4</v>
      </c>
      <c r="D129" s="82" t="s">
        <v>463</v>
      </c>
      <c r="E129" s="82" t="s">
        <v>597</v>
      </c>
      <c r="F129" s="83" t="s">
        <v>68</v>
      </c>
      <c r="G129" s="62">
        <v>14595.4</v>
      </c>
      <c r="H129" s="62">
        <v>0</v>
      </c>
      <c r="I129" s="62">
        <v>0</v>
      </c>
    </row>
    <row r="130" spans="1:9" s="9" customFormat="1" ht="25.5" x14ac:dyDescent="0.2">
      <c r="A130" s="28" t="s">
        <v>83</v>
      </c>
      <c r="B130" s="24" t="s">
        <v>18</v>
      </c>
      <c r="C130" s="24">
        <v>4</v>
      </c>
      <c r="D130" s="24" t="s">
        <v>463</v>
      </c>
      <c r="E130" s="24" t="s">
        <v>597</v>
      </c>
      <c r="F130" s="24" t="s">
        <v>71</v>
      </c>
      <c r="G130" s="25">
        <v>7278.5</v>
      </c>
      <c r="H130" s="25">
        <v>30885</v>
      </c>
      <c r="I130" s="25">
        <v>8812.6</v>
      </c>
    </row>
    <row r="131" spans="1:9" s="163" customFormat="1" x14ac:dyDescent="0.2">
      <c r="A131" s="18" t="s">
        <v>174</v>
      </c>
      <c r="B131" s="24" t="s">
        <v>18</v>
      </c>
      <c r="C131" s="24">
        <v>4</v>
      </c>
      <c r="D131" s="24" t="s">
        <v>463</v>
      </c>
      <c r="E131" s="24" t="s">
        <v>596</v>
      </c>
      <c r="F131" s="19"/>
      <c r="G131" s="20">
        <v>26039.5</v>
      </c>
      <c r="H131" s="20">
        <v>0</v>
      </c>
      <c r="I131" s="20">
        <v>0</v>
      </c>
    </row>
    <row r="132" spans="1:9" s="9" customFormat="1" ht="25.5" x14ac:dyDescent="0.2">
      <c r="A132" s="30" t="s">
        <v>466</v>
      </c>
      <c r="B132" s="24" t="s">
        <v>18</v>
      </c>
      <c r="C132" s="24">
        <v>4</v>
      </c>
      <c r="D132" s="24" t="s">
        <v>463</v>
      </c>
      <c r="E132" s="24" t="s">
        <v>596</v>
      </c>
      <c r="F132" s="27" t="s">
        <v>68</v>
      </c>
      <c r="G132" s="25">
        <v>16711.3</v>
      </c>
      <c r="H132" s="25">
        <v>0</v>
      </c>
      <c r="I132" s="25">
        <v>0</v>
      </c>
    </row>
    <row r="133" spans="1:9" s="9" customFormat="1" ht="25.5" x14ac:dyDescent="0.2">
      <c r="A133" s="28" t="s">
        <v>83</v>
      </c>
      <c r="B133" s="24" t="s">
        <v>18</v>
      </c>
      <c r="C133" s="24">
        <v>4</v>
      </c>
      <c r="D133" s="24" t="s">
        <v>463</v>
      </c>
      <c r="E133" s="24" t="s">
        <v>596</v>
      </c>
      <c r="F133" s="24" t="s">
        <v>71</v>
      </c>
      <c r="G133" s="25">
        <v>9328.2000000000007</v>
      </c>
      <c r="H133" s="25">
        <v>0</v>
      </c>
      <c r="I133" s="25">
        <v>0</v>
      </c>
    </row>
    <row r="134" spans="1:9" s="74" customFormat="1" ht="38.25" x14ac:dyDescent="0.2">
      <c r="A134" s="75" t="s">
        <v>403</v>
      </c>
      <c r="B134" s="82" t="s">
        <v>18</v>
      </c>
      <c r="C134" s="82" t="s">
        <v>495</v>
      </c>
      <c r="D134" s="82" t="s">
        <v>463</v>
      </c>
      <c r="E134" s="82" t="s">
        <v>595</v>
      </c>
      <c r="F134" s="82"/>
      <c r="G134" s="62">
        <v>3423.8</v>
      </c>
      <c r="H134" s="62">
        <v>3218</v>
      </c>
      <c r="I134" s="62">
        <v>3218</v>
      </c>
    </row>
    <row r="135" spans="1:9" s="9" customFormat="1" ht="25.5" x14ac:dyDescent="0.2">
      <c r="A135" s="28" t="s">
        <v>141</v>
      </c>
      <c r="B135" s="24" t="s">
        <v>18</v>
      </c>
      <c r="C135" s="24" t="s">
        <v>495</v>
      </c>
      <c r="D135" s="24" t="s">
        <v>463</v>
      </c>
      <c r="E135" s="24" t="s">
        <v>595</v>
      </c>
      <c r="F135" s="24" t="s">
        <v>65</v>
      </c>
      <c r="G135" s="25">
        <v>3423.8</v>
      </c>
      <c r="H135" s="25">
        <v>3218</v>
      </c>
      <c r="I135" s="25">
        <v>3218</v>
      </c>
    </row>
    <row r="136" spans="1:9" s="163" customFormat="1" x14ac:dyDescent="0.2">
      <c r="A136" s="150" t="s">
        <v>594</v>
      </c>
      <c r="B136" s="149" t="s">
        <v>18</v>
      </c>
      <c r="C136" s="149" t="s">
        <v>492</v>
      </c>
      <c r="D136" s="149"/>
      <c r="E136" s="149"/>
      <c r="F136" s="149"/>
      <c r="G136" s="148">
        <v>3693.7</v>
      </c>
      <c r="H136" s="148">
        <v>0</v>
      </c>
      <c r="I136" s="148">
        <v>0</v>
      </c>
    </row>
    <row r="137" spans="1:9" s="9" customFormat="1" x14ac:dyDescent="0.2">
      <c r="A137" s="18" t="s">
        <v>420</v>
      </c>
      <c r="B137" s="19" t="s">
        <v>18</v>
      </c>
      <c r="C137" s="19">
        <v>5</v>
      </c>
      <c r="D137" s="19" t="s">
        <v>463</v>
      </c>
      <c r="E137" s="19" t="s">
        <v>593</v>
      </c>
      <c r="F137" s="19"/>
      <c r="G137" s="20">
        <v>1586</v>
      </c>
      <c r="H137" s="20">
        <v>0</v>
      </c>
      <c r="I137" s="20">
        <v>0</v>
      </c>
    </row>
    <row r="138" spans="1:9" s="164" customFormat="1" x14ac:dyDescent="0.2">
      <c r="A138" s="87" t="s">
        <v>72</v>
      </c>
      <c r="B138" s="82" t="s">
        <v>18</v>
      </c>
      <c r="C138" s="82">
        <v>5</v>
      </c>
      <c r="D138" s="82" t="s">
        <v>463</v>
      </c>
      <c r="E138" s="82" t="s">
        <v>593</v>
      </c>
      <c r="F138" s="82" t="s">
        <v>73</v>
      </c>
      <c r="G138" s="62">
        <v>1586</v>
      </c>
      <c r="H138" s="62">
        <v>0</v>
      </c>
      <c r="I138" s="62">
        <v>0</v>
      </c>
    </row>
    <row r="139" spans="1:9" s="163" customFormat="1" ht="25.5" x14ac:dyDescent="0.2">
      <c r="A139" s="18" t="s">
        <v>215</v>
      </c>
      <c r="B139" s="19" t="s">
        <v>18</v>
      </c>
      <c r="C139" s="19">
        <v>5</v>
      </c>
      <c r="D139" s="19" t="s">
        <v>463</v>
      </c>
      <c r="E139" s="19" t="s">
        <v>592</v>
      </c>
      <c r="F139" s="19"/>
      <c r="G139" s="20">
        <v>2107.6999999999998</v>
      </c>
      <c r="H139" s="20">
        <v>0</v>
      </c>
      <c r="I139" s="20">
        <v>0</v>
      </c>
    </row>
    <row r="140" spans="1:9" s="9" customFormat="1" ht="25.5" x14ac:dyDescent="0.2">
      <c r="A140" s="30" t="s">
        <v>466</v>
      </c>
      <c r="B140" s="24" t="s">
        <v>18</v>
      </c>
      <c r="C140" s="24">
        <v>5</v>
      </c>
      <c r="D140" s="24" t="s">
        <v>463</v>
      </c>
      <c r="E140" s="24" t="s">
        <v>592</v>
      </c>
      <c r="F140" s="24" t="s">
        <v>68</v>
      </c>
      <c r="G140" s="25">
        <v>2107.6999999999998</v>
      </c>
      <c r="H140" s="25">
        <v>0</v>
      </c>
      <c r="I140" s="25">
        <v>0</v>
      </c>
    </row>
    <row r="141" spans="1:9" ht="25.5" x14ac:dyDescent="0.2">
      <c r="A141" s="40" t="s">
        <v>591</v>
      </c>
      <c r="B141" s="41" t="s">
        <v>31</v>
      </c>
      <c r="C141" s="41"/>
      <c r="D141" s="41"/>
      <c r="E141" s="41"/>
      <c r="F141" s="41"/>
      <c r="G141" s="39">
        <v>1419088.4425000004</v>
      </c>
      <c r="H141" s="39">
        <v>1223864.3</v>
      </c>
      <c r="I141" s="39">
        <v>1177030.1000000001</v>
      </c>
    </row>
    <row r="142" spans="1:9" s="79" customFormat="1" ht="38.25" x14ac:dyDescent="0.2">
      <c r="A142" s="154" t="s">
        <v>590</v>
      </c>
      <c r="B142" s="152" t="s">
        <v>31</v>
      </c>
      <c r="C142" s="152" t="s">
        <v>507</v>
      </c>
      <c r="D142" s="152"/>
      <c r="E142" s="152"/>
      <c r="F142" s="152"/>
      <c r="G142" s="151">
        <v>1288970.7425000002</v>
      </c>
      <c r="H142" s="151">
        <v>1101807.3</v>
      </c>
      <c r="I142" s="151">
        <v>1058129.8</v>
      </c>
    </row>
    <row r="143" spans="1:9" s="79" customFormat="1" ht="51" x14ac:dyDescent="0.2">
      <c r="A143" s="75" t="s">
        <v>344</v>
      </c>
      <c r="B143" s="77" t="s">
        <v>31</v>
      </c>
      <c r="C143" s="77">
        <v>1</v>
      </c>
      <c r="D143" s="77" t="s">
        <v>463</v>
      </c>
      <c r="E143" s="77" t="s">
        <v>589</v>
      </c>
      <c r="F143" s="77"/>
      <c r="G143" s="78">
        <v>201332.69999999998</v>
      </c>
      <c r="H143" s="78">
        <v>176581.59999999998</v>
      </c>
      <c r="I143" s="78">
        <v>168770</v>
      </c>
    </row>
    <row r="144" spans="1:9" s="79" customFormat="1" ht="51" x14ac:dyDescent="0.2">
      <c r="A144" s="80" t="s">
        <v>66</v>
      </c>
      <c r="B144" s="82" t="s">
        <v>31</v>
      </c>
      <c r="C144" s="82">
        <v>1</v>
      </c>
      <c r="D144" s="82" t="s">
        <v>463</v>
      </c>
      <c r="E144" s="82" t="s">
        <v>589</v>
      </c>
      <c r="F144" s="83" t="s">
        <v>67</v>
      </c>
      <c r="G144" s="78">
        <v>24355.5</v>
      </c>
      <c r="H144" s="78">
        <v>22781.9</v>
      </c>
      <c r="I144" s="78">
        <v>22781.9</v>
      </c>
    </row>
    <row r="145" spans="1:9" ht="25.5" x14ac:dyDescent="0.2">
      <c r="A145" s="30" t="s">
        <v>466</v>
      </c>
      <c r="B145" s="24" t="s">
        <v>31</v>
      </c>
      <c r="C145" s="24">
        <v>1</v>
      </c>
      <c r="D145" s="24" t="s">
        <v>463</v>
      </c>
      <c r="E145" s="24" t="s">
        <v>589</v>
      </c>
      <c r="F145" s="27" t="s">
        <v>68</v>
      </c>
      <c r="G145" s="78">
        <v>11641.2</v>
      </c>
      <c r="H145" s="78">
        <v>9706.3000000000011</v>
      </c>
      <c r="I145" s="78">
        <v>8796.7000000000007</v>
      </c>
    </row>
    <row r="146" spans="1:9" ht="25.5" x14ac:dyDescent="0.2">
      <c r="A146" s="28" t="s">
        <v>141</v>
      </c>
      <c r="B146" s="24" t="s">
        <v>31</v>
      </c>
      <c r="C146" s="24">
        <v>1</v>
      </c>
      <c r="D146" s="24" t="s">
        <v>463</v>
      </c>
      <c r="E146" s="24" t="s">
        <v>589</v>
      </c>
      <c r="F146" s="24" t="s">
        <v>65</v>
      </c>
      <c r="G146" s="78">
        <v>164966.19999999998</v>
      </c>
      <c r="H146" s="78">
        <v>143502.9</v>
      </c>
      <c r="I146" s="78">
        <v>136600.9</v>
      </c>
    </row>
    <row r="147" spans="1:9" s="79" customFormat="1" x14ac:dyDescent="0.2">
      <c r="A147" s="87" t="s">
        <v>72</v>
      </c>
      <c r="B147" s="82" t="s">
        <v>31</v>
      </c>
      <c r="C147" s="82">
        <v>1</v>
      </c>
      <c r="D147" s="82" t="s">
        <v>463</v>
      </c>
      <c r="E147" s="82" t="s">
        <v>589</v>
      </c>
      <c r="F147" s="82" t="s">
        <v>73</v>
      </c>
      <c r="G147" s="78">
        <v>369.79999999999995</v>
      </c>
      <c r="H147" s="78">
        <v>590.5</v>
      </c>
      <c r="I147" s="78">
        <v>590.5</v>
      </c>
    </row>
    <row r="148" spans="1:9" ht="51" x14ac:dyDescent="0.2">
      <c r="A148" s="18" t="s">
        <v>344</v>
      </c>
      <c r="B148" s="19" t="s">
        <v>31</v>
      </c>
      <c r="C148" s="19">
        <v>1</v>
      </c>
      <c r="D148" s="19" t="s">
        <v>463</v>
      </c>
      <c r="E148" s="19" t="s">
        <v>588</v>
      </c>
      <c r="F148" s="19"/>
      <c r="G148" s="20">
        <v>68271.09</v>
      </c>
      <c r="H148" s="20">
        <v>51697.999999999993</v>
      </c>
      <c r="I148" s="20">
        <v>19586.399999999994</v>
      </c>
    </row>
    <row r="149" spans="1:9" ht="25.5" x14ac:dyDescent="0.2">
      <c r="A149" s="28" t="s">
        <v>141</v>
      </c>
      <c r="B149" s="24" t="s">
        <v>31</v>
      </c>
      <c r="C149" s="24">
        <v>1</v>
      </c>
      <c r="D149" s="24" t="s">
        <v>463</v>
      </c>
      <c r="E149" s="24" t="s">
        <v>588</v>
      </c>
      <c r="F149" s="24" t="s">
        <v>65</v>
      </c>
      <c r="G149" s="25">
        <v>68271.09</v>
      </c>
      <c r="H149" s="25">
        <v>51697.999999999993</v>
      </c>
      <c r="I149" s="25">
        <v>19586.399999999994</v>
      </c>
    </row>
    <row r="150" spans="1:9" ht="51" x14ac:dyDescent="0.2">
      <c r="A150" s="18" t="s">
        <v>344</v>
      </c>
      <c r="B150" s="19" t="s">
        <v>31</v>
      </c>
      <c r="C150" s="19">
        <v>1</v>
      </c>
      <c r="D150" s="19" t="s">
        <v>463</v>
      </c>
      <c r="E150" s="19" t="s">
        <v>587</v>
      </c>
      <c r="F150" s="19"/>
      <c r="G150" s="20">
        <v>168005.5</v>
      </c>
      <c r="H150" s="20">
        <v>152788.4</v>
      </c>
      <c r="I150" s="20">
        <v>149827</v>
      </c>
    </row>
    <row r="151" spans="1:9" x14ac:dyDescent="0.2">
      <c r="A151" s="28" t="s">
        <v>69</v>
      </c>
      <c r="B151" s="24" t="s">
        <v>31</v>
      </c>
      <c r="C151" s="24">
        <v>1</v>
      </c>
      <c r="D151" s="24" t="s">
        <v>463</v>
      </c>
      <c r="E151" s="24" t="s">
        <v>587</v>
      </c>
      <c r="F151" s="27" t="s">
        <v>70</v>
      </c>
      <c r="G151" s="25">
        <v>30</v>
      </c>
      <c r="H151" s="25">
        <v>30</v>
      </c>
      <c r="I151" s="25">
        <v>30</v>
      </c>
    </row>
    <row r="152" spans="1:9" ht="25.5" x14ac:dyDescent="0.2">
      <c r="A152" s="28" t="s">
        <v>141</v>
      </c>
      <c r="B152" s="24" t="s">
        <v>31</v>
      </c>
      <c r="C152" s="24">
        <v>1</v>
      </c>
      <c r="D152" s="24" t="s">
        <v>463</v>
      </c>
      <c r="E152" s="24" t="s">
        <v>587</v>
      </c>
      <c r="F152" s="24" t="s">
        <v>65</v>
      </c>
      <c r="G152" s="25">
        <v>167975.5</v>
      </c>
      <c r="H152" s="25">
        <v>152758.39999999999</v>
      </c>
      <c r="I152" s="25">
        <v>149797</v>
      </c>
    </row>
    <row r="153" spans="1:9" ht="25.5" x14ac:dyDescent="0.2">
      <c r="A153" s="18" t="s">
        <v>701</v>
      </c>
      <c r="B153" s="19" t="s">
        <v>31</v>
      </c>
      <c r="C153" s="19">
        <v>1</v>
      </c>
      <c r="D153" s="19" t="s">
        <v>463</v>
      </c>
      <c r="E153" s="19" t="s">
        <v>703</v>
      </c>
      <c r="F153" s="19"/>
      <c r="G153" s="25">
        <v>6079.2</v>
      </c>
      <c r="H153" s="25">
        <v>0</v>
      </c>
      <c r="I153" s="25">
        <v>0</v>
      </c>
    </row>
    <row r="154" spans="1:9" ht="25.5" x14ac:dyDescent="0.2">
      <c r="A154" s="28" t="s">
        <v>141</v>
      </c>
      <c r="B154" s="24" t="s">
        <v>31</v>
      </c>
      <c r="C154" s="24">
        <v>1</v>
      </c>
      <c r="D154" s="24" t="s">
        <v>463</v>
      </c>
      <c r="E154" s="24" t="s">
        <v>703</v>
      </c>
      <c r="F154" s="24" t="s">
        <v>65</v>
      </c>
      <c r="G154" s="25">
        <v>6079.2</v>
      </c>
      <c r="H154" s="25">
        <v>0</v>
      </c>
      <c r="I154" s="25">
        <v>0</v>
      </c>
    </row>
    <row r="155" spans="1:9" ht="51" x14ac:dyDescent="0.2">
      <c r="A155" s="18" t="s">
        <v>235</v>
      </c>
      <c r="B155" s="19" t="s">
        <v>31</v>
      </c>
      <c r="C155" s="19">
        <v>1</v>
      </c>
      <c r="D155" s="19" t="s">
        <v>463</v>
      </c>
      <c r="E155" s="19" t="s">
        <v>586</v>
      </c>
      <c r="F155" s="19"/>
      <c r="G155" s="20">
        <v>759.8</v>
      </c>
      <c r="H155" s="20">
        <v>759.8</v>
      </c>
      <c r="I155" s="20">
        <v>707.5</v>
      </c>
    </row>
    <row r="156" spans="1:9" ht="25.5" x14ac:dyDescent="0.2">
      <c r="A156" s="30" t="s">
        <v>466</v>
      </c>
      <c r="B156" s="24" t="s">
        <v>31</v>
      </c>
      <c r="C156" s="24">
        <v>1</v>
      </c>
      <c r="D156" s="24" t="s">
        <v>463</v>
      </c>
      <c r="E156" s="24" t="s">
        <v>586</v>
      </c>
      <c r="F156" s="27" t="s">
        <v>68</v>
      </c>
      <c r="G156" s="25">
        <v>747.8</v>
      </c>
      <c r="H156" s="25">
        <v>759.8</v>
      </c>
      <c r="I156" s="25">
        <v>707.5</v>
      </c>
    </row>
    <row r="157" spans="1:9" x14ac:dyDescent="0.2">
      <c r="A157" s="30" t="s">
        <v>72</v>
      </c>
      <c r="B157" s="24" t="s">
        <v>31</v>
      </c>
      <c r="C157" s="24">
        <v>1</v>
      </c>
      <c r="D157" s="24" t="s">
        <v>463</v>
      </c>
      <c r="E157" s="24" t="s">
        <v>586</v>
      </c>
      <c r="F157" s="27" t="s">
        <v>73</v>
      </c>
      <c r="G157" s="25">
        <v>12</v>
      </c>
      <c r="H157" s="25">
        <v>0</v>
      </c>
      <c r="I157" s="25">
        <v>0</v>
      </c>
    </row>
    <row r="158" spans="1:9" s="79" customFormat="1" ht="51" x14ac:dyDescent="0.2">
      <c r="A158" s="75" t="s">
        <v>235</v>
      </c>
      <c r="B158" s="77" t="s">
        <v>31</v>
      </c>
      <c r="C158" s="77">
        <v>1</v>
      </c>
      <c r="D158" s="77" t="s">
        <v>463</v>
      </c>
      <c r="E158" s="77" t="s">
        <v>585</v>
      </c>
      <c r="F158" s="77"/>
      <c r="G158" s="78">
        <v>6248.4000000000005</v>
      </c>
      <c r="H158" s="78">
        <v>6143.2000000000007</v>
      </c>
      <c r="I158" s="78">
        <v>5402.6</v>
      </c>
    </row>
    <row r="159" spans="1:9" s="79" customFormat="1" ht="51" x14ac:dyDescent="0.2">
      <c r="A159" s="80" t="s">
        <v>66</v>
      </c>
      <c r="B159" s="82" t="s">
        <v>31</v>
      </c>
      <c r="C159" s="82">
        <v>1</v>
      </c>
      <c r="D159" s="82" t="s">
        <v>463</v>
      </c>
      <c r="E159" s="82" t="s">
        <v>585</v>
      </c>
      <c r="F159" s="83" t="s">
        <v>67</v>
      </c>
      <c r="G159" s="62">
        <v>3.3</v>
      </c>
      <c r="H159" s="62">
        <v>3.3</v>
      </c>
      <c r="I159" s="62">
        <v>3.3</v>
      </c>
    </row>
    <row r="160" spans="1:9" ht="25.5" x14ac:dyDescent="0.2">
      <c r="A160" s="30" t="s">
        <v>466</v>
      </c>
      <c r="B160" s="24" t="s">
        <v>31</v>
      </c>
      <c r="C160" s="24">
        <v>1</v>
      </c>
      <c r="D160" s="24" t="s">
        <v>463</v>
      </c>
      <c r="E160" s="24" t="s">
        <v>585</v>
      </c>
      <c r="F160" s="27" t="s">
        <v>68</v>
      </c>
      <c r="G160" s="62">
        <v>5775.3</v>
      </c>
      <c r="H160" s="62">
        <v>4930.1000000000004</v>
      </c>
      <c r="I160" s="62">
        <v>4189.5</v>
      </c>
    </row>
    <row r="161" spans="1:9" x14ac:dyDescent="0.2">
      <c r="A161" s="28" t="s">
        <v>72</v>
      </c>
      <c r="B161" s="24" t="s">
        <v>31</v>
      </c>
      <c r="C161" s="24">
        <v>1</v>
      </c>
      <c r="D161" s="24" t="s">
        <v>463</v>
      </c>
      <c r="E161" s="24" t="s">
        <v>585</v>
      </c>
      <c r="F161" s="24" t="s">
        <v>73</v>
      </c>
      <c r="G161" s="62">
        <v>469.79999999999995</v>
      </c>
      <c r="H161" s="62">
        <v>1209.8</v>
      </c>
      <c r="I161" s="62">
        <v>1209.8</v>
      </c>
    </row>
    <row r="162" spans="1:9" s="79" customFormat="1" ht="25.5" x14ac:dyDescent="0.2">
      <c r="A162" s="75" t="s">
        <v>345</v>
      </c>
      <c r="B162" s="77" t="s">
        <v>31</v>
      </c>
      <c r="C162" s="77">
        <v>1</v>
      </c>
      <c r="D162" s="77" t="s">
        <v>463</v>
      </c>
      <c r="E162" s="77" t="s">
        <v>584</v>
      </c>
      <c r="F162" s="77"/>
      <c r="G162" s="78">
        <v>403.7</v>
      </c>
      <c r="H162" s="78">
        <v>403.7</v>
      </c>
      <c r="I162" s="78">
        <v>403.7</v>
      </c>
    </row>
    <row r="163" spans="1:9" ht="25.5" x14ac:dyDescent="0.2">
      <c r="A163" s="30" t="s">
        <v>466</v>
      </c>
      <c r="B163" s="24" t="s">
        <v>31</v>
      </c>
      <c r="C163" s="24">
        <v>1</v>
      </c>
      <c r="D163" s="24" t="s">
        <v>463</v>
      </c>
      <c r="E163" s="24" t="s">
        <v>584</v>
      </c>
      <c r="F163" s="24" t="s">
        <v>68</v>
      </c>
      <c r="G163" s="25">
        <v>4</v>
      </c>
      <c r="H163" s="25">
        <v>4</v>
      </c>
      <c r="I163" s="25">
        <v>4</v>
      </c>
    </row>
    <row r="164" spans="1:9" s="79" customFormat="1" ht="25.5" x14ac:dyDescent="0.2">
      <c r="A164" s="87" t="s">
        <v>141</v>
      </c>
      <c r="B164" s="82" t="s">
        <v>31</v>
      </c>
      <c r="C164" s="82">
        <v>1</v>
      </c>
      <c r="D164" s="82" t="s">
        <v>463</v>
      </c>
      <c r="E164" s="82" t="s">
        <v>584</v>
      </c>
      <c r="F164" s="82" t="s">
        <v>65</v>
      </c>
      <c r="G164" s="62">
        <v>399.7</v>
      </c>
      <c r="H164" s="62">
        <v>399.7</v>
      </c>
      <c r="I164" s="62">
        <v>399.7</v>
      </c>
    </row>
    <row r="165" spans="1:9" ht="25.5" x14ac:dyDescent="0.2">
      <c r="A165" s="18" t="s">
        <v>345</v>
      </c>
      <c r="B165" s="19" t="s">
        <v>31</v>
      </c>
      <c r="C165" s="19">
        <v>1</v>
      </c>
      <c r="D165" s="19" t="s">
        <v>463</v>
      </c>
      <c r="E165" s="19" t="s">
        <v>583</v>
      </c>
      <c r="F165" s="19"/>
      <c r="G165" s="20">
        <v>0</v>
      </c>
      <c r="H165" s="20">
        <v>100</v>
      </c>
      <c r="I165" s="20">
        <v>100</v>
      </c>
    </row>
    <row r="166" spans="1:9" ht="25.5" x14ac:dyDescent="0.2">
      <c r="A166" s="28" t="s">
        <v>141</v>
      </c>
      <c r="B166" s="24" t="s">
        <v>31</v>
      </c>
      <c r="C166" s="24">
        <v>1</v>
      </c>
      <c r="D166" s="24" t="s">
        <v>463</v>
      </c>
      <c r="E166" s="24" t="s">
        <v>583</v>
      </c>
      <c r="F166" s="24" t="s">
        <v>65</v>
      </c>
      <c r="G166" s="25">
        <v>0</v>
      </c>
      <c r="H166" s="25">
        <v>100</v>
      </c>
      <c r="I166" s="25">
        <v>100</v>
      </c>
    </row>
    <row r="167" spans="1:9" ht="25.5" x14ac:dyDescent="0.2">
      <c r="A167" s="18" t="s">
        <v>176</v>
      </c>
      <c r="B167" s="19" t="s">
        <v>31</v>
      </c>
      <c r="C167" s="19">
        <v>1</v>
      </c>
      <c r="D167" s="19" t="s">
        <v>463</v>
      </c>
      <c r="E167" s="19" t="s">
        <v>582</v>
      </c>
      <c r="F167" s="19"/>
      <c r="G167" s="20">
        <v>216.7</v>
      </c>
      <c r="H167" s="20">
        <v>116.7</v>
      </c>
      <c r="I167" s="20">
        <v>116.7</v>
      </c>
    </row>
    <row r="168" spans="1:9" ht="25.5" x14ac:dyDescent="0.2">
      <c r="A168" s="30" t="s">
        <v>466</v>
      </c>
      <c r="B168" s="24" t="s">
        <v>31</v>
      </c>
      <c r="C168" s="24">
        <v>1</v>
      </c>
      <c r="D168" s="24" t="s">
        <v>463</v>
      </c>
      <c r="E168" s="24" t="s">
        <v>582</v>
      </c>
      <c r="F168" s="27" t="s">
        <v>68</v>
      </c>
      <c r="G168" s="25">
        <v>216.7</v>
      </c>
      <c r="H168" s="25">
        <v>116.7</v>
      </c>
      <c r="I168" s="25">
        <v>116.7</v>
      </c>
    </row>
    <row r="169" spans="1:9" ht="37.5" customHeight="1" x14ac:dyDescent="0.2">
      <c r="A169" s="18" t="s">
        <v>346</v>
      </c>
      <c r="B169" s="19" t="s">
        <v>31</v>
      </c>
      <c r="C169" s="19">
        <v>1</v>
      </c>
      <c r="D169" s="19" t="s">
        <v>463</v>
      </c>
      <c r="E169" s="19" t="s">
        <v>581</v>
      </c>
      <c r="F169" s="19"/>
      <c r="G169" s="20">
        <v>784.19999999999993</v>
      </c>
      <c r="H169" s="20">
        <v>714.19999999999993</v>
      </c>
      <c r="I169" s="20">
        <v>714.19999999999993</v>
      </c>
    </row>
    <row r="170" spans="1:9" ht="51" x14ac:dyDescent="0.2">
      <c r="A170" s="30" t="s">
        <v>66</v>
      </c>
      <c r="B170" s="24" t="s">
        <v>31</v>
      </c>
      <c r="C170" s="24">
        <v>1</v>
      </c>
      <c r="D170" s="24" t="s">
        <v>463</v>
      </c>
      <c r="E170" s="24" t="s">
        <v>581</v>
      </c>
      <c r="F170" s="27" t="s">
        <v>67</v>
      </c>
      <c r="G170" s="25">
        <v>64.8</v>
      </c>
      <c r="H170" s="25">
        <v>54.4</v>
      </c>
      <c r="I170" s="25">
        <v>54.4</v>
      </c>
    </row>
    <row r="171" spans="1:9" ht="25.5" x14ac:dyDescent="0.2">
      <c r="A171" s="28" t="s">
        <v>141</v>
      </c>
      <c r="B171" s="24" t="s">
        <v>31</v>
      </c>
      <c r="C171" s="24">
        <v>1</v>
      </c>
      <c r="D171" s="24" t="s">
        <v>463</v>
      </c>
      <c r="E171" s="24" t="s">
        <v>581</v>
      </c>
      <c r="F171" s="24" t="s">
        <v>65</v>
      </c>
      <c r="G171" s="25">
        <v>719.4</v>
      </c>
      <c r="H171" s="25">
        <v>659.8</v>
      </c>
      <c r="I171" s="25">
        <v>659.8</v>
      </c>
    </row>
    <row r="172" spans="1:9" s="79" customFormat="1" ht="25.5" x14ac:dyDescent="0.2">
      <c r="A172" s="75" t="s">
        <v>243</v>
      </c>
      <c r="B172" s="77" t="s">
        <v>31</v>
      </c>
      <c r="C172" s="77">
        <v>1</v>
      </c>
      <c r="D172" s="77" t="s">
        <v>463</v>
      </c>
      <c r="E172" s="77" t="s">
        <v>580</v>
      </c>
      <c r="F172" s="77"/>
      <c r="G172" s="78">
        <v>643.4</v>
      </c>
      <c r="H172" s="78">
        <v>643.4</v>
      </c>
      <c r="I172" s="78">
        <v>643.4</v>
      </c>
    </row>
    <row r="173" spans="1:9" ht="51" x14ac:dyDescent="0.2">
      <c r="A173" s="30" t="s">
        <v>66</v>
      </c>
      <c r="B173" s="24" t="s">
        <v>31</v>
      </c>
      <c r="C173" s="24">
        <v>1</v>
      </c>
      <c r="D173" s="24" t="s">
        <v>463</v>
      </c>
      <c r="E173" s="24" t="s">
        <v>580</v>
      </c>
      <c r="F173" s="24" t="s">
        <v>67</v>
      </c>
      <c r="G173" s="25">
        <v>22.6</v>
      </c>
      <c r="H173" s="25">
        <v>22.6</v>
      </c>
      <c r="I173" s="25">
        <v>22.6</v>
      </c>
    </row>
    <row r="174" spans="1:9" s="79" customFormat="1" ht="25.5" x14ac:dyDescent="0.2">
      <c r="A174" s="80" t="s">
        <v>466</v>
      </c>
      <c r="B174" s="82" t="s">
        <v>31</v>
      </c>
      <c r="C174" s="82">
        <v>1</v>
      </c>
      <c r="D174" s="82" t="s">
        <v>463</v>
      </c>
      <c r="E174" s="82" t="s">
        <v>580</v>
      </c>
      <c r="F174" s="82" t="s">
        <v>68</v>
      </c>
      <c r="G174" s="25">
        <v>105</v>
      </c>
      <c r="H174" s="25">
        <v>105</v>
      </c>
      <c r="I174" s="25">
        <v>105</v>
      </c>
    </row>
    <row r="175" spans="1:9" s="79" customFormat="1" ht="25.5" x14ac:dyDescent="0.2">
      <c r="A175" s="87" t="s">
        <v>141</v>
      </c>
      <c r="B175" s="82" t="s">
        <v>31</v>
      </c>
      <c r="C175" s="82">
        <v>1</v>
      </c>
      <c r="D175" s="82" t="s">
        <v>463</v>
      </c>
      <c r="E175" s="82" t="s">
        <v>580</v>
      </c>
      <c r="F175" s="82" t="s">
        <v>65</v>
      </c>
      <c r="G175" s="25">
        <v>515.79999999999995</v>
      </c>
      <c r="H175" s="25">
        <v>515.79999999999995</v>
      </c>
      <c r="I175" s="25">
        <v>515.79999999999995</v>
      </c>
    </row>
    <row r="176" spans="1:9" s="79" customFormat="1" ht="25.5" x14ac:dyDescent="0.2">
      <c r="A176" s="18" t="s">
        <v>443</v>
      </c>
      <c r="B176" s="82" t="s">
        <v>31</v>
      </c>
      <c r="C176" s="82">
        <v>1</v>
      </c>
      <c r="D176" s="82" t="s">
        <v>463</v>
      </c>
      <c r="E176" s="19" t="s">
        <v>490</v>
      </c>
      <c r="F176" s="19"/>
      <c r="G176" s="20">
        <v>1321.6100000000001</v>
      </c>
      <c r="H176" s="20">
        <v>0</v>
      </c>
      <c r="I176" s="20">
        <v>0</v>
      </c>
    </row>
    <row r="177" spans="1:9" s="79" customFormat="1" ht="25.5" x14ac:dyDescent="0.2">
      <c r="A177" s="28" t="s">
        <v>141</v>
      </c>
      <c r="B177" s="82" t="s">
        <v>31</v>
      </c>
      <c r="C177" s="82">
        <v>1</v>
      </c>
      <c r="D177" s="82" t="s">
        <v>463</v>
      </c>
      <c r="E177" s="24" t="s">
        <v>490</v>
      </c>
      <c r="F177" s="24" t="s">
        <v>65</v>
      </c>
      <c r="G177" s="25">
        <v>1321.6100000000001</v>
      </c>
      <c r="H177" s="25">
        <v>0</v>
      </c>
      <c r="I177" s="25">
        <v>0</v>
      </c>
    </row>
    <row r="178" spans="1:9" s="79" customFormat="1" ht="25.5" x14ac:dyDescent="0.2">
      <c r="A178" s="18" t="s">
        <v>443</v>
      </c>
      <c r="B178" s="82" t="s">
        <v>31</v>
      </c>
      <c r="C178" s="82">
        <v>1</v>
      </c>
      <c r="D178" s="82" t="s">
        <v>463</v>
      </c>
      <c r="E178" s="19" t="s">
        <v>722</v>
      </c>
      <c r="F178" s="19"/>
      <c r="G178" s="25">
        <v>1250</v>
      </c>
      <c r="H178" s="25">
        <v>0</v>
      </c>
      <c r="I178" s="25">
        <v>0</v>
      </c>
    </row>
    <row r="179" spans="1:9" s="79" customFormat="1" ht="25.5" x14ac:dyDescent="0.2">
      <c r="A179" s="28" t="s">
        <v>141</v>
      </c>
      <c r="B179" s="82" t="s">
        <v>31</v>
      </c>
      <c r="C179" s="82">
        <v>1</v>
      </c>
      <c r="D179" s="82" t="s">
        <v>463</v>
      </c>
      <c r="E179" s="24" t="s">
        <v>722</v>
      </c>
      <c r="F179" s="24" t="s">
        <v>65</v>
      </c>
      <c r="G179" s="25">
        <v>1250</v>
      </c>
      <c r="H179" s="25">
        <v>0</v>
      </c>
      <c r="I179" s="25">
        <v>0</v>
      </c>
    </row>
    <row r="180" spans="1:9" s="79" customFormat="1" ht="38.25" x14ac:dyDescent="0.2">
      <c r="A180" s="18" t="s">
        <v>685</v>
      </c>
      <c r="B180" s="82" t="s">
        <v>31</v>
      </c>
      <c r="C180" s="82">
        <v>1</v>
      </c>
      <c r="D180" s="82" t="s">
        <v>463</v>
      </c>
      <c r="E180" s="19" t="s">
        <v>693</v>
      </c>
      <c r="F180" s="19"/>
      <c r="G180" s="20">
        <v>12187.400000000001</v>
      </c>
      <c r="H180" s="20">
        <v>0</v>
      </c>
      <c r="I180" s="20">
        <v>0</v>
      </c>
    </row>
    <row r="181" spans="1:9" s="79" customFormat="1" ht="25.5" x14ac:dyDescent="0.2">
      <c r="A181" s="28" t="s">
        <v>141</v>
      </c>
      <c r="B181" s="82" t="s">
        <v>31</v>
      </c>
      <c r="C181" s="82">
        <v>1</v>
      </c>
      <c r="D181" s="82" t="s">
        <v>463</v>
      </c>
      <c r="E181" s="24" t="s">
        <v>693</v>
      </c>
      <c r="F181" s="24" t="s">
        <v>65</v>
      </c>
      <c r="G181" s="25">
        <v>12187.400000000001</v>
      </c>
      <c r="H181" s="25">
        <v>0</v>
      </c>
      <c r="I181" s="25">
        <v>0</v>
      </c>
    </row>
    <row r="182" spans="1:9" s="79" customFormat="1" ht="38.25" x14ac:dyDescent="0.2">
      <c r="A182" s="18" t="s">
        <v>685</v>
      </c>
      <c r="B182" s="19" t="s">
        <v>31</v>
      </c>
      <c r="C182" s="19">
        <v>1</v>
      </c>
      <c r="D182" s="19" t="s">
        <v>463</v>
      </c>
      <c r="E182" s="19" t="s">
        <v>687</v>
      </c>
      <c r="F182" s="82"/>
      <c r="G182" s="20">
        <v>126558.6425</v>
      </c>
      <c r="H182" s="20">
        <v>0</v>
      </c>
      <c r="I182" s="20">
        <v>0</v>
      </c>
    </row>
    <row r="183" spans="1:9" s="79" customFormat="1" ht="25.5" x14ac:dyDescent="0.2">
      <c r="A183" s="87" t="s">
        <v>141</v>
      </c>
      <c r="B183" s="19" t="s">
        <v>31</v>
      </c>
      <c r="C183" s="19">
        <v>1</v>
      </c>
      <c r="D183" s="19" t="s">
        <v>463</v>
      </c>
      <c r="E183" s="19" t="s">
        <v>687</v>
      </c>
      <c r="F183" s="82" t="s">
        <v>65</v>
      </c>
      <c r="G183" s="25">
        <v>126558.6425</v>
      </c>
      <c r="H183" s="25">
        <v>0</v>
      </c>
      <c r="I183" s="25">
        <v>0</v>
      </c>
    </row>
    <row r="184" spans="1:9" ht="51" x14ac:dyDescent="0.2">
      <c r="A184" s="60" t="s">
        <v>360</v>
      </c>
      <c r="B184" s="19" t="s">
        <v>31</v>
      </c>
      <c r="C184" s="19">
        <v>1</v>
      </c>
      <c r="D184" s="19" t="s">
        <v>463</v>
      </c>
      <c r="E184" s="19">
        <v>71800</v>
      </c>
      <c r="F184" s="19"/>
      <c r="G184" s="20">
        <v>245466.7</v>
      </c>
      <c r="H184" s="20">
        <v>256466.7</v>
      </c>
      <c r="I184" s="20">
        <v>256466.7</v>
      </c>
    </row>
    <row r="185" spans="1:9" s="79" customFormat="1" ht="51" x14ac:dyDescent="0.2">
      <c r="A185" s="80" t="s">
        <v>66</v>
      </c>
      <c r="B185" s="82" t="s">
        <v>31</v>
      </c>
      <c r="C185" s="82">
        <v>1</v>
      </c>
      <c r="D185" s="82" t="s">
        <v>463</v>
      </c>
      <c r="E185" s="82">
        <v>71800</v>
      </c>
      <c r="F185" s="83" t="s">
        <v>67</v>
      </c>
      <c r="G185" s="62">
        <v>40850.5</v>
      </c>
      <c r="H185" s="62">
        <v>41527.5</v>
      </c>
      <c r="I185" s="62">
        <v>41527.5</v>
      </c>
    </row>
    <row r="186" spans="1:9" ht="25.5" x14ac:dyDescent="0.2">
      <c r="A186" s="30" t="s">
        <v>466</v>
      </c>
      <c r="B186" s="24" t="s">
        <v>31</v>
      </c>
      <c r="C186" s="24">
        <v>1</v>
      </c>
      <c r="D186" s="24" t="s">
        <v>463</v>
      </c>
      <c r="E186" s="24">
        <v>71800</v>
      </c>
      <c r="F186" s="27" t="s">
        <v>68</v>
      </c>
      <c r="G186" s="62">
        <v>148.4</v>
      </c>
      <c r="H186" s="62">
        <v>148.4</v>
      </c>
      <c r="I186" s="62">
        <v>148.4</v>
      </c>
    </row>
    <row r="187" spans="1:9" s="84" customFormat="1" ht="25.5" x14ac:dyDescent="0.2">
      <c r="A187" s="87" t="s">
        <v>141</v>
      </c>
      <c r="B187" s="82" t="s">
        <v>31</v>
      </c>
      <c r="C187" s="82">
        <v>1</v>
      </c>
      <c r="D187" s="82" t="s">
        <v>463</v>
      </c>
      <c r="E187" s="82">
        <v>71800</v>
      </c>
      <c r="F187" s="82" t="s">
        <v>65</v>
      </c>
      <c r="G187" s="62">
        <v>204467.80000000002</v>
      </c>
      <c r="H187" s="62">
        <v>214790.80000000002</v>
      </c>
      <c r="I187" s="62">
        <v>214790.80000000002</v>
      </c>
    </row>
    <row r="188" spans="1:9" ht="25.5" x14ac:dyDescent="0.2">
      <c r="A188" s="18" t="s">
        <v>228</v>
      </c>
      <c r="B188" s="19" t="s">
        <v>31</v>
      </c>
      <c r="C188" s="19">
        <v>1</v>
      </c>
      <c r="D188" s="19" t="s">
        <v>463</v>
      </c>
      <c r="E188" s="19">
        <v>71820</v>
      </c>
      <c r="F188" s="19"/>
      <c r="G188" s="20">
        <v>48898.299999999996</v>
      </c>
      <c r="H188" s="20">
        <v>46674.7</v>
      </c>
      <c r="I188" s="20">
        <v>46674.7</v>
      </c>
    </row>
    <row r="189" spans="1:9" s="79" customFormat="1" ht="51" x14ac:dyDescent="0.2">
      <c r="A189" s="80" t="s">
        <v>66</v>
      </c>
      <c r="B189" s="82" t="s">
        <v>31</v>
      </c>
      <c r="C189" s="82">
        <v>1</v>
      </c>
      <c r="D189" s="82" t="s">
        <v>463</v>
      </c>
      <c r="E189" s="82">
        <v>71820</v>
      </c>
      <c r="F189" s="83" t="s">
        <v>67</v>
      </c>
      <c r="G189" s="62">
        <v>34833.299999999996</v>
      </c>
      <c r="H189" s="62">
        <v>34853.199999999997</v>
      </c>
      <c r="I189" s="62">
        <v>34853.199999999997</v>
      </c>
    </row>
    <row r="190" spans="1:9" s="79" customFormat="1" ht="25.5" x14ac:dyDescent="0.2">
      <c r="A190" s="80" t="s">
        <v>466</v>
      </c>
      <c r="B190" s="82" t="s">
        <v>31</v>
      </c>
      <c r="C190" s="82" t="s">
        <v>507</v>
      </c>
      <c r="D190" s="82" t="s">
        <v>463</v>
      </c>
      <c r="E190" s="82">
        <v>71820</v>
      </c>
      <c r="F190" s="83" t="s">
        <v>68</v>
      </c>
      <c r="G190" s="62">
        <v>12979.1</v>
      </c>
      <c r="H190" s="62">
        <v>11046.2</v>
      </c>
      <c r="I190" s="62">
        <v>11046.2</v>
      </c>
    </row>
    <row r="191" spans="1:9" x14ac:dyDescent="0.2">
      <c r="A191" s="28" t="s">
        <v>72</v>
      </c>
      <c r="B191" s="24" t="s">
        <v>31</v>
      </c>
      <c r="C191" s="24">
        <v>1</v>
      </c>
      <c r="D191" s="24" t="s">
        <v>463</v>
      </c>
      <c r="E191" s="24">
        <v>71820</v>
      </c>
      <c r="F191" s="24" t="s">
        <v>73</v>
      </c>
      <c r="G191" s="62">
        <v>1085.9000000000001</v>
      </c>
      <c r="H191" s="62">
        <v>775.3</v>
      </c>
      <c r="I191" s="62">
        <v>775.3</v>
      </c>
    </row>
    <row r="192" spans="1:9" ht="63.75" x14ac:dyDescent="0.2">
      <c r="A192" s="18" t="s">
        <v>579</v>
      </c>
      <c r="B192" s="19" t="s">
        <v>31</v>
      </c>
      <c r="C192" s="19">
        <v>1</v>
      </c>
      <c r="D192" s="19" t="s">
        <v>463</v>
      </c>
      <c r="E192" s="19">
        <v>71830</v>
      </c>
      <c r="F192" s="19"/>
      <c r="G192" s="20">
        <v>391631.4</v>
      </c>
      <c r="H192" s="20">
        <v>400168.9</v>
      </c>
      <c r="I192" s="20">
        <v>400168.9</v>
      </c>
    </row>
    <row r="193" spans="1:9" s="79" customFormat="1" ht="51" x14ac:dyDescent="0.2">
      <c r="A193" s="80" t="s">
        <v>66</v>
      </c>
      <c r="B193" s="82" t="s">
        <v>31</v>
      </c>
      <c r="C193" s="82">
        <v>1</v>
      </c>
      <c r="D193" s="82" t="s">
        <v>463</v>
      </c>
      <c r="E193" s="82">
        <v>71830</v>
      </c>
      <c r="F193" s="83" t="s">
        <v>67</v>
      </c>
      <c r="G193" s="62">
        <v>67627.399999999994</v>
      </c>
      <c r="H193" s="62">
        <v>70933.8</v>
      </c>
      <c r="I193" s="62">
        <v>70933.8</v>
      </c>
    </row>
    <row r="194" spans="1:9" s="79" customFormat="1" ht="25.5" x14ac:dyDescent="0.2">
      <c r="A194" s="80" t="s">
        <v>466</v>
      </c>
      <c r="B194" s="82" t="s">
        <v>31</v>
      </c>
      <c r="C194" s="82">
        <v>1</v>
      </c>
      <c r="D194" s="82" t="s">
        <v>463</v>
      </c>
      <c r="E194" s="82">
        <v>71830</v>
      </c>
      <c r="F194" s="83" t="s">
        <v>68</v>
      </c>
      <c r="G194" s="62">
        <v>1777.3</v>
      </c>
      <c r="H194" s="62">
        <v>1869.2</v>
      </c>
      <c r="I194" s="62">
        <v>1869.2</v>
      </c>
    </row>
    <row r="195" spans="1:9" s="79" customFormat="1" ht="25.5" x14ac:dyDescent="0.2">
      <c r="A195" s="87" t="s">
        <v>141</v>
      </c>
      <c r="B195" s="82" t="s">
        <v>31</v>
      </c>
      <c r="C195" s="82">
        <v>1</v>
      </c>
      <c r="D195" s="82" t="s">
        <v>463</v>
      </c>
      <c r="E195" s="82">
        <v>71830</v>
      </c>
      <c r="F195" s="82" t="s">
        <v>65</v>
      </c>
      <c r="G195" s="62">
        <v>322226.7</v>
      </c>
      <c r="H195" s="62">
        <v>327365.90000000002</v>
      </c>
      <c r="I195" s="62">
        <v>327365.90000000002</v>
      </c>
    </row>
    <row r="196" spans="1:9" ht="38.25" x14ac:dyDescent="0.2">
      <c r="A196" s="18" t="s">
        <v>230</v>
      </c>
      <c r="B196" s="19" t="s">
        <v>31</v>
      </c>
      <c r="C196" s="19">
        <v>1</v>
      </c>
      <c r="D196" s="19" t="s">
        <v>463</v>
      </c>
      <c r="E196" s="19">
        <v>71840</v>
      </c>
      <c r="F196" s="19"/>
      <c r="G196" s="20">
        <v>3738</v>
      </c>
      <c r="H196" s="20">
        <v>3738</v>
      </c>
      <c r="I196" s="20">
        <v>3738</v>
      </c>
    </row>
    <row r="197" spans="1:9" ht="25.5" x14ac:dyDescent="0.2">
      <c r="A197" s="30" t="s">
        <v>466</v>
      </c>
      <c r="B197" s="24" t="s">
        <v>31</v>
      </c>
      <c r="C197" s="24">
        <v>1</v>
      </c>
      <c r="D197" s="24" t="s">
        <v>463</v>
      </c>
      <c r="E197" s="24">
        <v>71840</v>
      </c>
      <c r="F197" s="27" t="s">
        <v>68</v>
      </c>
      <c r="G197" s="25">
        <v>3738</v>
      </c>
      <c r="H197" s="25">
        <v>3738</v>
      </c>
      <c r="I197" s="25">
        <v>3738</v>
      </c>
    </row>
    <row r="198" spans="1:9" ht="25.5" x14ac:dyDescent="0.2">
      <c r="A198" s="18" t="s">
        <v>231</v>
      </c>
      <c r="B198" s="24" t="s">
        <v>31</v>
      </c>
      <c r="C198" s="19" t="s">
        <v>507</v>
      </c>
      <c r="D198" s="19" t="s">
        <v>463</v>
      </c>
      <c r="E198" s="19" t="s">
        <v>578</v>
      </c>
      <c r="F198" s="19"/>
      <c r="G198" s="20">
        <v>465</v>
      </c>
      <c r="H198" s="20">
        <v>365</v>
      </c>
      <c r="I198" s="20">
        <v>365</v>
      </c>
    </row>
    <row r="199" spans="1:9" ht="25.5" x14ac:dyDescent="0.2">
      <c r="A199" s="30" t="s">
        <v>466</v>
      </c>
      <c r="B199" s="24" t="s">
        <v>31</v>
      </c>
      <c r="C199" s="24" t="s">
        <v>507</v>
      </c>
      <c r="D199" s="24" t="s">
        <v>463</v>
      </c>
      <c r="E199" s="19" t="s">
        <v>578</v>
      </c>
      <c r="F199" s="24" t="s">
        <v>68</v>
      </c>
      <c r="G199" s="25">
        <v>57.7</v>
      </c>
      <c r="H199" s="25">
        <v>57.7</v>
      </c>
      <c r="I199" s="25">
        <v>57.7</v>
      </c>
    </row>
    <row r="200" spans="1:9" ht="25.5" x14ac:dyDescent="0.2">
      <c r="A200" s="28" t="s">
        <v>141</v>
      </c>
      <c r="B200" s="24" t="s">
        <v>31</v>
      </c>
      <c r="C200" s="24" t="s">
        <v>507</v>
      </c>
      <c r="D200" s="24" t="s">
        <v>463</v>
      </c>
      <c r="E200" s="19" t="s">
        <v>578</v>
      </c>
      <c r="F200" s="24" t="s">
        <v>65</v>
      </c>
      <c r="G200" s="25">
        <v>407.3</v>
      </c>
      <c r="H200" s="25">
        <v>307.3</v>
      </c>
      <c r="I200" s="25">
        <v>307.3</v>
      </c>
    </row>
    <row r="201" spans="1:9" ht="25.5" x14ac:dyDescent="0.2">
      <c r="A201" s="18" t="s">
        <v>188</v>
      </c>
      <c r="B201" s="24" t="s">
        <v>31</v>
      </c>
      <c r="C201" s="19" t="s">
        <v>507</v>
      </c>
      <c r="D201" s="19" t="s">
        <v>463</v>
      </c>
      <c r="E201" s="19" t="s">
        <v>577</v>
      </c>
      <c r="F201" s="19"/>
      <c r="G201" s="20">
        <v>4445</v>
      </c>
      <c r="H201" s="20">
        <v>4445</v>
      </c>
      <c r="I201" s="20">
        <v>4445</v>
      </c>
    </row>
    <row r="202" spans="1:9" ht="25.5" x14ac:dyDescent="0.2">
      <c r="A202" s="30" t="s">
        <v>466</v>
      </c>
      <c r="B202" s="24" t="s">
        <v>31</v>
      </c>
      <c r="C202" s="24" t="s">
        <v>507</v>
      </c>
      <c r="D202" s="24" t="s">
        <v>463</v>
      </c>
      <c r="E202" s="24" t="s">
        <v>577</v>
      </c>
      <c r="F202" s="24" t="s">
        <v>68</v>
      </c>
      <c r="G202" s="25">
        <v>113.8</v>
      </c>
      <c r="H202" s="25">
        <v>80</v>
      </c>
      <c r="I202" s="25">
        <v>80</v>
      </c>
    </row>
    <row r="203" spans="1:9" s="79" customFormat="1" ht="25.5" x14ac:dyDescent="0.2">
      <c r="A203" s="87" t="s">
        <v>141</v>
      </c>
      <c r="B203" s="82" t="s">
        <v>31</v>
      </c>
      <c r="C203" s="82" t="s">
        <v>507</v>
      </c>
      <c r="D203" s="82" t="s">
        <v>463</v>
      </c>
      <c r="E203" s="82" t="s">
        <v>577</v>
      </c>
      <c r="F203" s="82" t="s">
        <v>65</v>
      </c>
      <c r="G203" s="62">
        <v>4331.2</v>
      </c>
      <c r="H203" s="62">
        <v>4365</v>
      </c>
      <c r="I203" s="62">
        <v>4365</v>
      </c>
    </row>
    <row r="204" spans="1:9" s="79" customFormat="1" ht="25.5" x14ac:dyDescent="0.2">
      <c r="A204" s="18" t="s">
        <v>699</v>
      </c>
      <c r="B204" s="24" t="s">
        <v>31</v>
      </c>
      <c r="C204" s="24" t="s">
        <v>507</v>
      </c>
      <c r="D204" s="24" t="s">
        <v>463</v>
      </c>
      <c r="E204" s="19" t="s">
        <v>700</v>
      </c>
      <c r="F204" s="19"/>
      <c r="G204" s="62">
        <v>264</v>
      </c>
      <c r="H204" s="62">
        <v>0</v>
      </c>
      <c r="I204" s="62">
        <v>0</v>
      </c>
    </row>
    <row r="205" spans="1:9" s="79" customFormat="1" ht="25.5" x14ac:dyDescent="0.2">
      <c r="A205" s="28" t="s">
        <v>76</v>
      </c>
      <c r="B205" s="82" t="s">
        <v>31</v>
      </c>
      <c r="C205" s="82" t="s">
        <v>507</v>
      </c>
      <c r="D205" s="82" t="s">
        <v>463</v>
      </c>
      <c r="E205" s="24" t="s">
        <v>700</v>
      </c>
      <c r="F205" s="24" t="s">
        <v>68</v>
      </c>
      <c r="G205" s="62">
        <v>264</v>
      </c>
      <c r="H205" s="62">
        <v>0</v>
      </c>
      <c r="I205" s="62">
        <v>0</v>
      </c>
    </row>
    <row r="206" spans="1:9" s="79" customFormat="1" x14ac:dyDescent="0.2">
      <c r="A206" s="154" t="s">
        <v>576</v>
      </c>
      <c r="B206" s="152" t="s">
        <v>31</v>
      </c>
      <c r="C206" s="152" t="s">
        <v>502</v>
      </c>
      <c r="D206" s="152"/>
      <c r="E206" s="152"/>
      <c r="F206" s="152"/>
      <c r="G206" s="151">
        <v>55043.600000000006</v>
      </c>
      <c r="H206" s="151">
        <v>54061.4</v>
      </c>
      <c r="I206" s="151">
        <v>52112.3</v>
      </c>
    </row>
    <row r="207" spans="1:9" s="79" customFormat="1" x14ac:dyDescent="0.2">
      <c r="A207" s="75" t="s">
        <v>347</v>
      </c>
      <c r="B207" s="77" t="s">
        <v>31</v>
      </c>
      <c r="C207" s="77">
        <v>2</v>
      </c>
      <c r="D207" s="77" t="s">
        <v>463</v>
      </c>
      <c r="E207" s="77" t="s">
        <v>575</v>
      </c>
      <c r="F207" s="77"/>
      <c r="G207" s="78">
        <v>400</v>
      </c>
      <c r="H207" s="78">
        <v>250</v>
      </c>
      <c r="I207" s="78">
        <v>250</v>
      </c>
    </row>
    <row r="208" spans="1:9" x14ac:dyDescent="0.2">
      <c r="A208" s="28" t="s">
        <v>69</v>
      </c>
      <c r="B208" s="19" t="s">
        <v>31</v>
      </c>
      <c r="C208" s="19">
        <v>2</v>
      </c>
      <c r="D208" s="19" t="s">
        <v>463</v>
      </c>
      <c r="E208" s="19" t="s">
        <v>575</v>
      </c>
      <c r="F208" s="24" t="s">
        <v>70</v>
      </c>
      <c r="G208" s="25">
        <v>12</v>
      </c>
      <c r="H208" s="25">
        <v>2</v>
      </c>
      <c r="I208" s="25">
        <v>2</v>
      </c>
    </row>
    <row r="209" spans="1:9" s="79" customFormat="1" ht="25.5" x14ac:dyDescent="0.2">
      <c r="A209" s="87" t="s">
        <v>141</v>
      </c>
      <c r="B209" s="77" t="s">
        <v>31</v>
      </c>
      <c r="C209" s="77">
        <v>2</v>
      </c>
      <c r="D209" s="77" t="s">
        <v>463</v>
      </c>
      <c r="E209" s="77" t="s">
        <v>575</v>
      </c>
      <c r="F209" s="82" t="s">
        <v>65</v>
      </c>
      <c r="G209" s="25">
        <v>388</v>
      </c>
      <c r="H209" s="25">
        <v>248</v>
      </c>
      <c r="I209" s="25">
        <v>248</v>
      </c>
    </row>
    <row r="210" spans="1:9" ht="25.5" x14ac:dyDescent="0.2">
      <c r="A210" s="18" t="s">
        <v>253</v>
      </c>
      <c r="B210" s="19" t="s">
        <v>31</v>
      </c>
      <c r="C210" s="19">
        <v>2</v>
      </c>
      <c r="D210" s="19" t="s">
        <v>463</v>
      </c>
      <c r="E210" s="19">
        <v>52600</v>
      </c>
      <c r="F210" s="19"/>
      <c r="G210" s="20">
        <v>1288</v>
      </c>
      <c r="H210" s="20">
        <v>1000</v>
      </c>
      <c r="I210" s="20">
        <v>1300</v>
      </c>
    </row>
    <row r="211" spans="1:9" s="26" customFormat="1" x14ac:dyDescent="0.2">
      <c r="A211" s="28" t="s">
        <v>69</v>
      </c>
      <c r="B211" s="24" t="s">
        <v>31</v>
      </c>
      <c r="C211" s="24">
        <v>2</v>
      </c>
      <c r="D211" s="24" t="s">
        <v>463</v>
      </c>
      <c r="E211" s="24">
        <v>52600</v>
      </c>
      <c r="F211" s="24" t="s">
        <v>70</v>
      </c>
      <c r="G211" s="25">
        <v>1288</v>
      </c>
      <c r="H211" s="25">
        <v>1000</v>
      </c>
      <c r="I211" s="25">
        <v>1300</v>
      </c>
    </row>
    <row r="212" spans="1:9" x14ac:dyDescent="0.2">
      <c r="A212" s="18" t="s">
        <v>262</v>
      </c>
      <c r="B212" s="19" t="s">
        <v>31</v>
      </c>
      <c r="C212" s="19">
        <v>2</v>
      </c>
      <c r="D212" s="19" t="s">
        <v>463</v>
      </c>
      <c r="E212" s="19" t="s">
        <v>574</v>
      </c>
      <c r="F212" s="19"/>
      <c r="G212" s="20">
        <v>219.6</v>
      </c>
      <c r="H212" s="20">
        <v>193</v>
      </c>
      <c r="I212" s="20">
        <v>193</v>
      </c>
    </row>
    <row r="213" spans="1:9" ht="51" x14ac:dyDescent="0.2">
      <c r="A213" s="30" t="s">
        <v>66</v>
      </c>
      <c r="B213" s="19" t="s">
        <v>31</v>
      </c>
      <c r="C213" s="19">
        <v>2</v>
      </c>
      <c r="D213" s="19" t="s">
        <v>463</v>
      </c>
      <c r="E213" s="27" t="s">
        <v>574</v>
      </c>
      <c r="F213" s="27" t="s">
        <v>67</v>
      </c>
      <c r="G213" s="25">
        <v>219.6</v>
      </c>
      <c r="H213" s="25">
        <v>193</v>
      </c>
      <c r="I213" s="25">
        <v>193</v>
      </c>
    </row>
    <row r="214" spans="1:9" s="79" customFormat="1" ht="38.25" x14ac:dyDescent="0.2">
      <c r="A214" s="75" t="s">
        <v>254</v>
      </c>
      <c r="B214" s="77" t="s">
        <v>31</v>
      </c>
      <c r="C214" s="77">
        <v>2</v>
      </c>
      <c r="D214" s="77" t="s">
        <v>463</v>
      </c>
      <c r="E214" s="77">
        <v>71810</v>
      </c>
      <c r="F214" s="77"/>
      <c r="G214" s="78">
        <v>3000.0000000000005</v>
      </c>
      <c r="H214" s="78">
        <v>3754</v>
      </c>
      <c r="I214" s="78">
        <v>3754</v>
      </c>
    </row>
    <row r="215" spans="1:9" s="79" customFormat="1" ht="25.5" x14ac:dyDescent="0.2">
      <c r="A215" s="80" t="s">
        <v>466</v>
      </c>
      <c r="B215" s="82" t="s">
        <v>31</v>
      </c>
      <c r="C215" s="82">
        <v>2</v>
      </c>
      <c r="D215" s="82" t="s">
        <v>463</v>
      </c>
      <c r="E215" s="82">
        <v>71810</v>
      </c>
      <c r="F215" s="83" t="s">
        <v>68</v>
      </c>
      <c r="G215" s="62">
        <v>1.3</v>
      </c>
      <c r="H215" s="62">
        <v>4.2</v>
      </c>
      <c r="I215" s="62">
        <v>4.2</v>
      </c>
    </row>
    <row r="216" spans="1:9" s="79" customFormat="1" x14ac:dyDescent="0.2">
      <c r="A216" s="87" t="s">
        <v>69</v>
      </c>
      <c r="B216" s="82" t="s">
        <v>31</v>
      </c>
      <c r="C216" s="82">
        <v>2</v>
      </c>
      <c r="D216" s="82" t="s">
        <v>463</v>
      </c>
      <c r="E216" s="82">
        <v>71810</v>
      </c>
      <c r="F216" s="162">
        <v>300</v>
      </c>
      <c r="G216" s="62">
        <v>271.10000000000002</v>
      </c>
      <c r="H216" s="62">
        <v>419</v>
      </c>
      <c r="I216" s="62">
        <v>419</v>
      </c>
    </row>
    <row r="217" spans="1:9" s="79" customFormat="1" ht="25.5" x14ac:dyDescent="0.2">
      <c r="A217" s="87" t="s">
        <v>141</v>
      </c>
      <c r="B217" s="82" t="s">
        <v>31</v>
      </c>
      <c r="C217" s="82">
        <v>2</v>
      </c>
      <c r="D217" s="82" t="s">
        <v>463</v>
      </c>
      <c r="E217" s="82">
        <v>71810</v>
      </c>
      <c r="F217" s="82" t="s">
        <v>65</v>
      </c>
      <c r="G217" s="62">
        <v>2727.6000000000004</v>
      </c>
      <c r="H217" s="62">
        <v>3330.8</v>
      </c>
      <c r="I217" s="62">
        <v>3330.8</v>
      </c>
    </row>
    <row r="218" spans="1:9" ht="25.5" x14ac:dyDescent="0.2">
      <c r="A218" s="18" t="s">
        <v>236</v>
      </c>
      <c r="B218" s="19" t="s">
        <v>31</v>
      </c>
      <c r="C218" s="19">
        <v>2</v>
      </c>
      <c r="D218" s="19" t="s">
        <v>463</v>
      </c>
      <c r="E218" s="19" t="s">
        <v>573</v>
      </c>
      <c r="F218" s="19"/>
      <c r="G218" s="20">
        <v>1209</v>
      </c>
      <c r="H218" s="20">
        <v>1209</v>
      </c>
      <c r="I218" s="20">
        <v>1209</v>
      </c>
    </row>
    <row r="219" spans="1:9" s="9" customFormat="1" x14ac:dyDescent="0.2">
      <c r="A219" s="28" t="s">
        <v>69</v>
      </c>
      <c r="B219" s="19" t="s">
        <v>31</v>
      </c>
      <c r="C219" s="19">
        <v>2</v>
      </c>
      <c r="D219" s="19" t="s">
        <v>463</v>
      </c>
      <c r="E219" s="19" t="s">
        <v>573</v>
      </c>
      <c r="F219" s="24" t="s">
        <v>70</v>
      </c>
      <c r="G219" s="25">
        <v>30</v>
      </c>
      <c r="H219" s="25">
        <v>30</v>
      </c>
      <c r="I219" s="25">
        <v>30</v>
      </c>
    </row>
    <row r="220" spans="1:9" ht="25.5" x14ac:dyDescent="0.2">
      <c r="A220" s="28" t="s">
        <v>141</v>
      </c>
      <c r="B220" s="19" t="s">
        <v>31</v>
      </c>
      <c r="C220" s="19">
        <v>2</v>
      </c>
      <c r="D220" s="19" t="s">
        <v>463</v>
      </c>
      <c r="E220" s="19" t="s">
        <v>573</v>
      </c>
      <c r="F220" s="24" t="s">
        <v>65</v>
      </c>
      <c r="G220" s="25">
        <v>1179</v>
      </c>
      <c r="H220" s="25">
        <v>1179</v>
      </c>
      <c r="I220" s="25">
        <v>1179</v>
      </c>
    </row>
    <row r="221" spans="1:9" ht="25.5" x14ac:dyDescent="0.2">
      <c r="A221" s="18" t="s">
        <v>359</v>
      </c>
      <c r="B221" s="19" t="s">
        <v>31</v>
      </c>
      <c r="C221" s="19">
        <v>2</v>
      </c>
      <c r="D221" s="19" t="s">
        <v>463</v>
      </c>
      <c r="E221" s="19">
        <v>72010</v>
      </c>
      <c r="F221" s="19"/>
      <c r="G221" s="20">
        <v>1600</v>
      </c>
      <c r="H221" s="20">
        <v>1600</v>
      </c>
      <c r="I221" s="20">
        <v>1600</v>
      </c>
    </row>
    <row r="222" spans="1:9" x14ac:dyDescent="0.2">
      <c r="A222" s="28" t="s">
        <v>69</v>
      </c>
      <c r="B222" s="24" t="s">
        <v>31</v>
      </c>
      <c r="C222" s="24">
        <v>2</v>
      </c>
      <c r="D222" s="24" t="s">
        <v>463</v>
      </c>
      <c r="E222" s="24">
        <v>72010</v>
      </c>
      <c r="F222" s="24" t="s">
        <v>70</v>
      </c>
      <c r="G222" s="25">
        <v>230.7</v>
      </c>
      <c r="H222" s="25">
        <v>230.7</v>
      </c>
      <c r="I222" s="25">
        <v>230.7</v>
      </c>
    </row>
    <row r="223" spans="1:9" ht="25.5" x14ac:dyDescent="0.2">
      <c r="A223" s="28" t="s">
        <v>141</v>
      </c>
      <c r="B223" s="24" t="s">
        <v>31</v>
      </c>
      <c r="C223" s="24">
        <v>2</v>
      </c>
      <c r="D223" s="24" t="s">
        <v>463</v>
      </c>
      <c r="E223" s="24">
        <v>72010</v>
      </c>
      <c r="F223" s="24" t="s">
        <v>65</v>
      </c>
      <c r="G223" s="25">
        <v>1369.3</v>
      </c>
      <c r="H223" s="25">
        <v>1369.3</v>
      </c>
      <c r="I223" s="25">
        <v>1369.3</v>
      </c>
    </row>
    <row r="224" spans="1:9" ht="38.25" x14ac:dyDescent="0.2">
      <c r="A224" s="18" t="s">
        <v>247</v>
      </c>
      <c r="B224" s="19" t="s">
        <v>31</v>
      </c>
      <c r="C224" s="19">
        <v>2</v>
      </c>
      <c r="D224" s="19" t="s">
        <v>463</v>
      </c>
      <c r="E224" s="19">
        <v>72030</v>
      </c>
      <c r="F224" s="19"/>
      <c r="G224" s="20">
        <v>207</v>
      </c>
      <c r="H224" s="20">
        <v>207</v>
      </c>
      <c r="I224" s="20">
        <v>207</v>
      </c>
    </row>
    <row r="225" spans="1:9" x14ac:dyDescent="0.2">
      <c r="A225" s="28" t="s">
        <v>69</v>
      </c>
      <c r="B225" s="24" t="s">
        <v>31</v>
      </c>
      <c r="C225" s="24">
        <v>2</v>
      </c>
      <c r="D225" s="24" t="s">
        <v>463</v>
      </c>
      <c r="E225" s="24">
        <v>72030</v>
      </c>
      <c r="F225" s="146">
        <v>300</v>
      </c>
      <c r="G225" s="25">
        <v>207</v>
      </c>
      <c r="H225" s="25">
        <v>207</v>
      </c>
      <c r="I225" s="25">
        <v>207</v>
      </c>
    </row>
    <row r="226" spans="1:9" ht="38.25" x14ac:dyDescent="0.2">
      <c r="A226" s="47" t="s">
        <v>249</v>
      </c>
      <c r="B226" s="19" t="s">
        <v>31</v>
      </c>
      <c r="C226" s="19">
        <v>2</v>
      </c>
      <c r="D226" s="19" t="s">
        <v>463</v>
      </c>
      <c r="E226" s="19">
        <v>72050</v>
      </c>
      <c r="F226" s="19"/>
      <c r="G226" s="20">
        <v>570</v>
      </c>
      <c r="H226" s="20">
        <v>570</v>
      </c>
      <c r="I226" s="20">
        <v>570</v>
      </c>
    </row>
    <row r="227" spans="1:9" x14ac:dyDescent="0.2">
      <c r="A227" s="28" t="s">
        <v>69</v>
      </c>
      <c r="B227" s="24" t="s">
        <v>31</v>
      </c>
      <c r="C227" s="24">
        <v>2</v>
      </c>
      <c r="D227" s="24" t="s">
        <v>463</v>
      </c>
      <c r="E227" s="24">
        <v>72050</v>
      </c>
      <c r="F227" s="24" t="s">
        <v>70</v>
      </c>
      <c r="G227" s="25">
        <v>570</v>
      </c>
      <c r="H227" s="25">
        <v>570</v>
      </c>
      <c r="I227" s="25">
        <v>570</v>
      </c>
    </row>
    <row r="228" spans="1:9" ht="25.5" x14ac:dyDescent="0.2">
      <c r="A228" s="60" t="s">
        <v>448</v>
      </c>
      <c r="B228" s="19" t="s">
        <v>31</v>
      </c>
      <c r="C228" s="19">
        <v>2</v>
      </c>
      <c r="D228" s="19" t="s">
        <v>463</v>
      </c>
      <c r="E228" s="19" t="s">
        <v>572</v>
      </c>
      <c r="F228" s="19"/>
      <c r="G228" s="20">
        <v>0</v>
      </c>
      <c r="H228" s="20">
        <v>5</v>
      </c>
      <c r="I228" s="20">
        <v>0</v>
      </c>
    </row>
    <row r="229" spans="1:9" x14ac:dyDescent="0.2">
      <c r="A229" s="28" t="s">
        <v>69</v>
      </c>
      <c r="B229" s="24" t="s">
        <v>31</v>
      </c>
      <c r="C229" s="24">
        <v>2</v>
      </c>
      <c r="D229" s="24" t="s">
        <v>463</v>
      </c>
      <c r="E229" s="24" t="s">
        <v>572</v>
      </c>
      <c r="F229" s="24" t="s">
        <v>70</v>
      </c>
      <c r="G229" s="25">
        <v>0</v>
      </c>
      <c r="H229" s="25">
        <v>5</v>
      </c>
      <c r="I229" s="25">
        <v>0</v>
      </c>
    </row>
    <row r="230" spans="1:9" s="79" customFormat="1" ht="25.5" x14ac:dyDescent="0.2">
      <c r="A230" s="106" t="s">
        <v>250</v>
      </c>
      <c r="B230" s="77" t="s">
        <v>31</v>
      </c>
      <c r="C230" s="77">
        <v>2</v>
      </c>
      <c r="D230" s="77" t="s">
        <v>463</v>
      </c>
      <c r="E230" s="77">
        <v>73050</v>
      </c>
      <c r="F230" s="77"/>
      <c r="G230" s="78">
        <v>2112.6</v>
      </c>
      <c r="H230" s="78">
        <v>636</v>
      </c>
      <c r="I230" s="78">
        <v>636</v>
      </c>
    </row>
    <row r="231" spans="1:9" s="79" customFormat="1" ht="25.5" x14ac:dyDescent="0.2">
      <c r="A231" s="80" t="s">
        <v>466</v>
      </c>
      <c r="B231" s="82" t="s">
        <v>31</v>
      </c>
      <c r="C231" s="82">
        <v>2</v>
      </c>
      <c r="D231" s="82" t="s">
        <v>463</v>
      </c>
      <c r="E231" s="82">
        <v>73050</v>
      </c>
      <c r="F231" s="83" t="s">
        <v>68</v>
      </c>
      <c r="G231" s="62">
        <v>476.59999999999997</v>
      </c>
      <c r="H231" s="62">
        <v>118.8</v>
      </c>
      <c r="I231" s="62">
        <v>118.8</v>
      </c>
    </row>
    <row r="232" spans="1:9" s="79" customFormat="1" ht="25.5" x14ac:dyDescent="0.2">
      <c r="A232" s="87" t="s">
        <v>141</v>
      </c>
      <c r="B232" s="82" t="s">
        <v>31</v>
      </c>
      <c r="C232" s="82">
        <v>2</v>
      </c>
      <c r="D232" s="82" t="s">
        <v>463</v>
      </c>
      <c r="E232" s="82">
        <v>73050</v>
      </c>
      <c r="F232" s="82" t="s">
        <v>65</v>
      </c>
      <c r="G232" s="62">
        <v>1636</v>
      </c>
      <c r="H232" s="62">
        <v>517.20000000000005</v>
      </c>
      <c r="I232" s="62">
        <v>517.20000000000005</v>
      </c>
    </row>
    <row r="233" spans="1:9" ht="63.75" x14ac:dyDescent="0.2">
      <c r="A233" s="18" t="s">
        <v>458</v>
      </c>
      <c r="B233" s="19" t="s">
        <v>31</v>
      </c>
      <c r="C233" s="19">
        <v>2</v>
      </c>
      <c r="D233" s="19" t="s">
        <v>463</v>
      </c>
      <c r="E233" s="19">
        <v>80120</v>
      </c>
      <c r="F233" s="19"/>
      <c r="G233" s="20">
        <v>600</v>
      </c>
      <c r="H233" s="20">
        <v>1000</v>
      </c>
      <c r="I233" s="20">
        <v>1000</v>
      </c>
    </row>
    <row r="234" spans="1:9" s="79" customFormat="1" x14ac:dyDescent="0.2">
      <c r="A234" s="87" t="s">
        <v>69</v>
      </c>
      <c r="B234" s="82" t="s">
        <v>31</v>
      </c>
      <c r="C234" s="82">
        <v>2</v>
      </c>
      <c r="D234" s="82" t="s">
        <v>463</v>
      </c>
      <c r="E234" s="82">
        <v>80120</v>
      </c>
      <c r="F234" s="82" t="s">
        <v>70</v>
      </c>
      <c r="G234" s="62">
        <v>600</v>
      </c>
      <c r="H234" s="62">
        <v>1000</v>
      </c>
      <c r="I234" s="62">
        <v>1000</v>
      </c>
    </row>
    <row r="235" spans="1:9" ht="101.25" customHeight="1" x14ac:dyDescent="0.2">
      <c r="A235" s="60" t="s">
        <v>453</v>
      </c>
      <c r="B235" s="19" t="s">
        <v>31</v>
      </c>
      <c r="C235" s="19">
        <v>2</v>
      </c>
      <c r="D235" s="19" t="s">
        <v>463</v>
      </c>
      <c r="E235" s="19">
        <v>80130</v>
      </c>
      <c r="F235" s="19"/>
      <c r="G235" s="20">
        <v>38467</v>
      </c>
      <c r="H235" s="20">
        <v>38467</v>
      </c>
      <c r="I235" s="20">
        <v>38467</v>
      </c>
    </row>
    <row r="236" spans="1:9" x14ac:dyDescent="0.2">
      <c r="A236" s="28" t="s">
        <v>69</v>
      </c>
      <c r="B236" s="24" t="s">
        <v>31</v>
      </c>
      <c r="C236" s="24">
        <v>2</v>
      </c>
      <c r="D236" s="24" t="s">
        <v>463</v>
      </c>
      <c r="E236" s="24">
        <v>80130</v>
      </c>
      <c r="F236" s="24" t="s">
        <v>70</v>
      </c>
      <c r="G236" s="25">
        <v>38467</v>
      </c>
      <c r="H236" s="25">
        <v>38467</v>
      </c>
      <c r="I236" s="25">
        <v>38467</v>
      </c>
    </row>
    <row r="237" spans="1:9" ht="101.25" customHeight="1" x14ac:dyDescent="0.2">
      <c r="A237" s="60" t="s">
        <v>450</v>
      </c>
      <c r="B237" s="19" t="s">
        <v>31</v>
      </c>
      <c r="C237" s="19">
        <v>2</v>
      </c>
      <c r="D237" s="19" t="s">
        <v>463</v>
      </c>
      <c r="E237" s="19" t="s">
        <v>571</v>
      </c>
      <c r="F237" s="19"/>
      <c r="G237" s="20">
        <v>250</v>
      </c>
      <c r="H237" s="20">
        <v>50</v>
      </c>
      <c r="I237" s="20">
        <v>50</v>
      </c>
    </row>
    <row r="238" spans="1:9" x14ac:dyDescent="0.2">
      <c r="A238" s="28" t="s">
        <v>69</v>
      </c>
      <c r="B238" s="24" t="s">
        <v>31</v>
      </c>
      <c r="C238" s="24">
        <v>2</v>
      </c>
      <c r="D238" s="24" t="s">
        <v>463</v>
      </c>
      <c r="E238" s="24" t="s">
        <v>571</v>
      </c>
      <c r="F238" s="24" t="s">
        <v>70</v>
      </c>
      <c r="G238" s="25">
        <v>250</v>
      </c>
      <c r="H238" s="25">
        <v>50</v>
      </c>
      <c r="I238" s="25">
        <v>50</v>
      </c>
    </row>
    <row r="239" spans="1:9" ht="38.25" x14ac:dyDescent="0.2">
      <c r="A239" s="18" t="s">
        <v>424</v>
      </c>
      <c r="B239" s="19" t="s">
        <v>31</v>
      </c>
      <c r="C239" s="19">
        <v>2</v>
      </c>
      <c r="D239" s="19" t="s">
        <v>463</v>
      </c>
      <c r="E239" s="19" t="s">
        <v>570</v>
      </c>
      <c r="F239" s="19"/>
      <c r="G239" s="20">
        <v>3643.2</v>
      </c>
      <c r="H239" s="20">
        <v>3643.2</v>
      </c>
      <c r="I239" s="20">
        <v>1399.0999999999997</v>
      </c>
    </row>
    <row r="240" spans="1:9" s="26" customFormat="1" ht="25.5" x14ac:dyDescent="0.2">
      <c r="A240" s="87" t="s">
        <v>141</v>
      </c>
      <c r="B240" s="24" t="s">
        <v>31</v>
      </c>
      <c r="C240" s="24">
        <v>2</v>
      </c>
      <c r="D240" s="24" t="s">
        <v>463</v>
      </c>
      <c r="E240" s="24" t="s">
        <v>570</v>
      </c>
      <c r="F240" s="24" t="s">
        <v>65</v>
      </c>
      <c r="G240" s="25">
        <v>3643.2</v>
      </c>
      <c r="H240" s="25">
        <v>3643.2</v>
      </c>
      <c r="I240" s="25">
        <v>1399.0999999999997</v>
      </c>
    </row>
    <row r="241" spans="1:9" ht="38.25" x14ac:dyDescent="0.2">
      <c r="A241" s="18" t="s">
        <v>423</v>
      </c>
      <c r="B241" s="19" t="s">
        <v>31</v>
      </c>
      <c r="C241" s="19">
        <v>2</v>
      </c>
      <c r="D241" s="19" t="s">
        <v>463</v>
      </c>
      <c r="E241" s="19" t="s">
        <v>569</v>
      </c>
      <c r="F241" s="19"/>
      <c r="G241" s="20">
        <v>1445.2</v>
      </c>
      <c r="H241" s="20">
        <v>1445.2</v>
      </c>
      <c r="I241" s="20">
        <v>1445.2</v>
      </c>
    </row>
    <row r="242" spans="1:9" s="26" customFormat="1" ht="25.5" x14ac:dyDescent="0.2">
      <c r="A242" s="87" t="s">
        <v>76</v>
      </c>
      <c r="B242" s="24" t="s">
        <v>31</v>
      </c>
      <c r="C242" s="24">
        <v>2</v>
      </c>
      <c r="D242" s="24" t="s">
        <v>463</v>
      </c>
      <c r="E242" s="24" t="s">
        <v>569</v>
      </c>
      <c r="F242" s="24" t="s">
        <v>68</v>
      </c>
      <c r="G242" s="25">
        <v>420</v>
      </c>
      <c r="H242" s="25">
        <v>420</v>
      </c>
      <c r="I242" s="25">
        <v>420</v>
      </c>
    </row>
    <row r="243" spans="1:9" s="26" customFormat="1" ht="25.5" x14ac:dyDescent="0.2">
      <c r="A243" s="87" t="s">
        <v>141</v>
      </c>
      <c r="B243" s="24" t="s">
        <v>31</v>
      </c>
      <c r="C243" s="24">
        <v>2</v>
      </c>
      <c r="D243" s="24" t="s">
        <v>463</v>
      </c>
      <c r="E243" s="24" t="s">
        <v>569</v>
      </c>
      <c r="F243" s="24" t="s">
        <v>65</v>
      </c>
      <c r="G243" s="25">
        <v>1025.2</v>
      </c>
      <c r="H243" s="25">
        <v>1025.2</v>
      </c>
      <c r="I243" s="25">
        <v>1025.2</v>
      </c>
    </row>
    <row r="244" spans="1:9" ht="25.5" x14ac:dyDescent="0.2">
      <c r="A244" s="18" t="s">
        <v>734</v>
      </c>
      <c r="B244" s="19" t="s">
        <v>31</v>
      </c>
      <c r="C244" s="19" t="s">
        <v>502</v>
      </c>
      <c r="D244" s="19" t="s">
        <v>463</v>
      </c>
      <c r="E244" s="19" t="s">
        <v>735</v>
      </c>
      <c r="F244" s="19"/>
      <c r="G244" s="20">
        <v>32</v>
      </c>
      <c r="H244" s="20">
        <v>32</v>
      </c>
      <c r="I244" s="20">
        <v>32</v>
      </c>
    </row>
    <row r="245" spans="1:9" ht="51" x14ac:dyDescent="0.2">
      <c r="A245" s="80" t="s">
        <v>66</v>
      </c>
      <c r="B245" s="24" t="s">
        <v>31</v>
      </c>
      <c r="C245" s="24" t="s">
        <v>502</v>
      </c>
      <c r="D245" s="24" t="s">
        <v>463</v>
      </c>
      <c r="E245" s="24" t="s">
        <v>735</v>
      </c>
      <c r="F245" s="27" t="s">
        <v>67</v>
      </c>
      <c r="G245" s="25">
        <v>19.34</v>
      </c>
      <c r="H245" s="25">
        <v>16.899999999999999</v>
      </c>
      <c r="I245" s="25">
        <v>16.899999999999999</v>
      </c>
    </row>
    <row r="246" spans="1:9" ht="25.5" x14ac:dyDescent="0.2">
      <c r="A246" s="30" t="s">
        <v>466</v>
      </c>
      <c r="B246" s="24" t="s">
        <v>31</v>
      </c>
      <c r="C246" s="24" t="s">
        <v>502</v>
      </c>
      <c r="D246" s="24" t="s">
        <v>463</v>
      </c>
      <c r="E246" s="24" t="s">
        <v>735</v>
      </c>
      <c r="F246" s="27" t="s">
        <v>68</v>
      </c>
      <c r="G246" s="25">
        <v>12.66</v>
      </c>
      <c r="H246" s="25">
        <v>15.1</v>
      </c>
      <c r="I246" s="25">
        <v>15.1</v>
      </c>
    </row>
    <row r="247" spans="1:9" s="79" customFormat="1" x14ac:dyDescent="0.2">
      <c r="A247" s="154" t="s">
        <v>568</v>
      </c>
      <c r="B247" s="153" t="s">
        <v>31</v>
      </c>
      <c r="C247" s="152" t="s">
        <v>498</v>
      </c>
      <c r="D247" s="152"/>
      <c r="E247" s="152"/>
      <c r="F247" s="152"/>
      <c r="G247" s="151">
        <v>75074.100000000006</v>
      </c>
      <c r="H247" s="151">
        <v>67995.600000000006</v>
      </c>
      <c r="I247" s="151">
        <v>66788.000000000015</v>
      </c>
    </row>
    <row r="248" spans="1:9" s="79" customFormat="1" ht="25.5" x14ac:dyDescent="0.2">
      <c r="A248" s="75" t="s">
        <v>348</v>
      </c>
      <c r="B248" s="77" t="s">
        <v>31</v>
      </c>
      <c r="C248" s="77">
        <v>3</v>
      </c>
      <c r="D248" s="77" t="s">
        <v>463</v>
      </c>
      <c r="E248" s="77" t="s">
        <v>567</v>
      </c>
      <c r="F248" s="77"/>
      <c r="G248" s="78">
        <v>4894.2</v>
      </c>
      <c r="H248" s="78">
        <v>3681.4</v>
      </c>
      <c r="I248" s="78">
        <v>3681.4</v>
      </c>
    </row>
    <row r="249" spans="1:9" ht="51" x14ac:dyDescent="0.2">
      <c r="A249" s="30" t="s">
        <v>66</v>
      </c>
      <c r="B249" s="24" t="s">
        <v>31</v>
      </c>
      <c r="C249" s="24">
        <v>3</v>
      </c>
      <c r="D249" s="24" t="s">
        <v>463</v>
      </c>
      <c r="E249" s="24" t="s">
        <v>567</v>
      </c>
      <c r="F249" s="27" t="s">
        <v>67</v>
      </c>
      <c r="G249" s="25">
        <v>4864.2</v>
      </c>
      <c r="H249" s="25">
        <v>3641.4</v>
      </c>
      <c r="I249" s="25">
        <v>3641.4</v>
      </c>
    </row>
    <row r="250" spans="1:9" s="79" customFormat="1" ht="25.5" x14ac:dyDescent="0.2">
      <c r="A250" s="80" t="s">
        <v>466</v>
      </c>
      <c r="B250" s="82" t="s">
        <v>31</v>
      </c>
      <c r="C250" s="82">
        <v>3</v>
      </c>
      <c r="D250" s="82" t="s">
        <v>463</v>
      </c>
      <c r="E250" s="82" t="s">
        <v>567</v>
      </c>
      <c r="F250" s="83" t="s">
        <v>68</v>
      </c>
      <c r="G250" s="25">
        <v>30</v>
      </c>
      <c r="H250" s="25">
        <v>40</v>
      </c>
      <c r="I250" s="25">
        <v>40</v>
      </c>
    </row>
    <row r="251" spans="1:9" s="79" customFormat="1" ht="25.5" x14ac:dyDescent="0.2">
      <c r="A251" s="75" t="s">
        <v>348</v>
      </c>
      <c r="B251" s="77" t="s">
        <v>31</v>
      </c>
      <c r="C251" s="77">
        <v>3</v>
      </c>
      <c r="D251" s="77" t="s">
        <v>463</v>
      </c>
      <c r="E251" s="77" t="s">
        <v>566</v>
      </c>
      <c r="F251" s="77"/>
      <c r="G251" s="78">
        <v>22445.200000000001</v>
      </c>
      <c r="H251" s="78">
        <v>20310.8</v>
      </c>
      <c r="I251" s="78">
        <v>19969.7</v>
      </c>
    </row>
    <row r="252" spans="1:9" ht="25.5" x14ac:dyDescent="0.2">
      <c r="A252" s="28" t="s">
        <v>141</v>
      </c>
      <c r="B252" s="24" t="s">
        <v>31</v>
      </c>
      <c r="C252" s="24">
        <v>3</v>
      </c>
      <c r="D252" s="24" t="s">
        <v>463</v>
      </c>
      <c r="E252" s="24" t="s">
        <v>566</v>
      </c>
      <c r="F252" s="24" t="s">
        <v>65</v>
      </c>
      <c r="G252" s="25">
        <v>22445.200000000001</v>
      </c>
      <c r="H252" s="25">
        <v>20310.8</v>
      </c>
      <c r="I252" s="25">
        <v>19969.7</v>
      </c>
    </row>
    <row r="253" spans="1:9" s="84" customFormat="1" ht="25.5" x14ac:dyDescent="0.2">
      <c r="A253" s="75" t="s">
        <v>348</v>
      </c>
      <c r="B253" s="77" t="s">
        <v>31</v>
      </c>
      <c r="C253" s="77">
        <v>3</v>
      </c>
      <c r="D253" s="77" t="s">
        <v>463</v>
      </c>
      <c r="E253" s="77" t="s">
        <v>565</v>
      </c>
      <c r="F253" s="77"/>
      <c r="G253" s="78">
        <v>44619.600000000006</v>
      </c>
      <c r="H253" s="78">
        <v>40888.300000000003</v>
      </c>
      <c r="I253" s="78">
        <v>40021.800000000003</v>
      </c>
    </row>
    <row r="254" spans="1:9" ht="51" x14ac:dyDescent="0.2">
      <c r="A254" s="30" t="s">
        <v>66</v>
      </c>
      <c r="B254" s="24" t="s">
        <v>31</v>
      </c>
      <c r="C254" s="24">
        <v>3</v>
      </c>
      <c r="D254" s="24" t="s">
        <v>463</v>
      </c>
      <c r="E254" s="24" t="s">
        <v>565</v>
      </c>
      <c r="F254" s="27" t="s">
        <v>67</v>
      </c>
      <c r="G254" s="25">
        <v>22446</v>
      </c>
      <c r="H254" s="25">
        <v>20676.400000000001</v>
      </c>
      <c r="I254" s="25">
        <v>20676.400000000001</v>
      </c>
    </row>
    <row r="255" spans="1:9" s="79" customFormat="1" ht="25.5" x14ac:dyDescent="0.2">
      <c r="A255" s="80" t="s">
        <v>466</v>
      </c>
      <c r="B255" s="82" t="s">
        <v>31</v>
      </c>
      <c r="C255" s="82">
        <v>3</v>
      </c>
      <c r="D255" s="82" t="s">
        <v>463</v>
      </c>
      <c r="E255" s="82" t="s">
        <v>565</v>
      </c>
      <c r="F255" s="83" t="s">
        <v>68</v>
      </c>
      <c r="G255" s="25">
        <v>3618</v>
      </c>
      <c r="H255" s="25">
        <v>2835.6</v>
      </c>
      <c r="I255" s="25">
        <v>2240.8000000000002</v>
      </c>
    </row>
    <row r="256" spans="1:9" s="79" customFormat="1" ht="25.5" x14ac:dyDescent="0.2">
      <c r="A256" s="87" t="s">
        <v>141</v>
      </c>
      <c r="B256" s="82" t="s">
        <v>31</v>
      </c>
      <c r="C256" s="82">
        <v>3</v>
      </c>
      <c r="D256" s="82" t="s">
        <v>463</v>
      </c>
      <c r="E256" s="82" t="s">
        <v>565</v>
      </c>
      <c r="F256" s="82" t="s">
        <v>65</v>
      </c>
      <c r="G256" s="25">
        <v>18484.100000000002</v>
      </c>
      <c r="H256" s="25">
        <v>17304.800000000003</v>
      </c>
      <c r="I256" s="25">
        <v>17033.099999999999</v>
      </c>
    </row>
    <row r="257" spans="1:9" s="79" customFormat="1" x14ac:dyDescent="0.2">
      <c r="A257" s="87" t="s">
        <v>72</v>
      </c>
      <c r="B257" s="82" t="s">
        <v>31</v>
      </c>
      <c r="C257" s="82">
        <v>3</v>
      </c>
      <c r="D257" s="82" t="s">
        <v>463</v>
      </c>
      <c r="E257" s="82" t="s">
        <v>565</v>
      </c>
      <c r="F257" s="82" t="s">
        <v>73</v>
      </c>
      <c r="G257" s="25">
        <v>71.5</v>
      </c>
      <c r="H257" s="25">
        <v>71.5</v>
      </c>
      <c r="I257" s="25">
        <v>71.5</v>
      </c>
    </row>
    <row r="258" spans="1:9" ht="102" x14ac:dyDescent="0.2">
      <c r="A258" s="18" t="s">
        <v>435</v>
      </c>
      <c r="B258" s="5" t="s">
        <v>31</v>
      </c>
      <c r="C258" s="5">
        <v>3</v>
      </c>
      <c r="D258" s="5" t="s">
        <v>463</v>
      </c>
      <c r="E258" s="5">
        <v>72070</v>
      </c>
      <c r="F258" s="19"/>
      <c r="G258" s="20">
        <v>3115.1</v>
      </c>
      <c r="H258" s="20">
        <v>3115.1</v>
      </c>
      <c r="I258" s="20">
        <v>3115.1</v>
      </c>
    </row>
    <row r="259" spans="1:9" ht="51" x14ac:dyDescent="0.2">
      <c r="A259" s="30" t="s">
        <v>66</v>
      </c>
      <c r="B259" s="24" t="s">
        <v>31</v>
      </c>
      <c r="C259" s="24">
        <v>3</v>
      </c>
      <c r="D259" s="24" t="s">
        <v>463</v>
      </c>
      <c r="E259" s="24">
        <v>72070</v>
      </c>
      <c r="F259" s="27" t="s">
        <v>67</v>
      </c>
      <c r="G259" s="25">
        <v>2764.5</v>
      </c>
      <c r="H259" s="25">
        <v>2764.5</v>
      </c>
      <c r="I259" s="25">
        <v>2764.5</v>
      </c>
    </row>
    <row r="260" spans="1:9" ht="25.5" x14ac:dyDescent="0.2">
      <c r="A260" s="30" t="s">
        <v>466</v>
      </c>
      <c r="B260" s="24" t="s">
        <v>31</v>
      </c>
      <c r="C260" s="24">
        <v>3</v>
      </c>
      <c r="D260" s="24" t="s">
        <v>463</v>
      </c>
      <c r="E260" s="24">
        <v>72070</v>
      </c>
      <c r="F260" s="27" t="s">
        <v>68</v>
      </c>
      <c r="G260" s="25">
        <v>350.6</v>
      </c>
      <c r="H260" s="25">
        <v>350.6</v>
      </c>
      <c r="I260" s="25">
        <v>350.6</v>
      </c>
    </row>
    <row r="261" spans="1:9" ht="27.75" customHeight="1" x14ac:dyDescent="0.2">
      <c r="A261" s="161" t="s">
        <v>564</v>
      </c>
      <c r="B261" s="41" t="s">
        <v>50</v>
      </c>
      <c r="C261" s="41"/>
      <c r="D261" s="41"/>
      <c r="E261" s="41"/>
      <c r="F261" s="160"/>
      <c r="G261" s="39">
        <v>121239.9</v>
      </c>
      <c r="H261" s="39">
        <v>86917.9</v>
      </c>
      <c r="I261" s="39">
        <v>84701.5</v>
      </c>
    </row>
    <row r="262" spans="1:9" s="26" customFormat="1" x14ac:dyDescent="0.2">
      <c r="A262" s="23" t="s">
        <v>727</v>
      </c>
      <c r="B262" s="24" t="s">
        <v>50</v>
      </c>
      <c r="C262" s="24" t="s">
        <v>464</v>
      </c>
      <c r="D262" s="24" t="s">
        <v>725</v>
      </c>
      <c r="E262" s="24"/>
      <c r="F262" s="27"/>
      <c r="G262" s="25">
        <v>5600</v>
      </c>
      <c r="H262" s="25">
        <v>0</v>
      </c>
      <c r="I262" s="25">
        <v>0</v>
      </c>
    </row>
    <row r="263" spans="1:9" x14ac:dyDescent="0.2">
      <c r="A263" s="18" t="s">
        <v>723</v>
      </c>
      <c r="B263" s="19" t="s">
        <v>50</v>
      </c>
      <c r="C263" s="19" t="s">
        <v>464</v>
      </c>
      <c r="D263" s="19" t="s">
        <v>725</v>
      </c>
      <c r="E263" s="19" t="s">
        <v>726</v>
      </c>
      <c r="F263" s="19"/>
      <c r="G263" s="20">
        <v>5600</v>
      </c>
      <c r="H263" s="20">
        <v>0</v>
      </c>
      <c r="I263" s="20">
        <v>0</v>
      </c>
    </row>
    <row r="264" spans="1:9" ht="25.5" x14ac:dyDescent="0.2">
      <c r="A264" s="28" t="s">
        <v>141</v>
      </c>
      <c r="B264" s="24" t="s">
        <v>50</v>
      </c>
      <c r="C264" s="24" t="s">
        <v>464</v>
      </c>
      <c r="D264" s="24" t="s">
        <v>725</v>
      </c>
      <c r="E264" s="24" t="s">
        <v>726</v>
      </c>
      <c r="F264" s="24" t="s">
        <v>65</v>
      </c>
      <c r="G264" s="20">
        <v>5600</v>
      </c>
      <c r="H264" s="20">
        <v>0</v>
      </c>
      <c r="I264" s="20">
        <v>0</v>
      </c>
    </row>
    <row r="265" spans="1:9" ht="38.25" x14ac:dyDescent="0.2">
      <c r="A265" s="18" t="s">
        <v>370</v>
      </c>
      <c r="B265" s="19" t="s">
        <v>50</v>
      </c>
      <c r="C265" s="19" t="s">
        <v>464</v>
      </c>
      <c r="D265" s="19" t="s">
        <v>463</v>
      </c>
      <c r="E265" s="19" t="s">
        <v>563</v>
      </c>
      <c r="F265" s="19"/>
      <c r="G265" s="20">
        <v>4464</v>
      </c>
      <c r="H265" s="20">
        <v>4564</v>
      </c>
      <c r="I265" s="20">
        <v>4564</v>
      </c>
    </row>
    <row r="266" spans="1:9" ht="25.5" x14ac:dyDescent="0.2">
      <c r="A266" s="28" t="s">
        <v>141</v>
      </c>
      <c r="B266" s="24" t="s">
        <v>50</v>
      </c>
      <c r="C266" s="24" t="s">
        <v>464</v>
      </c>
      <c r="D266" s="24" t="s">
        <v>463</v>
      </c>
      <c r="E266" s="24" t="s">
        <v>563</v>
      </c>
      <c r="F266" s="24" t="s">
        <v>65</v>
      </c>
      <c r="G266" s="25">
        <v>4464</v>
      </c>
      <c r="H266" s="25">
        <v>4564</v>
      </c>
      <c r="I266" s="25">
        <v>4564</v>
      </c>
    </row>
    <row r="267" spans="1:9" ht="25.5" x14ac:dyDescent="0.2">
      <c r="A267" s="18" t="s">
        <v>380</v>
      </c>
      <c r="B267" s="19" t="s">
        <v>50</v>
      </c>
      <c r="C267" s="19" t="s">
        <v>464</v>
      </c>
      <c r="D267" s="19" t="s">
        <v>463</v>
      </c>
      <c r="E267" s="19" t="s">
        <v>670</v>
      </c>
      <c r="F267" s="19"/>
      <c r="G267" s="20">
        <v>140</v>
      </c>
      <c r="H267" s="20">
        <v>0</v>
      </c>
      <c r="I267" s="20">
        <v>0</v>
      </c>
    </row>
    <row r="268" spans="1:9" ht="25.5" x14ac:dyDescent="0.2">
      <c r="A268" s="28" t="s">
        <v>141</v>
      </c>
      <c r="B268" s="24" t="s">
        <v>50</v>
      </c>
      <c r="C268" s="24" t="s">
        <v>464</v>
      </c>
      <c r="D268" s="24" t="s">
        <v>463</v>
      </c>
      <c r="E268" s="24" t="s">
        <v>670</v>
      </c>
      <c r="F268" s="24" t="s">
        <v>65</v>
      </c>
      <c r="G268" s="25">
        <v>140</v>
      </c>
      <c r="H268" s="25">
        <v>0</v>
      </c>
      <c r="I268" s="25">
        <v>0</v>
      </c>
    </row>
    <row r="269" spans="1:9" x14ac:dyDescent="0.2">
      <c r="A269" s="18" t="s">
        <v>256</v>
      </c>
      <c r="B269" s="19" t="s">
        <v>50</v>
      </c>
      <c r="C269" s="19">
        <v>0</v>
      </c>
      <c r="D269" s="19" t="s">
        <v>463</v>
      </c>
      <c r="E269" s="19" t="s">
        <v>562</v>
      </c>
      <c r="F269" s="19"/>
      <c r="G269" s="20">
        <v>62258.399999999994</v>
      </c>
      <c r="H269" s="20">
        <v>41649.699999999997</v>
      </c>
      <c r="I269" s="20">
        <v>39724.700000000004</v>
      </c>
    </row>
    <row r="270" spans="1:9" s="9" customFormat="1" x14ac:dyDescent="0.2">
      <c r="A270" s="28" t="s">
        <v>69</v>
      </c>
      <c r="B270" s="24" t="s">
        <v>50</v>
      </c>
      <c r="C270" s="24">
        <v>0</v>
      </c>
      <c r="D270" s="24" t="s">
        <v>463</v>
      </c>
      <c r="E270" s="24" t="s">
        <v>562</v>
      </c>
      <c r="F270" s="27" t="s">
        <v>70</v>
      </c>
      <c r="G270" s="25">
        <v>15</v>
      </c>
      <c r="H270" s="25">
        <v>15</v>
      </c>
      <c r="I270" s="25">
        <v>15</v>
      </c>
    </row>
    <row r="271" spans="1:9" ht="25.5" x14ac:dyDescent="0.2">
      <c r="A271" s="28" t="s">
        <v>141</v>
      </c>
      <c r="B271" s="24" t="s">
        <v>50</v>
      </c>
      <c r="C271" s="24">
        <v>0</v>
      </c>
      <c r="D271" s="24" t="s">
        <v>463</v>
      </c>
      <c r="E271" s="24" t="s">
        <v>562</v>
      </c>
      <c r="F271" s="24" t="s">
        <v>65</v>
      </c>
      <c r="G271" s="25">
        <v>62243.399999999994</v>
      </c>
      <c r="H271" s="25">
        <v>41634.699999999997</v>
      </c>
      <c r="I271" s="25">
        <v>39709.700000000004</v>
      </c>
    </row>
    <row r="272" spans="1:9" x14ac:dyDescent="0.2">
      <c r="A272" s="18" t="s">
        <v>258</v>
      </c>
      <c r="B272" s="19" t="s">
        <v>50</v>
      </c>
      <c r="C272" s="19">
        <v>0</v>
      </c>
      <c r="D272" s="19" t="s">
        <v>463</v>
      </c>
      <c r="E272" s="19" t="s">
        <v>561</v>
      </c>
      <c r="F272" s="19"/>
      <c r="G272" s="20">
        <v>4567.9000000000005</v>
      </c>
      <c r="H272" s="20">
        <v>3721.4</v>
      </c>
      <c r="I272" s="20">
        <v>3673.4</v>
      </c>
    </row>
    <row r="273" spans="1:9" ht="25.5" x14ac:dyDescent="0.2">
      <c r="A273" s="28" t="s">
        <v>141</v>
      </c>
      <c r="B273" s="24" t="s">
        <v>50</v>
      </c>
      <c r="C273" s="24">
        <v>0</v>
      </c>
      <c r="D273" s="24" t="s">
        <v>463</v>
      </c>
      <c r="E273" s="24" t="s">
        <v>561</v>
      </c>
      <c r="F273" s="24" t="s">
        <v>65</v>
      </c>
      <c r="G273" s="25">
        <v>4567.9000000000005</v>
      </c>
      <c r="H273" s="25">
        <v>3721.4</v>
      </c>
      <c r="I273" s="25">
        <v>3673.4</v>
      </c>
    </row>
    <row r="274" spans="1:9" x14ac:dyDescent="0.2">
      <c r="A274" s="18" t="s">
        <v>260</v>
      </c>
      <c r="B274" s="19" t="s">
        <v>50</v>
      </c>
      <c r="C274" s="19">
        <v>0</v>
      </c>
      <c r="D274" s="19" t="s">
        <v>463</v>
      </c>
      <c r="E274" s="19" t="s">
        <v>560</v>
      </c>
      <c r="F274" s="19"/>
      <c r="G274" s="20">
        <v>20691.3</v>
      </c>
      <c r="H274" s="20">
        <v>17131.400000000001</v>
      </c>
      <c r="I274" s="20">
        <v>16888</v>
      </c>
    </row>
    <row r="275" spans="1:9" x14ac:dyDescent="0.2">
      <c r="A275" s="28" t="s">
        <v>69</v>
      </c>
      <c r="B275" s="24" t="s">
        <v>50</v>
      </c>
      <c r="C275" s="24">
        <v>0</v>
      </c>
      <c r="D275" s="24" t="s">
        <v>463</v>
      </c>
      <c r="E275" s="24" t="s">
        <v>560</v>
      </c>
      <c r="F275" s="27" t="s">
        <v>70</v>
      </c>
      <c r="G275" s="25">
        <v>15</v>
      </c>
      <c r="H275" s="25">
        <v>15</v>
      </c>
      <c r="I275" s="25">
        <v>15</v>
      </c>
    </row>
    <row r="276" spans="1:9" ht="25.5" x14ac:dyDescent="0.2">
      <c r="A276" s="28" t="s">
        <v>141</v>
      </c>
      <c r="B276" s="24" t="s">
        <v>50</v>
      </c>
      <c r="C276" s="24">
        <v>0</v>
      </c>
      <c r="D276" s="24" t="s">
        <v>463</v>
      </c>
      <c r="E276" s="24" t="s">
        <v>560</v>
      </c>
      <c r="F276" s="24" t="s">
        <v>65</v>
      </c>
      <c r="G276" s="25">
        <v>20676.3</v>
      </c>
      <c r="H276" s="25">
        <v>17116.400000000001</v>
      </c>
      <c r="I276" s="25">
        <v>16873</v>
      </c>
    </row>
    <row r="277" spans="1:9" s="79" customFormat="1" x14ac:dyDescent="0.2">
      <c r="A277" s="75" t="s">
        <v>349</v>
      </c>
      <c r="B277" s="77" t="s">
        <v>50</v>
      </c>
      <c r="C277" s="77">
        <v>0</v>
      </c>
      <c r="D277" s="77" t="s">
        <v>463</v>
      </c>
      <c r="E277" s="77" t="s">
        <v>559</v>
      </c>
      <c r="F277" s="77"/>
      <c r="G277" s="78">
        <v>1398.5</v>
      </c>
      <c r="H277" s="78">
        <v>1057.5</v>
      </c>
      <c r="I277" s="78">
        <v>1057.5</v>
      </c>
    </row>
    <row r="278" spans="1:9" s="79" customFormat="1" ht="51" x14ac:dyDescent="0.2">
      <c r="A278" s="80" t="s">
        <v>66</v>
      </c>
      <c r="B278" s="82" t="s">
        <v>50</v>
      </c>
      <c r="C278" s="82">
        <v>0</v>
      </c>
      <c r="D278" s="82" t="s">
        <v>463</v>
      </c>
      <c r="E278" s="82" t="s">
        <v>559</v>
      </c>
      <c r="F278" s="83" t="s">
        <v>67</v>
      </c>
      <c r="G278" s="62">
        <v>1303.8</v>
      </c>
      <c r="H278" s="62">
        <v>968.5</v>
      </c>
      <c r="I278" s="62">
        <v>968.5</v>
      </c>
    </row>
    <row r="279" spans="1:9" s="79" customFormat="1" ht="25.5" x14ac:dyDescent="0.2">
      <c r="A279" s="80" t="s">
        <v>466</v>
      </c>
      <c r="B279" s="82" t="s">
        <v>50</v>
      </c>
      <c r="C279" s="82">
        <v>0</v>
      </c>
      <c r="D279" s="82" t="s">
        <v>463</v>
      </c>
      <c r="E279" s="82" t="s">
        <v>559</v>
      </c>
      <c r="F279" s="83" t="s">
        <v>68</v>
      </c>
      <c r="G279" s="62">
        <v>83.3</v>
      </c>
      <c r="H279" s="62">
        <v>80.5</v>
      </c>
      <c r="I279" s="62">
        <v>80.5</v>
      </c>
    </row>
    <row r="280" spans="1:9" x14ac:dyDescent="0.2">
      <c r="A280" s="28" t="s">
        <v>72</v>
      </c>
      <c r="B280" s="24" t="s">
        <v>50</v>
      </c>
      <c r="C280" s="24">
        <v>0</v>
      </c>
      <c r="D280" s="24" t="s">
        <v>463</v>
      </c>
      <c r="E280" s="24" t="s">
        <v>559</v>
      </c>
      <c r="F280" s="24" t="s">
        <v>73</v>
      </c>
      <c r="G280" s="62">
        <v>11.4</v>
      </c>
      <c r="H280" s="62">
        <v>8.5</v>
      </c>
      <c r="I280" s="62">
        <v>8.5</v>
      </c>
    </row>
    <row r="281" spans="1:9" x14ac:dyDescent="0.2">
      <c r="A281" s="18" t="s">
        <v>349</v>
      </c>
      <c r="B281" s="19" t="s">
        <v>50</v>
      </c>
      <c r="C281" s="19">
        <v>0</v>
      </c>
      <c r="D281" s="19" t="s">
        <v>463</v>
      </c>
      <c r="E281" s="19" t="s">
        <v>558</v>
      </c>
      <c r="F281" s="19"/>
      <c r="G281" s="20">
        <v>22119.8</v>
      </c>
      <c r="H281" s="20">
        <v>18793.899999999998</v>
      </c>
      <c r="I281" s="20">
        <v>18793.899999999998</v>
      </c>
    </row>
    <row r="282" spans="1:9" ht="51" x14ac:dyDescent="0.2">
      <c r="A282" s="30" t="s">
        <v>66</v>
      </c>
      <c r="B282" s="24" t="s">
        <v>50</v>
      </c>
      <c r="C282" s="24">
        <v>0</v>
      </c>
      <c r="D282" s="24" t="s">
        <v>463</v>
      </c>
      <c r="E282" s="19" t="s">
        <v>558</v>
      </c>
      <c r="F282" s="27" t="s">
        <v>67</v>
      </c>
      <c r="G282" s="25">
        <v>21630.1</v>
      </c>
      <c r="H282" s="25">
        <v>18319.599999999999</v>
      </c>
      <c r="I282" s="25">
        <v>18319.599999999999</v>
      </c>
    </row>
    <row r="283" spans="1:9" s="79" customFormat="1" ht="25.5" x14ac:dyDescent="0.2">
      <c r="A283" s="80" t="s">
        <v>466</v>
      </c>
      <c r="B283" s="82" t="s">
        <v>50</v>
      </c>
      <c r="C283" s="82">
        <v>0</v>
      </c>
      <c r="D283" s="82" t="s">
        <v>463</v>
      </c>
      <c r="E283" s="77" t="s">
        <v>558</v>
      </c>
      <c r="F283" s="83" t="s">
        <v>68</v>
      </c>
      <c r="G283" s="25">
        <v>489.7</v>
      </c>
      <c r="H283" s="25">
        <v>474.3</v>
      </c>
      <c r="I283" s="25">
        <v>474.3</v>
      </c>
    </row>
    <row r="284" spans="1:9" ht="25.5" x14ac:dyDescent="0.2">
      <c r="A284" s="40" t="s">
        <v>557</v>
      </c>
      <c r="B284" s="41" t="s">
        <v>43</v>
      </c>
      <c r="C284" s="41"/>
      <c r="D284" s="41"/>
      <c r="E284" s="41"/>
      <c r="F284" s="41"/>
      <c r="G284" s="39">
        <v>711947.53926999995</v>
      </c>
      <c r="H284" s="39">
        <v>680824.9</v>
      </c>
      <c r="I284" s="39">
        <v>685066.70000000007</v>
      </c>
    </row>
    <row r="285" spans="1:9" x14ac:dyDescent="0.2">
      <c r="A285" s="150" t="s">
        <v>556</v>
      </c>
      <c r="B285" s="122" t="s">
        <v>43</v>
      </c>
      <c r="C285" s="149" t="s">
        <v>507</v>
      </c>
      <c r="D285" s="149"/>
      <c r="E285" s="149"/>
      <c r="F285" s="149"/>
      <c r="G285" s="148">
        <v>5830.5999999999995</v>
      </c>
      <c r="H285" s="148">
        <v>0</v>
      </c>
      <c r="I285" s="148">
        <v>0</v>
      </c>
    </row>
    <row r="286" spans="1:9" x14ac:dyDescent="0.2">
      <c r="A286" s="150" t="s">
        <v>677</v>
      </c>
      <c r="B286" s="122" t="s">
        <v>43</v>
      </c>
      <c r="C286" s="149" t="s">
        <v>507</v>
      </c>
      <c r="D286" s="149" t="s">
        <v>680</v>
      </c>
      <c r="E286" s="149"/>
      <c r="F286" s="149"/>
      <c r="G286" s="148">
        <v>200</v>
      </c>
      <c r="H286" s="148">
        <v>0</v>
      </c>
      <c r="I286" s="148">
        <v>0</v>
      </c>
    </row>
    <row r="287" spans="1:9" x14ac:dyDescent="0.2">
      <c r="A287" s="18" t="s">
        <v>280</v>
      </c>
      <c r="B287" s="19" t="s">
        <v>43</v>
      </c>
      <c r="C287" s="19">
        <v>1</v>
      </c>
      <c r="D287" s="19" t="s">
        <v>680</v>
      </c>
      <c r="E287" s="19" t="s">
        <v>732</v>
      </c>
      <c r="F287" s="19"/>
      <c r="G287" s="20">
        <v>200</v>
      </c>
      <c r="H287" s="20">
        <v>0</v>
      </c>
      <c r="I287" s="20">
        <v>0</v>
      </c>
    </row>
    <row r="288" spans="1:9" ht="25.5" x14ac:dyDescent="0.2">
      <c r="A288" s="30" t="s">
        <v>466</v>
      </c>
      <c r="B288" s="24" t="s">
        <v>43</v>
      </c>
      <c r="C288" s="24">
        <v>1</v>
      </c>
      <c r="D288" s="24" t="s">
        <v>680</v>
      </c>
      <c r="E288" s="24" t="s">
        <v>732</v>
      </c>
      <c r="F288" s="24" t="s">
        <v>68</v>
      </c>
      <c r="G288" s="25">
        <v>200</v>
      </c>
      <c r="H288" s="25">
        <v>0</v>
      </c>
      <c r="I288" s="25">
        <v>0</v>
      </c>
    </row>
    <row r="289" spans="1:9" x14ac:dyDescent="0.2">
      <c r="A289" s="18" t="s">
        <v>280</v>
      </c>
      <c r="B289" s="19" t="s">
        <v>43</v>
      </c>
      <c r="C289" s="19">
        <v>1</v>
      </c>
      <c r="D289" s="19" t="s">
        <v>463</v>
      </c>
      <c r="E289" s="19" t="s">
        <v>555</v>
      </c>
      <c r="F289" s="19"/>
      <c r="G289" s="20">
        <v>1885.7</v>
      </c>
      <c r="H289" s="20">
        <v>0</v>
      </c>
      <c r="I289" s="20">
        <v>0</v>
      </c>
    </row>
    <row r="290" spans="1:9" ht="25.5" x14ac:dyDescent="0.2">
      <c r="A290" s="30" t="s">
        <v>466</v>
      </c>
      <c r="B290" s="24" t="s">
        <v>43</v>
      </c>
      <c r="C290" s="24">
        <v>1</v>
      </c>
      <c r="D290" s="24" t="s">
        <v>463</v>
      </c>
      <c r="E290" s="24" t="s">
        <v>555</v>
      </c>
      <c r="F290" s="24" t="s">
        <v>68</v>
      </c>
      <c r="G290" s="25">
        <v>1399.7</v>
      </c>
      <c r="H290" s="25">
        <v>0</v>
      </c>
      <c r="I290" s="25">
        <v>0</v>
      </c>
    </row>
    <row r="291" spans="1:9" s="79" customFormat="1" x14ac:dyDescent="0.2">
      <c r="A291" s="87" t="s">
        <v>69</v>
      </c>
      <c r="B291" s="82" t="s">
        <v>43</v>
      </c>
      <c r="C291" s="82">
        <v>1</v>
      </c>
      <c r="D291" s="82" t="s">
        <v>463</v>
      </c>
      <c r="E291" s="82" t="s">
        <v>555</v>
      </c>
      <c r="F291" s="83" t="s">
        <v>70</v>
      </c>
      <c r="G291" s="25">
        <v>486</v>
      </c>
      <c r="H291" s="25">
        <v>0</v>
      </c>
      <c r="I291" s="25">
        <v>0</v>
      </c>
    </row>
    <row r="292" spans="1:9" x14ac:dyDescent="0.2">
      <c r="A292" s="18" t="s">
        <v>282</v>
      </c>
      <c r="B292" s="19" t="s">
        <v>43</v>
      </c>
      <c r="C292" s="19">
        <v>1</v>
      </c>
      <c r="D292" s="19" t="s">
        <v>463</v>
      </c>
      <c r="E292" s="19" t="s">
        <v>554</v>
      </c>
      <c r="F292" s="19"/>
      <c r="G292" s="20">
        <v>976.2</v>
      </c>
      <c r="H292" s="20">
        <v>0</v>
      </c>
      <c r="I292" s="20">
        <v>0</v>
      </c>
    </row>
    <row r="293" spans="1:9" ht="25.5" x14ac:dyDescent="0.2">
      <c r="A293" s="28" t="s">
        <v>141</v>
      </c>
      <c r="B293" s="24" t="s">
        <v>43</v>
      </c>
      <c r="C293" s="24">
        <v>1</v>
      </c>
      <c r="D293" s="24" t="s">
        <v>463</v>
      </c>
      <c r="E293" s="24" t="s">
        <v>554</v>
      </c>
      <c r="F293" s="24" t="s">
        <v>65</v>
      </c>
      <c r="G293" s="25">
        <v>976.2</v>
      </c>
      <c r="H293" s="25">
        <v>0</v>
      </c>
      <c r="I293" s="25">
        <v>0</v>
      </c>
    </row>
    <row r="294" spans="1:9" s="79" customFormat="1" x14ac:dyDescent="0.2">
      <c r="A294" s="75" t="s">
        <v>322</v>
      </c>
      <c r="B294" s="77" t="s">
        <v>43</v>
      </c>
      <c r="C294" s="77">
        <v>1</v>
      </c>
      <c r="D294" s="77" t="s">
        <v>463</v>
      </c>
      <c r="E294" s="77" t="s">
        <v>553</v>
      </c>
      <c r="F294" s="77"/>
      <c r="G294" s="78">
        <v>1147.8</v>
      </c>
      <c r="H294" s="78">
        <v>0</v>
      </c>
      <c r="I294" s="78">
        <v>0</v>
      </c>
    </row>
    <row r="295" spans="1:9" s="79" customFormat="1" ht="51" x14ac:dyDescent="0.2">
      <c r="A295" s="30" t="s">
        <v>66</v>
      </c>
      <c r="B295" s="24" t="s">
        <v>43</v>
      </c>
      <c r="C295" s="24">
        <v>1</v>
      </c>
      <c r="D295" s="24" t="s">
        <v>463</v>
      </c>
      <c r="E295" s="24" t="s">
        <v>553</v>
      </c>
      <c r="F295" s="77" t="s">
        <v>67</v>
      </c>
      <c r="G295" s="78">
        <v>60</v>
      </c>
      <c r="H295" s="78">
        <v>0</v>
      </c>
      <c r="I295" s="78">
        <v>0</v>
      </c>
    </row>
    <row r="296" spans="1:9" x14ac:dyDescent="0.2">
      <c r="A296" s="28" t="s">
        <v>69</v>
      </c>
      <c r="B296" s="24" t="s">
        <v>43</v>
      </c>
      <c r="C296" s="24">
        <v>1</v>
      </c>
      <c r="D296" s="24" t="s">
        <v>463</v>
      </c>
      <c r="E296" s="24" t="s">
        <v>553</v>
      </c>
      <c r="F296" s="24" t="s">
        <v>70</v>
      </c>
      <c r="G296" s="25">
        <v>847.8</v>
      </c>
      <c r="H296" s="25">
        <v>0</v>
      </c>
      <c r="I296" s="25">
        <v>0</v>
      </c>
    </row>
    <row r="297" spans="1:9" ht="25.5" x14ac:dyDescent="0.2">
      <c r="A297" s="28" t="s">
        <v>141</v>
      </c>
      <c r="B297" s="24" t="s">
        <v>43</v>
      </c>
      <c r="C297" s="24">
        <v>1</v>
      </c>
      <c r="D297" s="24" t="s">
        <v>463</v>
      </c>
      <c r="E297" s="24" t="s">
        <v>553</v>
      </c>
      <c r="F297" s="24" t="s">
        <v>65</v>
      </c>
      <c r="G297" s="25">
        <v>120</v>
      </c>
      <c r="H297" s="25">
        <v>0</v>
      </c>
      <c r="I297" s="25">
        <v>0</v>
      </c>
    </row>
    <row r="298" spans="1:9" s="79" customFormat="1" x14ac:dyDescent="0.2">
      <c r="A298" s="28" t="s">
        <v>72</v>
      </c>
      <c r="B298" s="82" t="s">
        <v>43</v>
      </c>
      <c r="C298" s="82">
        <v>1</v>
      </c>
      <c r="D298" s="82" t="s">
        <v>463</v>
      </c>
      <c r="E298" s="82" t="s">
        <v>553</v>
      </c>
      <c r="F298" s="82" t="s">
        <v>73</v>
      </c>
      <c r="G298" s="62">
        <v>120</v>
      </c>
      <c r="H298" s="62">
        <v>0</v>
      </c>
      <c r="I298" s="62">
        <v>0</v>
      </c>
    </row>
    <row r="299" spans="1:9" ht="25.5" x14ac:dyDescent="0.2">
      <c r="A299" s="18" t="s">
        <v>325</v>
      </c>
      <c r="B299" s="19" t="s">
        <v>43</v>
      </c>
      <c r="C299" s="19">
        <v>1</v>
      </c>
      <c r="D299" s="19" t="s">
        <v>463</v>
      </c>
      <c r="E299" s="19" t="s">
        <v>552</v>
      </c>
      <c r="F299" s="19"/>
      <c r="G299" s="20">
        <v>1553.1</v>
      </c>
      <c r="H299" s="20">
        <v>0</v>
      </c>
      <c r="I299" s="20">
        <v>0</v>
      </c>
    </row>
    <row r="300" spans="1:9" x14ac:dyDescent="0.2">
      <c r="A300" s="28" t="s">
        <v>69</v>
      </c>
      <c r="B300" s="24" t="s">
        <v>43</v>
      </c>
      <c r="C300" s="24">
        <v>1</v>
      </c>
      <c r="D300" s="24" t="s">
        <v>463</v>
      </c>
      <c r="E300" s="24" t="s">
        <v>552</v>
      </c>
      <c r="F300" s="24" t="s">
        <v>70</v>
      </c>
      <c r="G300" s="25">
        <v>1553.1</v>
      </c>
      <c r="H300" s="25">
        <v>0</v>
      </c>
      <c r="I300" s="25">
        <v>0</v>
      </c>
    </row>
    <row r="301" spans="1:9" ht="63.75" x14ac:dyDescent="0.2">
      <c r="A301" s="61" t="s">
        <v>327</v>
      </c>
      <c r="B301" s="19" t="s">
        <v>43</v>
      </c>
      <c r="C301" s="19">
        <v>1</v>
      </c>
      <c r="D301" s="19" t="s">
        <v>463</v>
      </c>
      <c r="E301" s="19" t="s">
        <v>551</v>
      </c>
      <c r="F301" s="19"/>
      <c r="G301" s="20">
        <v>50</v>
      </c>
      <c r="H301" s="20">
        <v>0</v>
      </c>
      <c r="I301" s="20">
        <v>0</v>
      </c>
    </row>
    <row r="302" spans="1:9" x14ac:dyDescent="0.2">
      <c r="A302" s="28" t="s">
        <v>69</v>
      </c>
      <c r="B302" s="24" t="s">
        <v>43</v>
      </c>
      <c r="C302" s="24">
        <v>1</v>
      </c>
      <c r="D302" s="24" t="s">
        <v>463</v>
      </c>
      <c r="E302" s="24" t="s">
        <v>551</v>
      </c>
      <c r="F302" s="24" t="s">
        <v>70</v>
      </c>
      <c r="G302" s="25">
        <v>50</v>
      </c>
      <c r="H302" s="25">
        <v>0</v>
      </c>
      <c r="I302" s="25">
        <v>0</v>
      </c>
    </row>
    <row r="303" spans="1:9" ht="25.5" x14ac:dyDescent="0.2">
      <c r="A303" s="75" t="s">
        <v>417</v>
      </c>
      <c r="B303" s="19" t="s">
        <v>43</v>
      </c>
      <c r="C303" s="19">
        <v>1</v>
      </c>
      <c r="D303" s="19" t="s">
        <v>463</v>
      </c>
      <c r="E303" s="19" t="s">
        <v>550</v>
      </c>
      <c r="F303" s="19"/>
      <c r="G303" s="20">
        <v>17.8</v>
      </c>
      <c r="H303" s="20">
        <v>0</v>
      </c>
      <c r="I303" s="20">
        <v>0</v>
      </c>
    </row>
    <row r="304" spans="1:9" ht="25.5" x14ac:dyDescent="0.2">
      <c r="A304" s="30" t="s">
        <v>466</v>
      </c>
      <c r="B304" s="24" t="s">
        <v>43</v>
      </c>
      <c r="C304" s="24">
        <v>1</v>
      </c>
      <c r="D304" s="24" t="s">
        <v>463</v>
      </c>
      <c r="E304" s="24" t="s">
        <v>550</v>
      </c>
      <c r="F304" s="24" t="s">
        <v>68</v>
      </c>
      <c r="G304" s="25">
        <v>17.8</v>
      </c>
      <c r="H304" s="25">
        <v>0</v>
      </c>
      <c r="I304" s="25">
        <v>0</v>
      </c>
    </row>
    <row r="305" spans="1:9" s="79" customFormat="1" ht="51" x14ac:dyDescent="0.2">
      <c r="A305" s="154" t="s">
        <v>549</v>
      </c>
      <c r="B305" s="153" t="s">
        <v>43</v>
      </c>
      <c r="C305" s="152" t="s">
        <v>502</v>
      </c>
      <c r="D305" s="152"/>
      <c r="E305" s="152"/>
      <c r="F305" s="152"/>
      <c r="G305" s="151">
        <v>7375.7</v>
      </c>
      <c r="H305" s="151">
        <v>7375.7</v>
      </c>
      <c r="I305" s="151">
        <v>7375.7</v>
      </c>
    </row>
    <row r="306" spans="1:9" s="79" customFormat="1" ht="76.5" x14ac:dyDescent="0.2">
      <c r="A306" s="75" t="s">
        <v>263</v>
      </c>
      <c r="B306" s="77" t="s">
        <v>43</v>
      </c>
      <c r="C306" s="77">
        <v>2</v>
      </c>
      <c r="D306" s="77" t="s">
        <v>463</v>
      </c>
      <c r="E306" s="77" t="s">
        <v>548</v>
      </c>
      <c r="F306" s="77"/>
      <c r="G306" s="78">
        <v>7375.7</v>
      </c>
      <c r="H306" s="78">
        <v>7375.7</v>
      </c>
      <c r="I306" s="78">
        <v>7375.7</v>
      </c>
    </row>
    <row r="307" spans="1:9" s="79" customFormat="1" ht="25.5" x14ac:dyDescent="0.2">
      <c r="A307" s="80" t="s">
        <v>466</v>
      </c>
      <c r="B307" s="82" t="s">
        <v>43</v>
      </c>
      <c r="C307" s="82">
        <v>2</v>
      </c>
      <c r="D307" s="82" t="s">
        <v>463</v>
      </c>
      <c r="E307" s="82" t="s">
        <v>548</v>
      </c>
      <c r="F307" s="83" t="s">
        <v>68</v>
      </c>
      <c r="G307" s="62">
        <v>36.700000000000003</v>
      </c>
      <c r="H307" s="62">
        <v>36.700000000000003</v>
      </c>
      <c r="I307" s="62">
        <v>36.700000000000003</v>
      </c>
    </row>
    <row r="308" spans="1:9" s="79" customFormat="1" x14ac:dyDescent="0.2">
      <c r="A308" s="87" t="s">
        <v>69</v>
      </c>
      <c r="B308" s="82" t="s">
        <v>43</v>
      </c>
      <c r="C308" s="82">
        <v>2</v>
      </c>
      <c r="D308" s="82" t="s">
        <v>463</v>
      </c>
      <c r="E308" s="82" t="s">
        <v>548</v>
      </c>
      <c r="F308" s="82" t="s">
        <v>70</v>
      </c>
      <c r="G308" s="62">
        <v>7339</v>
      </c>
      <c r="H308" s="62">
        <v>7339</v>
      </c>
      <c r="I308" s="62">
        <v>7339</v>
      </c>
    </row>
    <row r="309" spans="1:9" s="79" customFormat="1" ht="38.25" x14ac:dyDescent="0.2">
      <c r="A309" s="154" t="s">
        <v>547</v>
      </c>
      <c r="B309" s="153" t="s">
        <v>43</v>
      </c>
      <c r="C309" s="152" t="s">
        <v>495</v>
      </c>
      <c r="D309" s="152"/>
      <c r="E309" s="152"/>
      <c r="F309" s="152"/>
      <c r="G309" s="151">
        <v>27193.799999999996</v>
      </c>
      <c r="H309" s="151">
        <v>27010.199999999997</v>
      </c>
      <c r="I309" s="151">
        <v>27010.199999999997</v>
      </c>
    </row>
    <row r="310" spans="1:9" ht="25.5" x14ac:dyDescent="0.2">
      <c r="A310" s="18" t="s">
        <v>284</v>
      </c>
      <c r="B310" s="19" t="s">
        <v>43</v>
      </c>
      <c r="C310" s="19">
        <v>4</v>
      </c>
      <c r="D310" s="19" t="s">
        <v>463</v>
      </c>
      <c r="E310" s="19">
        <v>70280</v>
      </c>
      <c r="F310" s="19"/>
      <c r="G310" s="20">
        <v>27193.799999999996</v>
      </c>
      <c r="H310" s="20">
        <v>27010.199999999997</v>
      </c>
      <c r="I310" s="20">
        <v>27010.199999999997</v>
      </c>
    </row>
    <row r="311" spans="1:9" ht="51" x14ac:dyDescent="0.2">
      <c r="A311" s="30" t="s">
        <v>66</v>
      </c>
      <c r="B311" s="24" t="s">
        <v>43</v>
      </c>
      <c r="C311" s="24">
        <v>4</v>
      </c>
      <c r="D311" s="24" t="s">
        <v>463</v>
      </c>
      <c r="E311" s="24">
        <v>70280</v>
      </c>
      <c r="F311" s="27" t="s">
        <v>67</v>
      </c>
      <c r="G311" s="25">
        <v>25952.199999999997</v>
      </c>
      <c r="H311" s="25">
        <v>25914.199999999997</v>
      </c>
      <c r="I311" s="25">
        <v>25914.199999999997</v>
      </c>
    </row>
    <row r="312" spans="1:9" ht="25.5" x14ac:dyDescent="0.2">
      <c r="A312" s="30" t="s">
        <v>466</v>
      </c>
      <c r="B312" s="24" t="s">
        <v>43</v>
      </c>
      <c r="C312" s="24">
        <v>4</v>
      </c>
      <c r="D312" s="24" t="s">
        <v>463</v>
      </c>
      <c r="E312" s="24">
        <v>70280</v>
      </c>
      <c r="F312" s="27" t="s">
        <v>68</v>
      </c>
      <c r="G312" s="25">
        <v>1234</v>
      </c>
      <c r="H312" s="25">
        <v>1088.4000000000001</v>
      </c>
      <c r="I312" s="25">
        <v>1088.4000000000001</v>
      </c>
    </row>
    <row r="313" spans="1:9" s="79" customFormat="1" x14ac:dyDescent="0.2">
      <c r="A313" s="87" t="s">
        <v>72</v>
      </c>
      <c r="B313" s="82" t="s">
        <v>43</v>
      </c>
      <c r="C313" s="82">
        <v>4</v>
      </c>
      <c r="D313" s="82" t="s">
        <v>463</v>
      </c>
      <c r="E313" s="82">
        <v>70280</v>
      </c>
      <c r="F313" s="82" t="s">
        <v>73</v>
      </c>
      <c r="G313" s="25">
        <v>7.6</v>
      </c>
      <c r="H313" s="25">
        <v>7.6</v>
      </c>
      <c r="I313" s="25">
        <v>7.6</v>
      </c>
    </row>
    <row r="314" spans="1:9" s="79" customFormat="1" ht="25.5" x14ac:dyDescent="0.2">
      <c r="A314" s="154" t="s">
        <v>546</v>
      </c>
      <c r="B314" s="153" t="s">
        <v>43</v>
      </c>
      <c r="C314" s="152" t="s">
        <v>492</v>
      </c>
      <c r="D314" s="152"/>
      <c r="E314" s="152"/>
      <c r="F314" s="152"/>
      <c r="G314" s="151">
        <v>180109.89999999997</v>
      </c>
      <c r="H314" s="151">
        <v>170156.5</v>
      </c>
      <c r="I314" s="151">
        <v>170156.5</v>
      </c>
    </row>
    <row r="315" spans="1:9" x14ac:dyDescent="0.2">
      <c r="A315" s="18" t="s">
        <v>677</v>
      </c>
      <c r="B315" s="19" t="s">
        <v>43</v>
      </c>
      <c r="C315" s="19" t="s">
        <v>492</v>
      </c>
      <c r="D315" s="19" t="s">
        <v>680</v>
      </c>
      <c r="E315" s="19"/>
      <c r="F315" s="8"/>
      <c r="G315" s="20">
        <v>7725.3</v>
      </c>
      <c r="H315" s="20">
        <v>0</v>
      </c>
      <c r="I315" s="20">
        <v>0</v>
      </c>
    </row>
    <row r="316" spans="1:9" ht="25.5" x14ac:dyDescent="0.2">
      <c r="A316" s="18" t="s">
        <v>678</v>
      </c>
      <c r="B316" s="19" t="s">
        <v>43</v>
      </c>
      <c r="C316" s="19" t="s">
        <v>492</v>
      </c>
      <c r="D316" s="19" t="s">
        <v>680</v>
      </c>
      <c r="E316" s="19" t="s">
        <v>681</v>
      </c>
      <c r="F316" s="19"/>
      <c r="G316" s="20">
        <v>7725.3</v>
      </c>
      <c r="H316" s="20">
        <v>0</v>
      </c>
      <c r="I316" s="20">
        <v>0</v>
      </c>
    </row>
    <row r="317" spans="1:9" ht="25.5" x14ac:dyDescent="0.2">
      <c r="A317" s="28" t="s">
        <v>141</v>
      </c>
      <c r="B317" s="19" t="s">
        <v>43</v>
      </c>
      <c r="C317" s="19" t="s">
        <v>492</v>
      </c>
      <c r="D317" s="19" t="s">
        <v>680</v>
      </c>
      <c r="E317" s="19" t="s">
        <v>681</v>
      </c>
      <c r="F317" s="19" t="s">
        <v>65</v>
      </c>
      <c r="G317" s="20">
        <v>7725.3</v>
      </c>
      <c r="H317" s="20">
        <v>0</v>
      </c>
      <c r="I317" s="20">
        <v>0</v>
      </c>
    </row>
    <row r="318" spans="1:9" s="79" customFormat="1" ht="51" x14ac:dyDescent="0.2">
      <c r="A318" s="75" t="s">
        <v>265</v>
      </c>
      <c r="B318" s="77" t="s">
        <v>43</v>
      </c>
      <c r="C318" s="77">
        <v>5</v>
      </c>
      <c r="D318" s="77" t="s">
        <v>463</v>
      </c>
      <c r="E318" s="77">
        <v>70160</v>
      </c>
      <c r="F318" s="77"/>
      <c r="G318" s="78">
        <v>121813.3</v>
      </c>
      <c r="H318" s="78">
        <v>121742.5</v>
      </c>
      <c r="I318" s="78">
        <v>121742.5</v>
      </c>
    </row>
    <row r="319" spans="1:9" s="79" customFormat="1" ht="25.5" x14ac:dyDescent="0.2">
      <c r="A319" s="87" t="s">
        <v>141</v>
      </c>
      <c r="B319" s="82" t="s">
        <v>43</v>
      </c>
      <c r="C319" s="82">
        <v>5</v>
      </c>
      <c r="D319" s="82" t="s">
        <v>463</v>
      </c>
      <c r="E319" s="82">
        <v>70160</v>
      </c>
      <c r="F319" s="82" t="s">
        <v>65</v>
      </c>
      <c r="G319" s="62">
        <v>121813.3</v>
      </c>
      <c r="H319" s="62">
        <v>121742.5</v>
      </c>
      <c r="I319" s="62">
        <v>121742.5</v>
      </c>
    </row>
    <row r="320" spans="1:9" s="79" customFormat="1" ht="63.75" x14ac:dyDescent="0.2">
      <c r="A320" s="75" t="s">
        <v>266</v>
      </c>
      <c r="B320" s="77" t="s">
        <v>43</v>
      </c>
      <c r="C320" s="77">
        <v>5</v>
      </c>
      <c r="D320" s="77" t="s">
        <v>463</v>
      </c>
      <c r="E320" s="77">
        <v>70170</v>
      </c>
      <c r="F320" s="77"/>
      <c r="G320" s="78">
        <v>50550</v>
      </c>
      <c r="H320" s="78">
        <v>48414</v>
      </c>
      <c r="I320" s="78">
        <v>48414</v>
      </c>
    </row>
    <row r="321" spans="1:9" s="79" customFormat="1" ht="51" x14ac:dyDescent="0.2">
      <c r="A321" s="80" t="s">
        <v>66</v>
      </c>
      <c r="B321" s="82" t="s">
        <v>43</v>
      </c>
      <c r="C321" s="82">
        <v>5</v>
      </c>
      <c r="D321" s="82" t="s">
        <v>463</v>
      </c>
      <c r="E321" s="82">
        <v>70170</v>
      </c>
      <c r="F321" s="83" t="s">
        <v>67</v>
      </c>
      <c r="G321" s="62">
        <v>42333.894260000001</v>
      </c>
      <c r="H321" s="62">
        <v>42333.5</v>
      </c>
      <c r="I321" s="62">
        <v>42333.5</v>
      </c>
    </row>
    <row r="322" spans="1:9" s="79" customFormat="1" ht="25.5" x14ac:dyDescent="0.2">
      <c r="A322" s="80" t="s">
        <v>466</v>
      </c>
      <c r="B322" s="82" t="s">
        <v>43</v>
      </c>
      <c r="C322" s="82">
        <v>5</v>
      </c>
      <c r="D322" s="82" t="s">
        <v>463</v>
      </c>
      <c r="E322" s="82">
        <v>70170</v>
      </c>
      <c r="F322" s="83" t="s">
        <v>68</v>
      </c>
      <c r="G322" s="62">
        <v>7921.10574</v>
      </c>
      <c r="H322" s="62">
        <v>5785.5</v>
      </c>
      <c r="I322" s="62">
        <v>5785.5</v>
      </c>
    </row>
    <row r="323" spans="1:9" s="79" customFormat="1" x14ac:dyDescent="0.2">
      <c r="A323" s="87" t="s">
        <v>72</v>
      </c>
      <c r="B323" s="82" t="s">
        <v>43</v>
      </c>
      <c r="C323" s="82">
        <v>5</v>
      </c>
      <c r="D323" s="82" t="s">
        <v>463</v>
      </c>
      <c r="E323" s="82">
        <v>70170</v>
      </c>
      <c r="F323" s="82" t="s">
        <v>73</v>
      </c>
      <c r="G323" s="62">
        <v>295</v>
      </c>
      <c r="H323" s="62">
        <v>295</v>
      </c>
      <c r="I323" s="62">
        <v>295</v>
      </c>
    </row>
    <row r="324" spans="1:9" s="79" customFormat="1" ht="25.5" x14ac:dyDescent="0.2">
      <c r="A324" s="87" t="s">
        <v>267</v>
      </c>
      <c r="B324" s="77" t="s">
        <v>43</v>
      </c>
      <c r="C324" s="77">
        <v>5</v>
      </c>
      <c r="D324" s="77" t="s">
        <v>463</v>
      </c>
      <c r="E324" s="77" t="s">
        <v>713</v>
      </c>
      <c r="F324" s="82"/>
      <c r="G324" s="62">
        <v>21.3</v>
      </c>
      <c r="H324" s="62">
        <v>0</v>
      </c>
      <c r="I324" s="62">
        <v>0</v>
      </c>
    </row>
    <row r="325" spans="1:9" s="79" customFormat="1" ht="25.5" x14ac:dyDescent="0.2">
      <c r="A325" s="80" t="s">
        <v>466</v>
      </c>
      <c r="B325" s="77" t="s">
        <v>43</v>
      </c>
      <c r="C325" s="77">
        <v>5</v>
      </c>
      <c r="D325" s="77" t="s">
        <v>463</v>
      </c>
      <c r="E325" s="77" t="s">
        <v>713</v>
      </c>
      <c r="F325" s="82" t="s">
        <v>68</v>
      </c>
      <c r="G325" s="62">
        <v>21.3</v>
      </c>
      <c r="H325" s="62">
        <v>0</v>
      </c>
      <c r="I325" s="62">
        <v>0</v>
      </c>
    </row>
    <row r="326" spans="1:9" s="79" customFormat="1" ht="25.5" x14ac:dyDescent="0.2">
      <c r="A326" s="154" t="s">
        <v>545</v>
      </c>
      <c r="B326" s="153" t="s">
        <v>43</v>
      </c>
      <c r="C326" s="152" t="s">
        <v>488</v>
      </c>
      <c r="D326" s="152"/>
      <c r="E326" s="152"/>
      <c r="F326" s="152"/>
      <c r="G326" s="151">
        <v>490957.53927000001</v>
      </c>
      <c r="H326" s="151">
        <v>476282.5</v>
      </c>
      <c r="I326" s="151">
        <v>480524.30000000005</v>
      </c>
    </row>
    <row r="327" spans="1:9" s="79" customFormat="1" ht="25.5" x14ac:dyDescent="0.2">
      <c r="A327" s="75" t="s">
        <v>682</v>
      </c>
      <c r="B327" s="77" t="s">
        <v>43</v>
      </c>
      <c r="C327" s="77" t="s">
        <v>488</v>
      </c>
      <c r="D327" s="77" t="s">
        <v>542</v>
      </c>
      <c r="E327" s="77"/>
      <c r="F327" s="77"/>
      <c r="G327" s="78">
        <v>90236</v>
      </c>
      <c r="H327" s="78">
        <v>70666</v>
      </c>
      <c r="I327" s="78">
        <v>72259</v>
      </c>
    </row>
    <row r="328" spans="1:9" s="79" customFormat="1" ht="25.5" x14ac:dyDescent="0.2">
      <c r="A328" s="75" t="s">
        <v>437</v>
      </c>
      <c r="B328" s="77" t="s">
        <v>43</v>
      </c>
      <c r="C328" s="77">
        <v>6</v>
      </c>
      <c r="D328" s="77" t="s">
        <v>542</v>
      </c>
      <c r="E328" s="77" t="s">
        <v>544</v>
      </c>
      <c r="F328" s="77"/>
      <c r="G328" s="78">
        <v>19745</v>
      </c>
      <c r="H328" s="78">
        <v>33866</v>
      </c>
      <c r="I328" s="78">
        <v>35170</v>
      </c>
    </row>
    <row r="329" spans="1:9" s="79" customFormat="1" ht="25.5" x14ac:dyDescent="0.2">
      <c r="A329" s="87" t="s">
        <v>466</v>
      </c>
      <c r="B329" s="82" t="s">
        <v>43</v>
      </c>
      <c r="C329" s="82">
        <v>6</v>
      </c>
      <c r="D329" s="82" t="s">
        <v>542</v>
      </c>
      <c r="E329" s="82" t="s">
        <v>544</v>
      </c>
      <c r="F329" s="82" t="s">
        <v>68</v>
      </c>
      <c r="G329" s="62">
        <v>0</v>
      </c>
      <c r="H329" s="62">
        <v>169.3</v>
      </c>
      <c r="I329" s="62">
        <v>175.9</v>
      </c>
    </row>
    <row r="330" spans="1:9" s="79" customFormat="1" x14ac:dyDescent="0.2">
      <c r="A330" s="87" t="s">
        <v>69</v>
      </c>
      <c r="B330" s="82" t="s">
        <v>43</v>
      </c>
      <c r="C330" s="82">
        <v>6</v>
      </c>
      <c r="D330" s="82" t="s">
        <v>542</v>
      </c>
      <c r="E330" s="82" t="s">
        <v>544</v>
      </c>
      <c r="F330" s="82" t="s">
        <v>70</v>
      </c>
      <c r="G330" s="62">
        <v>19745</v>
      </c>
      <c r="H330" s="62">
        <v>33696.699999999997</v>
      </c>
      <c r="I330" s="62">
        <v>34994.1</v>
      </c>
    </row>
    <row r="331" spans="1:9" ht="38.25" x14ac:dyDescent="0.2">
      <c r="A331" s="54" t="s">
        <v>434</v>
      </c>
      <c r="B331" s="19" t="s">
        <v>43</v>
      </c>
      <c r="C331" s="19">
        <v>6</v>
      </c>
      <c r="D331" s="19" t="s">
        <v>542</v>
      </c>
      <c r="E331" s="19" t="s">
        <v>543</v>
      </c>
      <c r="F331" s="19"/>
      <c r="G331" s="20">
        <v>40930</v>
      </c>
      <c r="H331" s="20">
        <v>7239</v>
      </c>
      <c r="I331" s="20">
        <v>7528</v>
      </c>
    </row>
    <row r="332" spans="1:9" x14ac:dyDescent="0.2">
      <c r="A332" s="28" t="s">
        <v>69</v>
      </c>
      <c r="B332" s="24" t="s">
        <v>43</v>
      </c>
      <c r="C332" s="24">
        <v>6</v>
      </c>
      <c r="D332" s="24" t="s">
        <v>542</v>
      </c>
      <c r="E332" s="24" t="s">
        <v>543</v>
      </c>
      <c r="F332" s="24" t="s">
        <v>70</v>
      </c>
      <c r="G332" s="25">
        <v>40930</v>
      </c>
      <c r="H332" s="25">
        <v>7239</v>
      </c>
      <c r="I332" s="25">
        <v>7528</v>
      </c>
    </row>
    <row r="333" spans="1:9" ht="51" x14ac:dyDescent="0.2">
      <c r="A333" s="18" t="s">
        <v>252</v>
      </c>
      <c r="B333" s="19" t="s">
        <v>43</v>
      </c>
      <c r="C333" s="19">
        <v>6</v>
      </c>
      <c r="D333" s="19" t="s">
        <v>542</v>
      </c>
      <c r="E333" s="19">
        <v>70050</v>
      </c>
      <c r="F333" s="19"/>
      <c r="G333" s="20">
        <v>20432</v>
      </c>
      <c r="H333" s="20">
        <v>20432</v>
      </c>
      <c r="I333" s="20">
        <v>20432</v>
      </c>
    </row>
    <row r="334" spans="1:9" ht="25.5" x14ac:dyDescent="0.2">
      <c r="A334" s="30" t="s">
        <v>466</v>
      </c>
      <c r="B334" s="24" t="s">
        <v>43</v>
      </c>
      <c r="C334" s="24">
        <v>6</v>
      </c>
      <c r="D334" s="24" t="s">
        <v>542</v>
      </c>
      <c r="E334" s="24">
        <v>70050</v>
      </c>
      <c r="F334" s="27" t="s">
        <v>68</v>
      </c>
      <c r="G334" s="25">
        <v>63.9</v>
      </c>
      <c r="H334" s="25">
        <v>63.9</v>
      </c>
      <c r="I334" s="25">
        <v>63.9</v>
      </c>
    </row>
    <row r="335" spans="1:9" x14ac:dyDescent="0.2">
      <c r="A335" s="28" t="s">
        <v>69</v>
      </c>
      <c r="B335" s="24" t="s">
        <v>43</v>
      </c>
      <c r="C335" s="24">
        <v>6</v>
      </c>
      <c r="D335" s="24" t="s">
        <v>542</v>
      </c>
      <c r="E335" s="24">
        <v>70050</v>
      </c>
      <c r="F335" s="24" t="s">
        <v>70</v>
      </c>
      <c r="G335" s="25">
        <v>12703.3</v>
      </c>
      <c r="H335" s="25">
        <v>12703.3</v>
      </c>
      <c r="I335" s="25">
        <v>12703.3</v>
      </c>
    </row>
    <row r="336" spans="1:9" ht="25.5" x14ac:dyDescent="0.2">
      <c r="A336" s="28" t="s">
        <v>141</v>
      </c>
      <c r="B336" s="24" t="s">
        <v>43</v>
      </c>
      <c r="C336" s="24">
        <v>6</v>
      </c>
      <c r="D336" s="24" t="s">
        <v>542</v>
      </c>
      <c r="E336" s="24">
        <v>70050</v>
      </c>
      <c r="F336" s="24" t="s">
        <v>65</v>
      </c>
      <c r="G336" s="25">
        <v>7664.8</v>
      </c>
      <c r="H336" s="25">
        <v>7664.8</v>
      </c>
      <c r="I336" s="25">
        <v>7664.8</v>
      </c>
    </row>
    <row r="337" spans="1:9" s="79" customFormat="1" ht="51" x14ac:dyDescent="0.2">
      <c r="A337" s="75" t="s">
        <v>274</v>
      </c>
      <c r="B337" s="77" t="s">
        <v>43</v>
      </c>
      <c r="C337" s="77">
        <v>6</v>
      </c>
      <c r="D337" s="77" t="s">
        <v>542</v>
      </c>
      <c r="E337" s="77">
        <v>80010</v>
      </c>
      <c r="F337" s="77"/>
      <c r="G337" s="78">
        <v>9129</v>
      </c>
      <c r="H337" s="78">
        <v>9129</v>
      </c>
      <c r="I337" s="78">
        <v>9129</v>
      </c>
    </row>
    <row r="338" spans="1:9" s="79" customFormat="1" ht="25.5" x14ac:dyDescent="0.2">
      <c r="A338" s="80" t="s">
        <v>466</v>
      </c>
      <c r="B338" s="82" t="s">
        <v>43</v>
      </c>
      <c r="C338" s="82">
        <v>6</v>
      </c>
      <c r="D338" s="82" t="s">
        <v>542</v>
      </c>
      <c r="E338" s="82">
        <v>80010</v>
      </c>
      <c r="F338" s="83" t="s">
        <v>68</v>
      </c>
      <c r="G338" s="62">
        <v>3.3</v>
      </c>
      <c r="H338" s="62">
        <v>3.3</v>
      </c>
      <c r="I338" s="62">
        <v>3.3</v>
      </c>
    </row>
    <row r="339" spans="1:9" s="79" customFormat="1" x14ac:dyDescent="0.2">
      <c r="A339" s="87" t="s">
        <v>69</v>
      </c>
      <c r="B339" s="82" t="s">
        <v>43</v>
      </c>
      <c r="C339" s="82">
        <v>6</v>
      </c>
      <c r="D339" s="82" t="s">
        <v>542</v>
      </c>
      <c r="E339" s="82">
        <v>80010</v>
      </c>
      <c r="F339" s="82" t="s">
        <v>70</v>
      </c>
      <c r="G339" s="62">
        <v>9125.7000000000007</v>
      </c>
      <c r="H339" s="62">
        <v>9125.7000000000007</v>
      </c>
      <c r="I339" s="62">
        <v>9125.7000000000007</v>
      </c>
    </row>
    <row r="340" spans="1:9" ht="38.25" x14ac:dyDescent="0.2">
      <c r="A340" s="18" t="s">
        <v>268</v>
      </c>
      <c r="B340" s="19" t="s">
        <v>43</v>
      </c>
      <c r="C340" s="19">
        <v>6</v>
      </c>
      <c r="D340" s="19" t="s">
        <v>463</v>
      </c>
      <c r="E340" s="19">
        <v>51370</v>
      </c>
      <c r="F340" s="19"/>
      <c r="G340" s="20">
        <v>469.7</v>
      </c>
      <c r="H340" s="20">
        <v>548.90000000000009</v>
      </c>
      <c r="I340" s="20">
        <v>582.69999999999993</v>
      </c>
    </row>
    <row r="341" spans="1:9" ht="25.5" x14ac:dyDescent="0.2">
      <c r="A341" s="30" t="s">
        <v>466</v>
      </c>
      <c r="B341" s="24" t="s">
        <v>43</v>
      </c>
      <c r="C341" s="24">
        <v>6</v>
      </c>
      <c r="D341" s="24" t="s">
        <v>463</v>
      </c>
      <c r="E341" s="24">
        <v>51370</v>
      </c>
      <c r="F341" s="27" t="s">
        <v>68</v>
      </c>
      <c r="G341" s="25">
        <v>2.5</v>
      </c>
      <c r="H341" s="25">
        <v>2.7</v>
      </c>
      <c r="I341" s="25">
        <v>2.9</v>
      </c>
    </row>
    <row r="342" spans="1:9" s="79" customFormat="1" x14ac:dyDescent="0.2">
      <c r="A342" s="87" t="s">
        <v>69</v>
      </c>
      <c r="B342" s="82" t="s">
        <v>43</v>
      </c>
      <c r="C342" s="82">
        <v>6</v>
      </c>
      <c r="D342" s="82" t="s">
        <v>463</v>
      </c>
      <c r="E342" s="82">
        <v>51370</v>
      </c>
      <c r="F342" s="82" t="s">
        <v>70</v>
      </c>
      <c r="G342" s="25">
        <v>467.2</v>
      </c>
      <c r="H342" s="25">
        <v>546.20000000000005</v>
      </c>
      <c r="I342" s="25">
        <v>579.79999999999995</v>
      </c>
    </row>
    <row r="343" spans="1:9" s="79" customFormat="1" ht="38.25" x14ac:dyDescent="0.2">
      <c r="A343" s="75" t="s">
        <v>269</v>
      </c>
      <c r="B343" s="77" t="s">
        <v>43</v>
      </c>
      <c r="C343" s="77">
        <v>6</v>
      </c>
      <c r="D343" s="77" t="s">
        <v>463</v>
      </c>
      <c r="E343" s="77">
        <v>52200</v>
      </c>
      <c r="F343" s="77"/>
      <c r="G343" s="78">
        <v>9410.2392699999982</v>
      </c>
      <c r="H343" s="78">
        <v>9084</v>
      </c>
      <c r="I343" s="78">
        <v>9447</v>
      </c>
    </row>
    <row r="344" spans="1:9" s="79" customFormat="1" ht="25.5" x14ac:dyDescent="0.2">
      <c r="A344" s="80" t="s">
        <v>466</v>
      </c>
      <c r="B344" s="82" t="s">
        <v>43</v>
      </c>
      <c r="C344" s="82">
        <v>6</v>
      </c>
      <c r="D344" s="82" t="s">
        <v>463</v>
      </c>
      <c r="E344" s="82">
        <v>52200</v>
      </c>
      <c r="F344" s="83" t="s">
        <v>68</v>
      </c>
      <c r="G344" s="62">
        <v>46.183709999999998</v>
      </c>
      <c r="H344" s="62">
        <v>45.4</v>
      </c>
      <c r="I344" s="62">
        <v>47.2</v>
      </c>
    </row>
    <row r="345" spans="1:9" s="79" customFormat="1" x14ac:dyDescent="0.2">
      <c r="A345" s="87" t="s">
        <v>69</v>
      </c>
      <c r="B345" s="82" t="s">
        <v>43</v>
      </c>
      <c r="C345" s="82">
        <v>6</v>
      </c>
      <c r="D345" s="82" t="s">
        <v>463</v>
      </c>
      <c r="E345" s="82">
        <v>52200</v>
      </c>
      <c r="F345" s="82" t="s">
        <v>70</v>
      </c>
      <c r="G345" s="62">
        <v>9364.0555599999989</v>
      </c>
      <c r="H345" s="62">
        <v>9038.6</v>
      </c>
      <c r="I345" s="62">
        <v>9399.7999999999993</v>
      </c>
    </row>
    <row r="346" spans="1:9" ht="25.5" x14ac:dyDescent="0.2">
      <c r="A346" s="18" t="s">
        <v>270</v>
      </c>
      <c r="B346" s="19" t="s">
        <v>43</v>
      </c>
      <c r="C346" s="19">
        <v>6</v>
      </c>
      <c r="D346" s="19" t="s">
        <v>463</v>
      </c>
      <c r="E346" s="19">
        <v>52500</v>
      </c>
      <c r="F346" s="19"/>
      <c r="G346" s="20">
        <v>53744</v>
      </c>
      <c r="H346" s="20">
        <v>53744</v>
      </c>
      <c r="I346" s="20">
        <v>53744</v>
      </c>
    </row>
    <row r="347" spans="1:9" ht="25.5" x14ac:dyDescent="0.2">
      <c r="A347" s="30" t="s">
        <v>466</v>
      </c>
      <c r="B347" s="24" t="s">
        <v>43</v>
      </c>
      <c r="C347" s="24">
        <v>6</v>
      </c>
      <c r="D347" s="24" t="s">
        <v>463</v>
      </c>
      <c r="E347" s="24">
        <v>52500</v>
      </c>
      <c r="F347" s="27" t="s">
        <v>68</v>
      </c>
      <c r="G347" s="25">
        <v>711</v>
      </c>
      <c r="H347" s="25">
        <v>711</v>
      </c>
      <c r="I347" s="25">
        <v>711</v>
      </c>
    </row>
    <row r="348" spans="1:9" x14ac:dyDescent="0.2">
      <c r="A348" s="28" t="s">
        <v>69</v>
      </c>
      <c r="B348" s="24" t="s">
        <v>43</v>
      </c>
      <c r="C348" s="24">
        <v>6</v>
      </c>
      <c r="D348" s="24" t="s">
        <v>463</v>
      </c>
      <c r="E348" s="24">
        <v>52500</v>
      </c>
      <c r="F348" s="24" t="s">
        <v>70</v>
      </c>
      <c r="G348" s="25">
        <v>53033</v>
      </c>
      <c r="H348" s="25">
        <v>53033</v>
      </c>
      <c r="I348" s="25">
        <v>53033</v>
      </c>
    </row>
    <row r="349" spans="1:9" ht="76.5" x14ac:dyDescent="0.2">
      <c r="A349" s="18" t="s">
        <v>278</v>
      </c>
      <c r="B349" s="19" t="s">
        <v>43</v>
      </c>
      <c r="C349" s="19">
        <v>6</v>
      </c>
      <c r="D349" s="19" t="s">
        <v>463</v>
      </c>
      <c r="E349" s="19">
        <v>52700</v>
      </c>
      <c r="F349" s="19"/>
      <c r="G349" s="20">
        <v>749</v>
      </c>
      <c r="H349" s="20">
        <v>309</v>
      </c>
      <c r="I349" s="20">
        <v>321</v>
      </c>
    </row>
    <row r="350" spans="1:9" s="79" customFormat="1" x14ac:dyDescent="0.2">
      <c r="A350" s="87" t="s">
        <v>69</v>
      </c>
      <c r="B350" s="82" t="s">
        <v>43</v>
      </c>
      <c r="C350" s="82">
        <v>6</v>
      </c>
      <c r="D350" s="82" t="s">
        <v>463</v>
      </c>
      <c r="E350" s="82">
        <v>52700</v>
      </c>
      <c r="F350" s="82" t="s">
        <v>70</v>
      </c>
      <c r="G350" s="62">
        <v>749</v>
      </c>
      <c r="H350" s="62">
        <v>309</v>
      </c>
      <c r="I350" s="62">
        <v>321</v>
      </c>
    </row>
    <row r="351" spans="1:9" ht="76.5" x14ac:dyDescent="0.2">
      <c r="A351" s="18" t="s">
        <v>271</v>
      </c>
      <c r="B351" s="19" t="s">
        <v>43</v>
      </c>
      <c r="C351" s="19">
        <v>6</v>
      </c>
      <c r="D351" s="19" t="s">
        <v>463</v>
      </c>
      <c r="E351" s="19">
        <v>52800</v>
      </c>
      <c r="F351" s="19"/>
      <c r="G351" s="20">
        <v>1.0000000000000004</v>
      </c>
      <c r="H351" s="20">
        <v>6</v>
      </c>
      <c r="I351" s="20">
        <v>6</v>
      </c>
    </row>
    <row r="352" spans="1:9" s="79" customFormat="1" ht="25.5" x14ac:dyDescent="0.2">
      <c r="A352" s="80" t="s">
        <v>466</v>
      </c>
      <c r="B352" s="82" t="s">
        <v>43</v>
      </c>
      <c r="C352" s="82">
        <v>6</v>
      </c>
      <c r="D352" s="82" t="s">
        <v>463</v>
      </c>
      <c r="E352" s="82">
        <v>52800</v>
      </c>
      <c r="F352" s="83" t="s">
        <v>68</v>
      </c>
      <c r="G352" s="62">
        <v>0.1</v>
      </c>
      <c r="H352" s="62">
        <v>0.1</v>
      </c>
      <c r="I352" s="62">
        <v>0.1</v>
      </c>
    </row>
    <row r="353" spans="1:9" s="79" customFormat="1" x14ac:dyDescent="0.2">
      <c r="A353" s="87" t="s">
        <v>69</v>
      </c>
      <c r="B353" s="82" t="s">
        <v>43</v>
      </c>
      <c r="C353" s="82">
        <v>6</v>
      </c>
      <c r="D353" s="82" t="s">
        <v>463</v>
      </c>
      <c r="E353" s="82">
        <v>52800</v>
      </c>
      <c r="F353" s="82" t="s">
        <v>70</v>
      </c>
      <c r="G353" s="62">
        <v>0.90000000000000036</v>
      </c>
      <c r="H353" s="62">
        <v>5.9</v>
      </c>
      <c r="I353" s="62">
        <v>5.9</v>
      </c>
    </row>
    <row r="354" spans="1:9" ht="89.25" x14ac:dyDescent="0.2">
      <c r="A354" s="18" t="s">
        <v>279</v>
      </c>
      <c r="B354" s="19" t="s">
        <v>43</v>
      </c>
      <c r="C354" s="19">
        <v>6</v>
      </c>
      <c r="D354" s="19" t="s">
        <v>463</v>
      </c>
      <c r="E354" s="19">
        <v>53800</v>
      </c>
      <c r="F354" s="19"/>
      <c r="G354" s="20">
        <v>52961</v>
      </c>
      <c r="H354" s="20">
        <v>58103</v>
      </c>
      <c r="I354" s="20">
        <v>60334</v>
      </c>
    </row>
    <row r="355" spans="1:9" ht="25.5" x14ac:dyDescent="0.2">
      <c r="A355" s="30" t="s">
        <v>466</v>
      </c>
      <c r="B355" s="19" t="s">
        <v>43</v>
      </c>
      <c r="C355" s="19">
        <v>6</v>
      </c>
      <c r="D355" s="19" t="s">
        <v>463</v>
      </c>
      <c r="E355" s="19">
        <v>53800</v>
      </c>
      <c r="F355" s="27" t="s">
        <v>68</v>
      </c>
      <c r="G355" s="25">
        <v>1</v>
      </c>
      <c r="H355" s="25">
        <v>1</v>
      </c>
      <c r="I355" s="25">
        <v>1</v>
      </c>
    </row>
    <row r="356" spans="1:9" s="79" customFormat="1" x14ac:dyDescent="0.2">
      <c r="A356" s="87" t="s">
        <v>69</v>
      </c>
      <c r="B356" s="77" t="s">
        <v>43</v>
      </c>
      <c r="C356" s="77">
        <v>6</v>
      </c>
      <c r="D356" s="77" t="s">
        <v>463</v>
      </c>
      <c r="E356" s="77">
        <v>53800</v>
      </c>
      <c r="F356" s="82" t="s">
        <v>70</v>
      </c>
      <c r="G356" s="25">
        <v>52960</v>
      </c>
      <c r="H356" s="25">
        <v>58102</v>
      </c>
      <c r="I356" s="25">
        <v>60333</v>
      </c>
    </row>
    <row r="357" spans="1:9" ht="63.75" x14ac:dyDescent="0.2">
      <c r="A357" s="18" t="s">
        <v>180</v>
      </c>
      <c r="B357" s="19" t="s">
        <v>43</v>
      </c>
      <c r="C357" s="19">
        <v>6</v>
      </c>
      <c r="D357" s="19" t="s">
        <v>463</v>
      </c>
      <c r="E357" s="19">
        <v>70010</v>
      </c>
      <c r="F357" s="19"/>
      <c r="G357" s="20">
        <v>26410</v>
      </c>
      <c r="H357" s="20">
        <v>26410</v>
      </c>
      <c r="I357" s="20">
        <v>26410</v>
      </c>
    </row>
    <row r="358" spans="1:9" s="9" customFormat="1" ht="25.5" x14ac:dyDescent="0.2">
      <c r="A358" s="30" t="s">
        <v>466</v>
      </c>
      <c r="B358" s="24" t="s">
        <v>43</v>
      </c>
      <c r="C358" s="24">
        <v>6</v>
      </c>
      <c r="D358" s="24" t="s">
        <v>463</v>
      </c>
      <c r="E358" s="24">
        <v>70010</v>
      </c>
      <c r="F358" s="27" t="s">
        <v>68</v>
      </c>
      <c r="G358" s="25">
        <v>260.3</v>
      </c>
      <c r="H358" s="25">
        <v>260.3</v>
      </c>
      <c r="I358" s="25">
        <v>260.3</v>
      </c>
    </row>
    <row r="359" spans="1:9" x14ac:dyDescent="0.2">
      <c r="A359" s="28" t="s">
        <v>69</v>
      </c>
      <c r="B359" s="24" t="s">
        <v>43</v>
      </c>
      <c r="C359" s="24">
        <v>6</v>
      </c>
      <c r="D359" s="24" t="s">
        <v>463</v>
      </c>
      <c r="E359" s="24">
        <v>70010</v>
      </c>
      <c r="F359" s="24" t="s">
        <v>70</v>
      </c>
      <c r="G359" s="25">
        <v>26149.7</v>
      </c>
      <c r="H359" s="25">
        <v>26149.7</v>
      </c>
      <c r="I359" s="25">
        <v>26149.7</v>
      </c>
    </row>
    <row r="360" spans="1:9" ht="127.5" x14ac:dyDescent="0.2">
      <c r="A360" s="18" t="s">
        <v>332</v>
      </c>
      <c r="B360" s="19" t="s">
        <v>43</v>
      </c>
      <c r="C360" s="19">
        <v>6</v>
      </c>
      <c r="D360" s="19" t="s">
        <v>463</v>
      </c>
      <c r="E360" s="19">
        <v>70020</v>
      </c>
      <c r="F360" s="19"/>
      <c r="G360" s="20">
        <v>1523</v>
      </c>
      <c r="H360" s="20">
        <v>1523</v>
      </c>
      <c r="I360" s="20">
        <v>1523</v>
      </c>
    </row>
    <row r="361" spans="1:9" ht="25.5" x14ac:dyDescent="0.2">
      <c r="A361" s="30" t="s">
        <v>466</v>
      </c>
      <c r="B361" s="24" t="s">
        <v>43</v>
      </c>
      <c r="C361" s="24">
        <v>6</v>
      </c>
      <c r="D361" s="24" t="s">
        <v>463</v>
      </c>
      <c r="E361" s="24">
        <v>70020</v>
      </c>
      <c r="F361" s="27" t="s">
        <v>68</v>
      </c>
      <c r="G361" s="25">
        <v>29.6</v>
      </c>
      <c r="H361" s="25">
        <v>29.6</v>
      </c>
      <c r="I361" s="25">
        <v>29.6</v>
      </c>
    </row>
    <row r="362" spans="1:9" s="79" customFormat="1" x14ac:dyDescent="0.2">
      <c r="A362" s="87" t="s">
        <v>69</v>
      </c>
      <c r="B362" s="82" t="s">
        <v>43</v>
      </c>
      <c r="C362" s="82">
        <v>6</v>
      </c>
      <c r="D362" s="82" t="s">
        <v>463</v>
      </c>
      <c r="E362" s="82">
        <v>70020</v>
      </c>
      <c r="F362" s="82" t="s">
        <v>70</v>
      </c>
      <c r="G362" s="25">
        <v>1493.4</v>
      </c>
      <c r="H362" s="25">
        <v>1493.4</v>
      </c>
      <c r="I362" s="25">
        <v>1493.4</v>
      </c>
    </row>
    <row r="363" spans="1:9" ht="63" customHeight="1" x14ac:dyDescent="0.2">
      <c r="A363" s="18" t="s">
        <v>456</v>
      </c>
      <c r="B363" s="19" t="s">
        <v>43</v>
      </c>
      <c r="C363" s="19">
        <v>6</v>
      </c>
      <c r="D363" s="19" t="s">
        <v>463</v>
      </c>
      <c r="E363" s="19">
        <v>70030</v>
      </c>
      <c r="F363" s="19"/>
      <c r="G363" s="62">
        <v>8604</v>
      </c>
      <c r="H363" s="62">
        <v>8604</v>
      </c>
      <c r="I363" s="62">
        <v>8604</v>
      </c>
    </row>
    <row r="364" spans="1:9" ht="25.5" x14ac:dyDescent="0.2">
      <c r="A364" s="30" t="s">
        <v>466</v>
      </c>
      <c r="B364" s="24" t="s">
        <v>43</v>
      </c>
      <c r="C364" s="24">
        <v>6</v>
      </c>
      <c r="D364" s="24" t="s">
        <v>463</v>
      </c>
      <c r="E364" s="24">
        <v>70030</v>
      </c>
      <c r="F364" s="27" t="s">
        <v>68</v>
      </c>
      <c r="G364" s="25">
        <v>107.3</v>
      </c>
      <c r="H364" s="25">
        <v>107.3</v>
      </c>
      <c r="I364" s="25">
        <v>107.3</v>
      </c>
    </row>
    <row r="365" spans="1:9" s="79" customFormat="1" x14ac:dyDescent="0.2">
      <c r="A365" s="87" t="s">
        <v>69</v>
      </c>
      <c r="B365" s="82" t="s">
        <v>43</v>
      </c>
      <c r="C365" s="82">
        <v>6</v>
      </c>
      <c r="D365" s="82" t="s">
        <v>463</v>
      </c>
      <c r="E365" s="82">
        <v>70030</v>
      </c>
      <c r="F365" s="82" t="s">
        <v>70</v>
      </c>
      <c r="G365" s="25">
        <v>8496.7000000000007</v>
      </c>
      <c r="H365" s="25">
        <v>8496.7000000000007</v>
      </c>
      <c r="I365" s="25">
        <v>8496.7000000000007</v>
      </c>
    </row>
    <row r="366" spans="1:9" ht="51" x14ac:dyDescent="0.2">
      <c r="A366" s="18" t="s">
        <v>182</v>
      </c>
      <c r="B366" s="19" t="s">
        <v>43</v>
      </c>
      <c r="C366" s="19">
        <v>6</v>
      </c>
      <c r="D366" s="19" t="s">
        <v>463</v>
      </c>
      <c r="E366" s="19">
        <v>70060</v>
      </c>
      <c r="F366" s="19"/>
      <c r="G366" s="20">
        <v>527.6</v>
      </c>
      <c r="H366" s="20">
        <v>502.59999999999997</v>
      </c>
      <c r="I366" s="20">
        <v>502.59999999999997</v>
      </c>
    </row>
    <row r="367" spans="1:9" ht="25.5" x14ac:dyDescent="0.2">
      <c r="A367" s="30" t="s">
        <v>466</v>
      </c>
      <c r="B367" s="24" t="s">
        <v>43</v>
      </c>
      <c r="C367" s="24">
        <v>6</v>
      </c>
      <c r="D367" s="24" t="s">
        <v>463</v>
      </c>
      <c r="E367" s="24">
        <v>70060</v>
      </c>
      <c r="F367" s="27" t="s">
        <v>68</v>
      </c>
      <c r="G367" s="25">
        <v>5.4</v>
      </c>
      <c r="H367" s="25">
        <v>4.9000000000000004</v>
      </c>
      <c r="I367" s="25">
        <v>4.9000000000000004</v>
      </c>
    </row>
    <row r="368" spans="1:9" x14ac:dyDescent="0.2">
      <c r="A368" s="28" t="s">
        <v>69</v>
      </c>
      <c r="B368" s="24" t="s">
        <v>43</v>
      </c>
      <c r="C368" s="24">
        <v>6</v>
      </c>
      <c r="D368" s="24" t="s">
        <v>463</v>
      </c>
      <c r="E368" s="24">
        <v>70060</v>
      </c>
      <c r="F368" s="24" t="s">
        <v>70</v>
      </c>
      <c r="G368" s="25">
        <v>522.20000000000005</v>
      </c>
      <c r="H368" s="25">
        <v>497.7</v>
      </c>
      <c r="I368" s="25">
        <v>497.7</v>
      </c>
    </row>
    <row r="369" spans="1:9" ht="51" x14ac:dyDescent="0.2">
      <c r="A369" s="18" t="s">
        <v>333</v>
      </c>
      <c r="B369" s="19" t="s">
        <v>43</v>
      </c>
      <c r="C369" s="19">
        <v>6</v>
      </c>
      <c r="D369" s="19" t="s">
        <v>463</v>
      </c>
      <c r="E369" s="19">
        <v>70070</v>
      </c>
      <c r="F369" s="19"/>
      <c r="G369" s="20">
        <v>9.9</v>
      </c>
      <c r="H369" s="20">
        <v>9.9</v>
      </c>
      <c r="I369" s="20">
        <v>9.9</v>
      </c>
    </row>
    <row r="370" spans="1:9" ht="25.5" x14ac:dyDescent="0.2">
      <c r="A370" s="30" t="s">
        <v>466</v>
      </c>
      <c r="B370" s="24" t="s">
        <v>43</v>
      </c>
      <c r="C370" s="24">
        <v>6</v>
      </c>
      <c r="D370" s="24" t="s">
        <v>463</v>
      </c>
      <c r="E370" s="24">
        <v>70070</v>
      </c>
      <c r="F370" s="27" t="s">
        <v>68</v>
      </c>
      <c r="G370" s="25">
        <v>0.1</v>
      </c>
      <c r="H370" s="25">
        <v>0.1</v>
      </c>
      <c r="I370" s="25">
        <v>0.1</v>
      </c>
    </row>
    <row r="371" spans="1:9" x14ac:dyDescent="0.2">
      <c r="A371" s="28" t="s">
        <v>69</v>
      </c>
      <c r="B371" s="24" t="s">
        <v>43</v>
      </c>
      <c r="C371" s="24">
        <v>6</v>
      </c>
      <c r="D371" s="24" t="s">
        <v>463</v>
      </c>
      <c r="E371" s="24">
        <v>70070</v>
      </c>
      <c r="F371" s="24" t="s">
        <v>70</v>
      </c>
      <c r="G371" s="25">
        <v>9.8000000000000007</v>
      </c>
      <c r="H371" s="25">
        <v>9.8000000000000007</v>
      </c>
      <c r="I371" s="25">
        <v>9.8000000000000007</v>
      </c>
    </row>
    <row r="372" spans="1:9" ht="51" x14ac:dyDescent="0.2">
      <c r="A372" s="18" t="s">
        <v>183</v>
      </c>
      <c r="B372" s="19" t="s">
        <v>43</v>
      </c>
      <c r="C372" s="19">
        <v>6</v>
      </c>
      <c r="D372" s="19" t="s">
        <v>463</v>
      </c>
      <c r="E372" s="19">
        <v>70080</v>
      </c>
      <c r="F372" s="19"/>
      <c r="G372" s="20">
        <v>409.9</v>
      </c>
      <c r="H372" s="20">
        <v>409.9</v>
      </c>
      <c r="I372" s="20">
        <v>409.9</v>
      </c>
    </row>
    <row r="373" spans="1:9" ht="25.5" x14ac:dyDescent="0.2">
      <c r="A373" s="30" t="s">
        <v>466</v>
      </c>
      <c r="B373" s="24" t="s">
        <v>43</v>
      </c>
      <c r="C373" s="24">
        <v>6</v>
      </c>
      <c r="D373" s="24" t="s">
        <v>463</v>
      </c>
      <c r="E373" s="24">
        <v>70080</v>
      </c>
      <c r="F373" s="27" t="s">
        <v>68</v>
      </c>
      <c r="G373" s="25">
        <v>5.5</v>
      </c>
      <c r="H373" s="25">
        <v>5.5</v>
      </c>
      <c r="I373" s="25">
        <v>5.5</v>
      </c>
    </row>
    <row r="374" spans="1:9" s="79" customFormat="1" x14ac:dyDescent="0.2">
      <c r="A374" s="87" t="s">
        <v>69</v>
      </c>
      <c r="B374" s="82" t="s">
        <v>43</v>
      </c>
      <c r="C374" s="82">
        <v>6</v>
      </c>
      <c r="D374" s="82" t="s">
        <v>463</v>
      </c>
      <c r="E374" s="82">
        <v>70080</v>
      </c>
      <c r="F374" s="82" t="s">
        <v>70</v>
      </c>
      <c r="G374" s="25">
        <v>404.4</v>
      </c>
      <c r="H374" s="25">
        <v>404.4</v>
      </c>
      <c r="I374" s="25">
        <v>404.4</v>
      </c>
    </row>
    <row r="375" spans="1:9" ht="25.5" x14ac:dyDescent="0.2">
      <c r="A375" s="18" t="s">
        <v>272</v>
      </c>
      <c r="B375" s="19" t="s">
        <v>43</v>
      </c>
      <c r="C375" s="19">
        <v>6</v>
      </c>
      <c r="D375" s="19" t="s">
        <v>463</v>
      </c>
      <c r="E375" s="19">
        <v>70090</v>
      </c>
      <c r="F375" s="19"/>
      <c r="G375" s="20">
        <v>94204</v>
      </c>
      <c r="H375" s="20">
        <v>94204</v>
      </c>
      <c r="I375" s="20">
        <v>94204</v>
      </c>
    </row>
    <row r="376" spans="1:9" ht="25.5" x14ac:dyDescent="0.2">
      <c r="A376" s="30" t="s">
        <v>466</v>
      </c>
      <c r="B376" s="24" t="s">
        <v>43</v>
      </c>
      <c r="C376" s="24">
        <v>6</v>
      </c>
      <c r="D376" s="24" t="s">
        <v>463</v>
      </c>
      <c r="E376" s="24">
        <v>70090</v>
      </c>
      <c r="F376" s="27" t="s">
        <v>68</v>
      </c>
      <c r="G376" s="25">
        <v>545</v>
      </c>
      <c r="H376" s="25">
        <v>545</v>
      </c>
      <c r="I376" s="25">
        <v>545</v>
      </c>
    </row>
    <row r="377" spans="1:9" s="79" customFormat="1" x14ac:dyDescent="0.2">
      <c r="A377" s="87" t="s">
        <v>69</v>
      </c>
      <c r="B377" s="82" t="s">
        <v>43</v>
      </c>
      <c r="C377" s="82">
        <v>6</v>
      </c>
      <c r="D377" s="82" t="s">
        <v>463</v>
      </c>
      <c r="E377" s="82">
        <v>70090</v>
      </c>
      <c r="F377" s="82" t="s">
        <v>70</v>
      </c>
      <c r="G377" s="25">
        <v>93659</v>
      </c>
      <c r="H377" s="25">
        <v>93659</v>
      </c>
      <c r="I377" s="25">
        <v>93659</v>
      </c>
    </row>
    <row r="378" spans="1:9" ht="114.75" x14ac:dyDescent="0.2">
      <c r="A378" s="18" t="s">
        <v>334</v>
      </c>
      <c r="B378" s="19" t="s">
        <v>43</v>
      </c>
      <c r="C378" s="19">
        <v>6</v>
      </c>
      <c r="D378" s="19" t="s">
        <v>463</v>
      </c>
      <c r="E378" s="19">
        <v>70100</v>
      </c>
      <c r="F378" s="19"/>
      <c r="G378" s="20">
        <v>1.2</v>
      </c>
      <c r="H378" s="20">
        <v>1.2</v>
      </c>
      <c r="I378" s="20">
        <v>1.2</v>
      </c>
    </row>
    <row r="379" spans="1:9" x14ac:dyDescent="0.2">
      <c r="A379" s="28" t="s">
        <v>69</v>
      </c>
      <c r="B379" s="24" t="s">
        <v>43</v>
      </c>
      <c r="C379" s="24">
        <v>6</v>
      </c>
      <c r="D379" s="24" t="s">
        <v>463</v>
      </c>
      <c r="E379" s="24">
        <v>70100</v>
      </c>
      <c r="F379" s="24" t="s">
        <v>70</v>
      </c>
      <c r="G379" s="25">
        <v>1.2</v>
      </c>
      <c r="H379" s="25">
        <v>1.2</v>
      </c>
      <c r="I379" s="25">
        <v>1.2</v>
      </c>
    </row>
    <row r="380" spans="1:9" ht="63" customHeight="1" x14ac:dyDescent="0.2">
      <c r="A380" s="18" t="s">
        <v>273</v>
      </c>
      <c r="B380" s="19" t="s">
        <v>43</v>
      </c>
      <c r="C380" s="19">
        <v>6</v>
      </c>
      <c r="D380" s="19" t="s">
        <v>463</v>
      </c>
      <c r="E380" s="19">
        <v>70190</v>
      </c>
      <c r="F380" s="19"/>
      <c r="G380" s="20">
        <v>32</v>
      </c>
      <c r="H380" s="20">
        <v>32</v>
      </c>
      <c r="I380" s="20">
        <v>32</v>
      </c>
    </row>
    <row r="381" spans="1:9" s="79" customFormat="1" ht="51" x14ac:dyDescent="0.2">
      <c r="A381" s="80" t="s">
        <v>66</v>
      </c>
      <c r="B381" s="82" t="s">
        <v>43</v>
      </c>
      <c r="C381" s="82">
        <v>6</v>
      </c>
      <c r="D381" s="82" t="s">
        <v>463</v>
      </c>
      <c r="E381" s="82">
        <v>70190</v>
      </c>
      <c r="F381" s="82" t="s">
        <v>67</v>
      </c>
      <c r="G381" s="62">
        <v>32</v>
      </c>
      <c r="H381" s="62">
        <v>32</v>
      </c>
      <c r="I381" s="62">
        <v>32</v>
      </c>
    </row>
    <row r="382" spans="1:9" s="79" customFormat="1" ht="38.25" x14ac:dyDescent="0.2">
      <c r="A382" s="75" t="s">
        <v>335</v>
      </c>
      <c r="B382" s="77" t="s">
        <v>43</v>
      </c>
      <c r="C382" s="77">
        <v>6</v>
      </c>
      <c r="D382" s="77" t="s">
        <v>463</v>
      </c>
      <c r="E382" s="77">
        <v>80040</v>
      </c>
      <c r="F382" s="77"/>
      <c r="G382" s="78">
        <v>19480</v>
      </c>
      <c r="H382" s="78">
        <v>19730</v>
      </c>
      <c r="I382" s="78">
        <v>19730</v>
      </c>
    </row>
    <row r="383" spans="1:9" ht="25.5" x14ac:dyDescent="0.2">
      <c r="A383" s="30" t="s">
        <v>466</v>
      </c>
      <c r="B383" s="24" t="s">
        <v>43</v>
      </c>
      <c r="C383" s="24">
        <v>6</v>
      </c>
      <c r="D383" s="24" t="s">
        <v>463</v>
      </c>
      <c r="E383" s="24">
        <v>80040</v>
      </c>
      <c r="F383" s="27" t="s">
        <v>68</v>
      </c>
      <c r="G383" s="25">
        <v>287</v>
      </c>
      <c r="H383" s="25">
        <v>287</v>
      </c>
      <c r="I383" s="25">
        <v>287</v>
      </c>
    </row>
    <row r="384" spans="1:9" s="79" customFormat="1" x14ac:dyDescent="0.2">
      <c r="A384" s="87" t="s">
        <v>69</v>
      </c>
      <c r="B384" s="82" t="s">
        <v>43</v>
      </c>
      <c r="C384" s="82">
        <v>6</v>
      </c>
      <c r="D384" s="82" t="s">
        <v>463</v>
      </c>
      <c r="E384" s="82">
        <v>80040</v>
      </c>
      <c r="F384" s="82" t="s">
        <v>70</v>
      </c>
      <c r="G384" s="25">
        <v>19193</v>
      </c>
      <c r="H384" s="25">
        <v>19443</v>
      </c>
      <c r="I384" s="25">
        <v>19443</v>
      </c>
    </row>
    <row r="385" spans="1:9" ht="38.25" x14ac:dyDescent="0.2">
      <c r="A385" s="18" t="s">
        <v>336</v>
      </c>
      <c r="B385" s="19" t="s">
        <v>43</v>
      </c>
      <c r="C385" s="19">
        <v>6</v>
      </c>
      <c r="D385" s="19" t="s">
        <v>463</v>
      </c>
      <c r="E385" s="19">
        <v>80050</v>
      </c>
      <c r="F385" s="19"/>
      <c r="G385" s="20">
        <v>29684</v>
      </c>
      <c r="H385" s="20">
        <v>29684</v>
      </c>
      <c r="I385" s="20">
        <v>29684</v>
      </c>
    </row>
    <row r="386" spans="1:9" ht="25.5" x14ac:dyDescent="0.2">
      <c r="A386" s="30" t="s">
        <v>466</v>
      </c>
      <c r="B386" s="24" t="s">
        <v>43</v>
      </c>
      <c r="C386" s="24">
        <v>6</v>
      </c>
      <c r="D386" s="24" t="s">
        <v>463</v>
      </c>
      <c r="E386" s="24">
        <v>80050</v>
      </c>
      <c r="F386" s="27" t="s">
        <v>68</v>
      </c>
      <c r="G386" s="25">
        <v>1</v>
      </c>
      <c r="H386" s="25">
        <v>1</v>
      </c>
      <c r="I386" s="25">
        <v>1</v>
      </c>
    </row>
    <row r="387" spans="1:9" x14ac:dyDescent="0.2">
      <c r="A387" s="28" t="s">
        <v>69</v>
      </c>
      <c r="B387" s="24" t="s">
        <v>43</v>
      </c>
      <c r="C387" s="24">
        <v>6</v>
      </c>
      <c r="D387" s="24" t="s">
        <v>463</v>
      </c>
      <c r="E387" s="24">
        <v>80050</v>
      </c>
      <c r="F387" s="24" t="s">
        <v>70</v>
      </c>
      <c r="G387" s="25">
        <v>29683</v>
      </c>
      <c r="H387" s="25">
        <v>29683</v>
      </c>
      <c r="I387" s="25">
        <v>29683</v>
      </c>
    </row>
    <row r="388" spans="1:9" s="9" customFormat="1" ht="51" x14ac:dyDescent="0.2">
      <c r="A388" s="18" t="s">
        <v>275</v>
      </c>
      <c r="B388" s="19" t="s">
        <v>43</v>
      </c>
      <c r="C388" s="19">
        <v>6</v>
      </c>
      <c r="D388" s="19" t="s">
        <v>463</v>
      </c>
      <c r="E388" s="19">
        <v>80070</v>
      </c>
      <c r="F388" s="19"/>
      <c r="G388" s="20">
        <v>86</v>
      </c>
      <c r="H388" s="20">
        <v>86</v>
      </c>
      <c r="I388" s="20">
        <v>86</v>
      </c>
    </row>
    <row r="389" spans="1:9" ht="25.5" x14ac:dyDescent="0.2">
      <c r="A389" s="30" t="s">
        <v>466</v>
      </c>
      <c r="B389" s="24" t="s">
        <v>43</v>
      </c>
      <c r="C389" s="24">
        <v>6</v>
      </c>
      <c r="D389" s="24" t="s">
        <v>463</v>
      </c>
      <c r="E389" s="24">
        <v>80070</v>
      </c>
      <c r="F389" s="27" t="s">
        <v>68</v>
      </c>
      <c r="G389" s="25">
        <v>1.3</v>
      </c>
      <c r="H389" s="25">
        <v>1.3</v>
      </c>
      <c r="I389" s="25">
        <v>1.3</v>
      </c>
    </row>
    <row r="390" spans="1:9" x14ac:dyDescent="0.2">
      <c r="A390" s="28" t="s">
        <v>69</v>
      </c>
      <c r="B390" s="24" t="s">
        <v>43</v>
      </c>
      <c r="C390" s="24">
        <v>6</v>
      </c>
      <c r="D390" s="24" t="s">
        <v>463</v>
      </c>
      <c r="E390" s="24">
        <v>80070</v>
      </c>
      <c r="F390" s="24" t="s">
        <v>70</v>
      </c>
      <c r="G390" s="25">
        <v>84.7</v>
      </c>
      <c r="H390" s="25">
        <v>84.7</v>
      </c>
      <c r="I390" s="25">
        <v>84.7</v>
      </c>
    </row>
    <row r="391" spans="1:9" ht="63.75" x14ac:dyDescent="0.2">
      <c r="A391" s="18" t="s">
        <v>342</v>
      </c>
      <c r="B391" s="19" t="s">
        <v>43</v>
      </c>
      <c r="C391" s="19">
        <v>6</v>
      </c>
      <c r="D391" s="19" t="s">
        <v>463</v>
      </c>
      <c r="E391" s="19">
        <v>80080</v>
      </c>
      <c r="F391" s="19"/>
      <c r="G391" s="20">
        <v>1133</v>
      </c>
      <c r="H391" s="20">
        <v>1153</v>
      </c>
      <c r="I391" s="20">
        <v>1153</v>
      </c>
    </row>
    <row r="392" spans="1:9" ht="25.5" x14ac:dyDescent="0.2">
      <c r="A392" s="30" t="s">
        <v>466</v>
      </c>
      <c r="B392" s="24" t="s">
        <v>43</v>
      </c>
      <c r="C392" s="24">
        <v>6</v>
      </c>
      <c r="D392" s="24" t="s">
        <v>463</v>
      </c>
      <c r="E392" s="24">
        <v>80080</v>
      </c>
      <c r="F392" s="27" t="s">
        <v>68</v>
      </c>
      <c r="G392" s="25">
        <v>6.5</v>
      </c>
      <c r="H392" s="25">
        <v>6.5</v>
      </c>
      <c r="I392" s="25">
        <v>6.5</v>
      </c>
    </row>
    <row r="393" spans="1:9" x14ac:dyDescent="0.2">
      <c r="A393" s="28" t="s">
        <v>69</v>
      </c>
      <c r="B393" s="24" t="s">
        <v>43</v>
      </c>
      <c r="C393" s="24">
        <v>6</v>
      </c>
      <c r="D393" s="24" t="s">
        <v>463</v>
      </c>
      <c r="E393" s="24">
        <v>80080</v>
      </c>
      <c r="F393" s="24" t="s">
        <v>70</v>
      </c>
      <c r="G393" s="25">
        <v>1126.5</v>
      </c>
      <c r="H393" s="25">
        <v>1146.5</v>
      </c>
      <c r="I393" s="25">
        <v>1146.5</v>
      </c>
    </row>
    <row r="394" spans="1:9" s="79" customFormat="1" ht="38.25" x14ac:dyDescent="0.2">
      <c r="A394" s="75" t="s">
        <v>276</v>
      </c>
      <c r="B394" s="77" t="s">
        <v>43</v>
      </c>
      <c r="C394" s="77">
        <v>6</v>
      </c>
      <c r="D394" s="77" t="s">
        <v>463</v>
      </c>
      <c r="E394" s="77">
        <v>80090</v>
      </c>
      <c r="F394" s="77"/>
      <c r="G394" s="78">
        <v>411.00000000000006</v>
      </c>
      <c r="H394" s="78">
        <v>392</v>
      </c>
      <c r="I394" s="78">
        <v>392</v>
      </c>
    </row>
    <row r="395" spans="1:9" s="79" customFormat="1" ht="25.5" x14ac:dyDescent="0.2">
      <c r="A395" s="80" t="s">
        <v>466</v>
      </c>
      <c r="B395" s="82" t="s">
        <v>43</v>
      </c>
      <c r="C395" s="82">
        <v>6</v>
      </c>
      <c r="D395" s="82" t="s">
        <v>463</v>
      </c>
      <c r="E395" s="82">
        <v>80090</v>
      </c>
      <c r="F395" s="83" t="s">
        <v>68</v>
      </c>
      <c r="G395" s="62">
        <v>7.8000000000000007</v>
      </c>
      <c r="H395" s="62">
        <v>7.4</v>
      </c>
      <c r="I395" s="62">
        <v>7.4</v>
      </c>
    </row>
    <row r="396" spans="1:9" s="79" customFormat="1" x14ac:dyDescent="0.2">
      <c r="A396" s="87" t="s">
        <v>69</v>
      </c>
      <c r="B396" s="82" t="s">
        <v>43</v>
      </c>
      <c r="C396" s="82">
        <v>6</v>
      </c>
      <c r="D396" s="82" t="s">
        <v>463</v>
      </c>
      <c r="E396" s="82">
        <v>80090</v>
      </c>
      <c r="F396" s="82" t="s">
        <v>70</v>
      </c>
      <c r="G396" s="62">
        <v>403.20000000000005</v>
      </c>
      <c r="H396" s="62">
        <v>384.6</v>
      </c>
      <c r="I396" s="62">
        <v>384.6</v>
      </c>
    </row>
    <row r="397" spans="1:9" ht="89.25" x14ac:dyDescent="0.2">
      <c r="A397" s="18" t="s">
        <v>457</v>
      </c>
      <c r="B397" s="19" t="s">
        <v>43</v>
      </c>
      <c r="C397" s="19">
        <v>6</v>
      </c>
      <c r="D397" s="19" t="s">
        <v>463</v>
      </c>
      <c r="E397" s="19">
        <v>80100</v>
      </c>
      <c r="F397" s="19"/>
      <c r="G397" s="20">
        <v>99211</v>
      </c>
      <c r="H397" s="20">
        <v>99211</v>
      </c>
      <c r="I397" s="20">
        <v>99211</v>
      </c>
    </row>
    <row r="398" spans="1:9" ht="25.5" x14ac:dyDescent="0.2">
      <c r="A398" s="30" t="s">
        <v>466</v>
      </c>
      <c r="B398" s="24" t="s">
        <v>43</v>
      </c>
      <c r="C398" s="24">
        <v>6</v>
      </c>
      <c r="D398" s="24" t="s">
        <v>463</v>
      </c>
      <c r="E398" s="24">
        <v>80100</v>
      </c>
      <c r="F398" s="27" t="s">
        <v>68</v>
      </c>
      <c r="G398" s="25">
        <v>931</v>
      </c>
      <c r="H398" s="25">
        <v>931</v>
      </c>
      <c r="I398" s="25">
        <v>931</v>
      </c>
    </row>
    <row r="399" spans="1:9" s="79" customFormat="1" x14ac:dyDescent="0.2">
      <c r="A399" s="87" t="s">
        <v>69</v>
      </c>
      <c r="B399" s="82" t="s">
        <v>43</v>
      </c>
      <c r="C399" s="82">
        <v>6</v>
      </c>
      <c r="D399" s="82" t="s">
        <v>463</v>
      </c>
      <c r="E399" s="82">
        <v>80100</v>
      </c>
      <c r="F399" s="82" t="s">
        <v>70</v>
      </c>
      <c r="G399" s="25">
        <v>98280</v>
      </c>
      <c r="H399" s="25">
        <v>98280</v>
      </c>
      <c r="I399" s="25">
        <v>98280</v>
      </c>
    </row>
    <row r="400" spans="1:9" s="79" customFormat="1" ht="63.75" x14ac:dyDescent="0.2">
      <c r="A400" s="75" t="s">
        <v>452</v>
      </c>
      <c r="B400" s="77" t="s">
        <v>43</v>
      </c>
      <c r="C400" s="77">
        <v>6</v>
      </c>
      <c r="D400" s="77" t="s">
        <v>463</v>
      </c>
      <c r="E400" s="77">
        <v>80110</v>
      </c>
      <c r="F400" s="77"/>
      <c r="G400" s="78">
        <v>1455</v>
      </c>
      <c r="H400" s="78">
        <v>1656</v>
      </c>
      <c r="I400" s="78">
        <v>1656</v>
      </c>
    </row>
    <row r="401" spans="1:9" s="79" customFormat="1" ht="25.5" x14ac:dyDescent="0.2">
      <c r="A401" s="80" t="s">
        <v>466</v>
      </c>
      <c r="B401" s="82" t="s">
        <v>43</v>
      </c>
      <c r="C401" s="82">
        <v>6</v>
      </c>
      <c r="D401" s="82" t="s">
        <v>463</v>
      </c>
      <c r="E401" s="82">
        <v>80110</v>
      </c>
      <c r="F401" s="83" t="s">
        <v>68</v>
      </c>
      <c r="G401" s="62">
        <v>25</v>
      </c>
      <c r="H401" s="62">
        <v>25</v>
      </c>
      <c r="I401" s="62">
        <v>25</v>
      </c>
    </row>
    <row r="402" spans="1:9" s="79" customFormat="1" x14ac:dyDescent="0.2">
      <c r="A402" s="87" t="s">
        <v>69</v>
      </c>
      <c r="B402" s="82" t="s">
        <v>43</v>
      </c>
      <c r="C402" s="82">
        <v>6</v>
      </c>
      <c r="D402" s="82" t="s">
        <v>463</v>
      </c>
      <c r="E402" s="82">
        <v>80110</v>
      </c>
      <c r="F402" s="82" t="s">
        <v>70</v>
      </c>
      <c r="G402" s="62">
        <v>1163.4000000000001</v>
      </c>
      <c r="H402" s="62">
        <v>1364.4</v>
      </c>
      <c r="I402" s="62">
        <v>1364.4</v>
      </c>
    </row>
    <row r="403" spans="1:9" s="79" customFormat="1" x14ac:dyDescent="0.2">
      <c r="A403" s="87" t="s">
        <v>72</v>
      </c>
      <c r="B403" s="82" t="s">
        <v>43</v>
      </c>
      <c r="C403" s="82">
        <v>6</v>
      </c>
      <c r="D403" s="82" t="s">
        <v>463</v>
      </c>
      <c r="E403" s="82">
        <v>80110</v>
      </c>
      <c r="F403" s="82" t="s">
        <v>73</v>
      </c>
      <c r="G403" s="62">
        <v>266.60000000000002</v>
      </c>
      <c r="H403" s="62">
        <v>266.60000000000002</v>
      </c>
      <c r="I403" s="62">
        <v>266.60000000000002</v>
      </c>
    </row>
    <row r="404" spans="1:9" ht="38.25" x14ac:dyDescent="0.2">
      <c r="A404" s="54" t="s">
        <v>338</v>
      </c>
      <c r="B404" s="19" t="s">
        <v>43</v>
      </c>
      <c r="C404" s="19">
        <v>6</v>
      </c>
      <c r="D404" s="19" t="s">
        <v>463</v>
      </c>
      <c r="E404" s="19" t="s">
        <v>541</v>
      </c>
      <c r="F404" s="19"/>
      <c r="G404" s="20">
        <v>205</v>
      </c>
      <c r="H404" s="20">
        <v>213</v>
      </c>
      <c r="I404" s="20">
        <v>222</v>
      </c>
    </row>
    <row r="405" spans="1:9" ht="25.5" x14ac:dyDescent="0.2">
      <c r="A405" s="30" t="s">
        <v>466</v>
      </c>
      <c r="B405" s="24" t="s">
        <v>43</v>
      </c>
      <c r="C405" s="24">
        <v>6</v>
      </c>
      <c r="D405" s="24" t="s">
        <v>463</v>
      </c>
      <c r="E405" s="24" t="s">
        <v>541</v>
      </c>
      <c r="F405" s="27" t="s">
        <v>68</v>
      </c>
      <c r="G405" s="25">
        <v>205</v>
      </c>
      <c r="H405" s="25">
        <v>213</v>
      </c>
      <c r="I405" s="25">
        <v>222</v>
      </c>
    </row>
    <row r="406" spans="1:9" s="79" customFormat="1" x14ac:dyDescent="0.2">
      <c r="A406" s="154" t="s">
        <v>540</v>
      </c>
      <c r="B406" s="153" t="s">
        <v>43</v>
      </c>
      <c r="C406" s="152" t="s">
        <v>538</v>
      </c>
      <c r="D406" s="152"/>
      <c r="E406" s="152"/>
      <c r="F406" s="152"/>
      <c r="G406" s="151">
        <v>480</v>
      </c>
      <c r="H406" s="151">
        <v>0</v>
      </c>
      <c r="I406" s="151">
        <v>0</v>
      </c>
    </row>
    <row r="407" spans="1:9" x14ac:dyDescent="0.2">
      <c r="A407" s="18" t="s">
        <v>177</v>
      </c>
      <c r="B407" s="19" t="s">
        <v>43</v>
      </c>
      <c r="C407" s="19" t="s">
        <v>538</v>
      </c>
      <c r="D407" s="19" t="s">
        <v>463</v>
      </c>
      <c r="E407" s="19" t="s">
        <v>539</v>
      </c>
      <c r="F407" s="19"/>
      <c r="G407" s="20">
        <v>450</v>
      </c>
      <c r="H407" s="20">
        <v>0</v>
      </c>
      <c r="I407" s="20">
        <v>0</v>
      </c>
    </row>
    <row r="408" spans="1:9" ht="25.5" x14ac:dyDescent="0.2">
      <c r="A408" s="30" t="s">
        <v>466</v>
      </c>
      <c r="B408" s="24" t="s">
        <v>43</v>
      </c>
      <c r="C408" s="24" t="s">
        <v>538</v>
      </c>
      <c r="D408" s="24" t="s">
        <v>463</v>
      </c>
      <c r="E408" s="24" t="s">
        <v>539</v>
      </c>
      <c r="F408" s="27" t="s">
        <v>68</v>
      </c>
      <c r="G408" s="20">
        <v>60</v>
      </c>
      <c r="H408" s="20">
        <v>0</v>
      </c>
      <c r="I408" s="20">
        <v>0</v>
      </c>
    </row>
    <row r="409" spans="1:9" s="79" customFormat="1" x14ac:dyDescent="0.2">
      <c r="A409" s="87" t="s">
        <v>69</v>
      </c>
      <c r="B409" s="82" t="s">
        <v>43</v>
      </c>
      <c r="C409" s="82" t="s">
        <v>538</v>
      </c>
      <c r="D409" s="82" t="s">
        <v>463</v>
      </c>
      <c r="E409" s="82" t="s">
        <v>539</v>
      </c>
      <c r="F409" s="83" t="s">
        <v>70</v>
      </c>
      <c r="G409" s="20">
        <v>390</v>
      </c>
      <c r="H409" s="20">
        <v>0</v>
      </c>
      <c r="I409" s="20">
        <v>0</v>
      </c>
    </row>
    <row r="410" spans="1:9" x14ac:dyDescent="0.2">
      <c r="A410" s="75" t="s">
        <v>429</v>
      </c>
      <c r="B410" s="19" t="s">
        <v>43</v>
      </c>
      <c r="C410" s="19" t="s">
        <v>538</v>
      </c>
      <c r="D410" s="19" t="s">
        <v>463</v>
      </c>
      <c r="E410" s="19" t="s">
        <v>537</v>
      </c>
      <c r="F410" s="19"/>
      <c r="G410" s="20">
        <v>30</v>
      </c>
      <c r="H410" s="20">
        <v>0</v>
      </c>
      <c r="I410" s="20">
        <v>0</v>
      </c>
    </row>
    <row r="411" spans="1:9" ht="25.5" x14ac:dyDescent="0.2">
      <c r="A411" s="30" t="s">
        <v>466</v>
      </c>
      <c r="B411" s="24" t="s">
        <v>43</v>
      </c>
      <c r="C411" s="24" t="s">
        <v>538</v>
      </c>
      <c r="D411" s="24" t="s">
        <v>463</v>
      </c>
      <c r="E411" s="24" t="s">
        <v>537</v>
      </c>
      <c r="F411" s="27" t="s">
        <v>68</v>
      </c>
      <c r="G411" s="20">
        <v>30</v>
      </c>
      <c r="H411" s="20">
        <v>0</v>
      </c>
      <c r="I411" s="20">
        <v>0</v>
      </c>
    </row>
    <row r="412" spans="1:9" ht="38.25" x14ac:dyDescent="0.2">
      <c r="A412" s="40" t="s">
        <v>536</v>
      </c>
      <c r="B412" s="41" t="s">
        <v>26</v>
      </c>
      <c r="C412" s="41"/>
      <c r="D412" s="41"/>
      <c r="E412" s="41"/>
      <c r="F412" s="41"/>
      <c r="G412" s="39">
        <v>73466.999999999985</v>
      </c>
      <c r="H412" s="39">
        <v>63001</v>
      </c>
      <c r="I412" s="39">
        <v>62189</v>
      </c>
    </row>
    <row r="413" spans="1:9" x14ac:dyDescent="0.2">
      <c r="A413" s="28" t="s">
        <v>683</v>
      </c>
      <c r="B413" s="19" t="s">
        <v>26</v>
      </c>
      <c r="C413" s="19" t="s">
        <v>464</v>
      </c>
      <c r="D413" s="19" t="s">
        <v>535</v>
      </c>
      <c r="E413" s="8"/>
      <c r="F413" s="8"/>
      <c r="G413" s="4">
        <v>2800</v>
      </c>
      <c r="H413" s="4">
        <v>0</v>
      </c>
      <c r="I413" s="4">
        <v>0</v>
      </c>
    </row>
    <row r="414" spans="1:9" ht="38.25" x14ac:dyDescent="0.2">
      <c r="A414" s="18" t="s">
        <v>444</v>
      </c>
      <c r="B414" s="19" t="s">
        <v>26</v>
      </c>
      <c r="C414" s="19">
        <v>0</v>
      </c>
      <c r="D414" s="19" t="s">
        <v>535</v>
      </c>
      <c r="E414" s="19" t="s">
        <v>534</v>
      </c>
      <c r="F414" s="19"/>
      <c r="G414" s="20">
        <v>2800</v>
      </c>
      <c r="H414" s="20">
        <v>0</v>
      </c>
      <c r="I414" s="20">
        <v>0</v>
      </c>
    </row>
    <row r="415" spans="1:9" ht="25.5" x14ac:dyDescent="0.2">
      <c r="A415" s="28" t="s">
        <v>141</v>
      </c>
      <c r="B415" s="24" t="s">
        <v>26</v>
      </c>
      <c r="C415" s="24">
        <v>0</v>
      </c>
      <c r="D415" s="19" t="s">
        <v>535</v>
      </c>
      <c r="E415" s="24" t="s">
        <v>534</v>
      </c>
      <c r="F415" s="24" t="s">
        <v>65</v>
      </c>
      <c r="G415" s="25">
        <v>2800</v>
      </c>
      <c r="H415" s="25">
        <v>0</v>
      </c>
      <c r="I415" s="25">
        <v>0</v>
      </c>
    </row>
    <row r="416" spans="1:9" s="79" customFormat="1" ht="25.5" x14ac:dyDescent="0.2">
      <c r="A416" s="75" t="s">
        <v>191</v>
      </c>
      <c r="B416" s="77" t="s">
        <v>26</v>
      </c>
      <c r="C416" s="77">
        <v>0</v>
      </c>
      <c r="D416" s="77" t="s">
        <v>463</v>
      </c>
      <c r="E416" s="77" t="s">
        <v>533</v>
      </c>
      <c r="F416" s="77"/>
      <c r="G416" s="78">
        <v>15395.400000000001</v>
      </c>
      <c r="H416" s="78">
        <v>13695</v>
      </c>
      <c r="I416" s="78">
        <v>13302.199999999999</v>
      </c>
    </row>
    <row r="417" spans="1:9" s="79" customFormat="1" ht="25.5" x14ac:dyDescent="0.2">
      <c r="A417" s="87" t="s">
        <v>141</v>
      </c>
      <c r="B417" s="82" t="s">
        <v>26</v>
      </c>
      <c r="C417" s="82">
        <v>0</v>
      </c>
      <c r="D417" s="82" t="s">
        <v>463</v>
      </c>
      <c r="E417" s="82" t="s">
        <v>533</v>
      </c>
      <c r="F417" s="82" t="s">
        <v>65</v>
      </c>
      <c r="G417" s="62">
        <v>15395.400000000001</v>
      </c>
      <c r="H417" s="62">
        <v>13695</v>
      </c>
      <c r="I417" s="62">
        <v>13302.199999999999</v>
      </c>
    </row>
    <row r="418" spans="1:9" s="9" customFormat="1" ht="25.5" x14ac:dyDescent="0.2">
      <c r="A418" s="18" t="s">
        <v>191</v>
      </c>
      <c r="B418" s="19" t="s">
        <v>26</v>
      </c>
      <c r="C418" s="19">
        <v>0</v>
      </c>
      <c r="D418" s="19" t="s">
        <v>463</v>
      </c>
      <c r="E418" s="19" t="s">
        <v>532</v>
      </c>
      <c r="F418" s="19"/>
      <c r="G418" s="20">
        <v>1346.8</v>
      </c>
      <c r="H418" s="20">
        <v>1021.5</v>
      </c>
      <c r="I418" s="20">
        <v>1021.5</v>
      </c>
    </row>
    <row r="419" spans="1:9" ht="51" x14ac:dyDescent="0.2">
      <c r="A419" s="30" t="s">
        <v>66</v>
      </c>
      <c r="B419" s="24" t="s">
        <v>26</v>
      </c>
      <c r="C419" s="24">
        <v>0</v>
      </c>
      <c r="D419" s="24" t="s">
        <v>463</v>
      </c>
      <c r="E419" s="24" t="s">
        <v>532</v>
      </c>
      <c r="F419" s="27" t="s">
        <v>67</v>
      </c>
      <c r="G419" s="25">
        <v>1304.8</v>
      </c>
      <c r="H419" s="25">
        <v>969.5</v>
      </c>
      <c r="I419" s="25">
        <v>969.5</v>
      </c>
    </row>
    <row r="420" spans="1:9" ht="25.5" x14ac:dyDescent="0.2">
      <c r="A420" s="30" t="s">
        <v>466</v>
      </c>
      <c r="B420" s="24" t="s">
        <v>26</v>
      </c>
      <c r="C420" s="24">
        <v>0</v>
      </c>
      <c r="D420" s="24" t="s">
        <v>463</v>
      </c>
      <c r="E420" s="24" t="s">
        <v>532</v>
      </c>
      <c r="F420" s="27" t="s">
        <v>68</v>
      </c>
      <c r="G420" s="25">
        <v>42</v>
      </c>
      <c r="H420" s="25">
        <v>52</v>
      </c>
      <c r="I420" s="25">
        <v>52</v>
      </c>
    </row>
    <row r="421" spans="1:9" s="9" customFormat="1" ht="25.5" x14ac:dyDescent="0.2">
      <c r="A421" s="18" t="s">
        <v>191</v>
      </c>
      <c r="B421" s="19" t="s">
        <v>26</v>
      </c>
      <c r="C421" s="19">
        <v>0</v>
      </c>
      <c r="D421" s="19" t="s">
        <v>463</v>
      </c>
      <c r="E421" s="19" t="s">
        <v>531</v>
      </c>
      <c r="F421" s="19"/>
      <c r="G421" s="20">
        <v>3824.9</v>
      </c>
      <c r="H421" s="20">
        <v>3229</v>
      </c>
      <c r="I421" s="20">
        <v>3229</v>
      </c>
    </row>
    <row r="422" spans="1:9" ht="25.5" x14ac:dyDescent="0.2">
      <c r="A422" s="87" t="s">
        <v>141</v>
      </c>
      <c r="B422" s="24" t="s">
        <v>26</v>
      </c>
      <c r="C422" s="24">
        <v>0</v>
      </c>
      <c r="D422" s="24" t="s">
        <v>463</v>
      </c>
      <c r="E422" s="24" t="s">
        <v>531</v>
      </c>
      <c r="F422" s="27" t="s">
        <v>65</v>
      </c>
      <c r="G422" s="25">
        <v>3824.9</v>
      </c>
      <c r="H422" s="25">
        <v>3229</v>
      </c>
      <c r="I422" s="25">
        <v>3229</v>
      </c>
    </row>
    <row r="423" spans="1:9" ht="25.5" x14ac:dyDescent="0.2">
      <c r="A423" s="18" t="s">
        <v>195</v>
      </c>
      <c r="B423" s="19" t="s">
        <v>26</v>
      </c>
      <c r="C423" s="19">
        <v>0</v>
      </c>
      <c r="D423" s="19" t="s">
        <v>463</v>
      </c>
      <c r="E423" s="19" t="s">
        <v>530</v>
      </c>
      <c r="F423" s="19"/>
      <c r="G423" s="20">
        <v>370</v>
      </c>
      <c r="H423" s="20">
        <v>370</v>
      </c>
      <c r="I423" s="20">
        <v>370</v>
      </c>
    </row>
    <row r="424" spans="1:9" ht="51" x14ac:dyDescent="0.2">
      <c r="A424" s="30" t="s">
        <v>66</v>
      </c>
      <c r="B424" s="24" t="s">
        <v>26</v>
      </c>
      <c r="C424" s="24">
        <v>0</v>
      </c>
      <c r="D424" s="24" t="s">
        <v>463</v>
      </c>
      <c r="E424" s="24" t="s">
        <v>530</v>
      </c>
      <c r="F424" s="27" t="s">
        <v>67</v>
      </c>
      <c r="G424" s="20">
        <v>42</v>
      </c>
      <c r="H424" s="20">
        <v>0</v>
      </c>
      <c r="I424" s="20">
        <v>0</v>
      </c>
    </row>
    <row r="425" spans="1:9" s="9" customFormat="1" ht="25.5" x14ac:dyDescent="0.2">
      <c r="A425" s="30" t="s">
        <v>466</v>
      </c>
      <c r="B425" s="24" t="s">
        <v>26</v>
      </c>
      <c r="C425" s="24">
        <v>0</v>
      </c>
      <c r="D425" s="24" t="s">
        <v>463</v>
      </c>
      <c r="E425" s="24" t="s">
        <v>530</v>
      </c>
      <c r="F425" s="27" t="s">
        <v>68</v>
      </c>
      <c r="G425" s="25">
        <v>328</v>
      </c>
      <c r="H425" s="25">
        <v>370</v>
      </c>
      <c r="I425" s="25">
        <v>370</v>
      </c>
    </row>
    <row r="426" spans="1:9" ht="38.25" x14ac:dyDescent="0.2">
      <c r="A426" s="18" t="s">
        <v>193</v>
      </c>
      <c r="B426" s="19" t="s">
        <v>26</v>
      </c>
      <c r="C426" s="19">
        <v>0</v>
      </c>
      <c r="D426" s="19" t="s">
        <v>463</v>
      </c>
      <c r="E426" s="19" t="s">
        <v>529</v>
      </c>
      <c r="F426" s="19"/>
      <c r="G426" s="20">
        <v>200</v>
      </c>
      <c r="H426" s="20">
        <v>200</v>
      </c>
      <c r="I426" s="20">
        <v>200</v>
      </c>
    </row>
    <row r="427" spans="1:9" ht="25.5" x14ac:dyDescent="0.2">
      <c r="A427" s="30" t="s">
        <v>466</v>
      </c>
      <c r="B427" s="24" t="s">
        <v>26</v>
      </c>
      <c r="C427" s="24">
        <v>0</v>
      </c>
      <c r="D427" s="24" t="s">
        <v>463</v>
      </c>
      <c r="E427" s="24" t="s">
        <v>529</v>
      </c>
      <c r="F427" s="27" t="s">
        <v>68</v>
      </c>
      <c r="G427" s="25">
        <v>200</v>
      </c>
      <c r="H427" s="25">
        <v>200</v>
      </c>
      <c r="I427" s="25">
        <v>200</v>
      </c>
    </row>
    <row r="428" spans="1:9" ht="25.5" x14ac:dyDescent="0.2">
      <c r="A428" s="18" t="s">
        <v>357</v>
      </c>
      <c r="B428" s="19" t="s">
        <v>26</v>
      </c>
      <c r="C428" s="19">
        <v>0</v>
      </c>
      <c r="D428" s="19" t="s">
        <v>463</v>
      </c>
      <c r="E428" s="19" t="s">
        <v>528</v>
      </c>
      <c r="F428" s="19"/>
      <c r="G428" s="20">
        <v>48737.899999999994</v>
      </c>
      <c r="H428" s="20">
        <v>44485.5</v>
      </c>
      <c r="I428" s="20">
        <v>44066.3</v>
      </c>
    </row>
    <row r="429" spans="1:9" s="79" customFormat="1" ht="25.5" x14ac:dyDescent="0.2">
      <c r="A429" s="87" t="s">
        <v>141</v>
      </c>
      <c r="B429" s="82" t="s">
        <v>26</v>
      </c>
      <c r="C429" s="82">
        <v>0</v>
      </c>
      <c r="D429" s="82" t="s">
        <v>463</v>
      </c>
      <c r="E429" s="82" t="s">
        <v>528</v>
      </c>
      <c r="F429" s="83" t="s">
        <v>65</v>
      </c>
      <c r="G429" s="62">
        <v>48737.899999999994</v>
      </c>
      <c r="H429" s="62">
        <v>44485.5</v>
      </c>
      <c r="I429" s="62">
        <v>44066.3</v>
      </c>
    </row>
    <row r="430" spans="1:9" s="79" customFormat="1" x14ac:dyDescent="0.2">
      <c r="A430" s="18" t="s">
        <v>714</v>
      </c>
      <c r="B430" s="19" t="s">
        <v>26</v>
      </c>
      <c r="C430" s="19">
        <v>0</v>
      </c>
      <c r="D430" s="19" t="s">
        <v>463</v>
      </c>
      <c r="E430" s="82" t="s">
        <v>729</v>
      </c>
      <c r="F430" s="82"/>
      <c r="G430" s="62">
        <v>720</v>
      </c>
      <c r="H430" s="62">
        <v>0</v>
      </c>
      <c r="I430" s="62">
        <v>0</v>
      </c>
    </row>
    <row r="431" spans="1:9" s="79" customFormat="1" ht="25.5" x14ac:dyDescent="0.2">
      <c r="A431" s="28" t="s">
        <v>141</v>
      </c>
      <c r="B431" s="82" t="s">
        <v>26</v>
      </c>
      <c r="C431" s="82">
        <v>0</v>
      </c>
      <c r="D431" s="82" t="s">
        <v>463</v>
      </c>
      <c r="E431" s="82" t="s">
        <v>729</v>
      </c>
      <c r="F431" s="82" t="s">
        <v>65</v>
      </c>
      <c r="G431" s="62">
        <v>720</v>
      </c>
      <c r="H431" s="62">
        <v>0</v>
      </c>
      <c r="I431" s="62">
        <v>0</v>
      </c>
    </row>
    <row r="432" spans="1:9" s="79" customFormat="1" x14ac:dyDescent="0.2">
      <c r="A432" s="18" t="s">
        <v>714</v>
      </c>
      <c r="B432" s="19" t="s">
        <v>26</v>
      </c>
      <c r="C432" s="19">
        <v>0</v>
      </c>
      <c r="D432" s="19" t="s">
        <v>463</v>
      </c>
      <c r="E432" s="82" t="s">
        <v>715</v>
      </c>
      <c r="F432" s="82"/>
      <c r="G432" s="62">
        <v>72</v>
      </c>
      <c r="H432" s="62">
        <v>0</v>
      </c>
      <c r="I432" s="62">
        <v>0</v>
      </c>
    </row>
    <row r="433" spans="1:12" s="79" customFormat="1" ht="25.5" x14ac:dyDescent="0.2">
      <c r="A433" s="28" t="s">
        <v>141</v>
      </c>
      <c r="B433" s="82" t="s">
        <v>26</v>
      </c>
      <c r="C433" s="82">
        <v>0</v>
      </c>
      <c r="D433" s="82" t="s">
        <v>463</v>
      </c>
      <c r="E433" s="82" t="s">
        <v>715</v>
      </c>
      <c r="F433" s="82" t="s">
        <v>65</v>
      </c>
      <c r="G433" s="62">
        <v>72</v>
      </c>
      <c r="H433" s="62">
        <v>0</v>
      </c>
      <c r="I433" s="62">
        <v>0</v>
      </c>
    </row>
    <row r="434" spans="1:12" ht="51" x14ac:dyDescent="0.2">
      <c r="A434" s="156" t="s">
        <v>527</v>
      </c>
      <c r="B434" s="41" t="s">
        <v>51</v>
      </c>
      <c r="C434" s="41"/>
      <c r="D434" s="41"/>
      <c r="E434" s="41"/>
      <c r="F434" s="160"/>
      <c r="G434" s="39">
        <v>150759.80000000002</v>
      </c>
      <c r="H434" s="39">
        <v>10613</v>
      </c>
      <c r="I434" s="39">
        <v>7769</v>
      </c>
    </row>
    <row r="435" spans="1:12" s="79" customFormat="1" ht="25.5" x14ac:dyDescent="0.2">
      <c r="A435" s="159" t="s">
        <v>526</v>
      </c>
      <c r="B435" s="152" t="s">
        <v>51</v>
      </c>
      <c r="C435" s="152" t="s">
        <v>507</v>
      </c>
      <c r="D435" s="152"/>
      <c r="E435" s="152"/>
      <c r="F435" s="158"/>
      <c r="G435" s="151">
        <v>12148.3</v>
      </c>
      <c r="H435" s="151">
        <v>5844</v>
      </c>
      <c r="I435" s="151">
        <v>3000</v>
      </c>
    </row>
    <row r="436" spans="1:12" ht="25.5" x14ac:dyDescent="0.2">
      <c r="A436" s="18" t="s">
        <v>391</v>
      </c>
      <c r="B436" s="19" t="s">
        <v>51</v>
      </c>
      <c r="C436" s="19" t="s">
        <v>507</v>
      </c>
      <c r="D436" s="19" t="s">
        <v>463</v>
      </c>
      <c r="E436" s="19" t="s">
        <v>668</v>
      </c>
      <c r="F436" s="242"/>
      <c r="G436" s="20">
        <v>6975</v>
      </c>
      <c r="H436" s="20">
        <v>0</v>
      </c>
      <c r="I436" s="20">
        <v>0</v>
      </c>
    </row>
    <row r="437" spans="1:12" s="26" customFormat="1" ht="25.5" x14ac:dyDescent="0.2">
      <c r="A437" s="28" t="s">
        <v>76</v>
      </c>
      <c r="B437" s="24" t="s">
        <v>51</v>
      </c>
      <c r="C437" s="24" t="s">
        <v>507</v>
      </c>
      <c r="D437" s="24" t="s">
        <v>463</v>
      </c>
      <c r="E437" s="24" t="s">
        <v>668</v>
      </c>
      <c r="F437" s="27" t="s">
        <v>68</v>
      </c>
      <c r="G437" s="25">
        <v>6975</v>
      </c>
      <c r="H437" s="25">
        <v>0</v>
      </c>
      <c r="I437" s="25">
        <v>0</v>
      </c>
    </row>
    <row r="438" spans="1:12" s="26" customFormat="1" ht="25.5" x14ac:dyDescent="0.2">
      <c r="A438" s="18" t="s">
        <v>391</v>
      </c>
      <c r="B438" s="19" t="s">
        <v>51</v>
      </c>
      <c r="C438" s="19" t="s">
        <v>507</v>
      </c>
      <c r="D438" s="19" t="s">
        <v>463</v>
      </c>
      <c r="E438" s="19" t="s">
        <v>704</v>
      </c>
      <c r="F438" s="242"/>
      <c r="G438" s="25">
        <v>775</v>
      </c>
      <c r="H438" s="25">
        <v>0</v>
      </c>
      <c r="I438" s="25">
        <v>0</v>
      </c>
    </row>
    <row r="439" spans="1:12" s="26" customFormat="1" ht="25.5" x14ac:dyDescent="0.2">
      <c r="A439" s="28" t="s">
        <v>76</v>
      </c>
      <c r="B439" s="24" t="s">
        <v>51</v>
      </c>
      <c r="C439" s="24" t="s">
        <v>507</v>
      </c>
      <c r="D439" s="24" t="s">
        <v>463</v>
      </c>
      <c r="E439" s="19" t="s">
        <v>704</v>
      </c>
      <c r="F439" s="27" t="s">
        <v>68</v>
      </c>
      <c r="G439" s="25">
        <v>775</v>
      </c>
      <c r="H439" s="25">
        <v>0</v>
      </c>
      <c r="I439" s="25">
        <v>0</v>
      </c>
    </row>
    <row r="440" spans="1:12" ht="25.5" x14ac:dyDescent="0.2">
      <c r="A440" s="18" t="s">
        <v>689</v>
      </c>
      <c r="B440" s="19" t="s">
        <v>51</v>
      </c>
      <c r="C440" s="19" t="s">
        <v>507</v>
      </c>
      <c r="D440" s="19" t="s">
        <v>463</v>
      </c>
      <c r="E440" s="19" t="s">
        <v>690</v>
      </c>
      <c r="F440" s="242"/>
      <c r="G440" s="20">
        <v>375</v>
      </c>
      <c r="H440" s="20">
        <v>0</v>
      </c>
      <c r="I440" s="20">
        <v>0</v>
      </c>
    </row>
    <row r="441" spans="1:12" s="26" customFormat="1" ht="25.5" x14ac:dyDescent="0.2">
      <c r="A441" s="28" t="s">
        <v>76</v>
      </c>
      <c r="B441" s="24" t="s">
        <v>51</v>
      </c>
      <c r="C441" s="24" t="s">
        <v>507</v>
      </c>
      <c r="D441" s="24" t="s">
        <v>463</v>
      </c>
      <c r="E441" s="24" t="s">
        <v>690</v>
      </c>
      <c r="F441" s="27" t="s">
        <v>68</v>
      </c>
      <c r="G441" s="25">
        <v>375</v>
      </c>
      <c r="H441" s="25">
        <v>0</v>
      </c>
      <c r="I441" s="25">
        <v>0</v>
      </c>
    </row>
    <row r="442" spans="1:12" s="74" customFormat="1" ht="25.5" x14ac:dyDescent="0.2">
      <c r="A442" s="75" t="s">
        <v>297</v>
      </c>
      <c r="B442" s="77">
        <v>10</v>
      </c>
      <c r="C442" s="77">
        <v>1</v>
      </c>
      <c r="D442" s="77" t="s">
        <v>463</v>
      </c>
      <c r="E442" s="77" t="s">
        <v>525</v>
      </c>
      <c r="F442" s="77"/>
      <c r="G442" s="78">
        <v>2536</v>
      </c>
      <c r="H442" s="78">
        <v>5844</v>
      </c>
      <c r="I442" s="78">
        <v>3000</v>
      </c>
    </row>
    <row r="443" spans="1:12" s="12" customFormat="1" ht="25.5" x14ac:dyDescent="0.2">
      <c r="A443" s="30" t="s">
        <v>466</v>
      </c>
      <c r="B443" s="24">
        <v>10</v>
      </c>
      <c r="C443" s="24">
        <v>1</v>
      </c>
      <c r="D443" s="24" t="s">
        <v>463</v>
      </c>
      <c r="E443" s="24" t="s">
        <v>525</v>
      </c>
      <c r="F443" s="24" t="s">
        <v>68</v>
      </c>
      <c r="G443" s="25">
        <v>2536</v>
      </c>
      <c r="H443" s="25">
        <v>5844</v>
      </c>
      <c r="I443" s="25">
        <v>3000</v>
      </c>
    </row>
    <row r="444" spans="1:12" s="79" customFormat="1" x14ac:dyDescent="0.2">
      <c r="A444" s="89" t="s">
        <v>356</v>
      </c>
      <c r="B444" s="77">
        <v>10</v>
      </c>
      <c r="C444" s="77">
        <v>1</v>
      </c>
      <c r="D444" s="77" t="s">
        <v>463</v>
      </c>
      <c r="E444" s="77" t="s">
        <v>524</v>
      </c>
      <c r="F444" s="77"/>
      <c r="G444" s="78">
        <v>1487.2999999999997</v>
      </c>
      <c r="H444" s="78">
        <v>0</v>
      </c>
      <c r="I444" s="78">
        <v>0</v>
      </c>
    </row>
    <row r="445" spans="1:12" s="79" customFormat="1" ht="25.5" x14ac:dyDescent="0.2">
      <c r="A445" s="80" t="s">
        <v>466</v>
      </c>
      <c r="B445" s="82">
        <v>10</v>
      </c>
      <c r="C445" s="82">
        <v>1</v>
      </c>
      <c r="D445" s="82" t="s">
        <v>463</v>
      </c>
      <c r="E445" s="82" t="s">
        <v>524</v>
      </c>
      <c r="F445" s="82" t="s">
        <v>68</v>
      </c>
      <c r="G445" s="62">
        <v>1487.2999999999997</v>
      </c>
      <c r="H445" s="62">
        <v>0</v>
      </c>
      <c r="I445" s="62">
        <v>0</v>
      </c>
    </row>
    <row r="446" spans="1:12" s="26" customFormat="1" ht="51" x14ac:dyDescent="0.2">
      <c r="A446" s="150" t="s">
        <v>523</v>
      </c>
      <c r="B446" s="149" t="s">
        <v>51</v>
      </c>
      <c r="C446" s="149" t="s">
        <v>502</v>
      </c>
      <c r="D446" s="149"/>
      <c r="E446" s="149"/>
      <c r="F446" s="149"/>
      <c r="G446" s="148">
        <v>5099.4000000000005</v>
      </c>
      <c r="H446" s="148">
        <v>0</v>
      </c>
      <c r="I446" s="148">
        <v>0</v>
      </c>
      <c r="J446" s="237"/>
      <c r="K446" s="237"/>
      <c r="L446" s="237"/>
    </row>
    <row r="447" spans="1:12" ht="38.25" x14ac:dyDescent="0.2">
      <c r="A447" s="18" t="s">
        <v>317</v>
      </c>
      <c r="B447" s="19">
        <v>10</v>
      </c>
      <c r="C447" s="19">
        <v>2</v>
      </c>
      <c r="D447" s="19" t="s">
        <v>463</v>
      </c>
      <c r="E447" s="19" t="s">
        <v>522</v>
      </c>
      <c r="F447" s="19"/>
      <c r="G447" s="20">
        <v>5099.4000000000005</v>
      </c>
      <c r="H447" s="20">
        <v>0</v>
      </c>
      <c r="I447" s="20">
        <v>0</v>
      </c>
    </row>
    <row r="448" spans="1:12" s="26" customFormat="1" ht="25.5" x14ac:dyDescent="0.2">
      <c r="A448" s="28" t="s">
        <v>141</v>
      </c>
      <c r="B448" s="24">
        <v>10</v>
      </c>
      <c r="C448" s="24">
        <v>2</v>
      </c>
      <c r="D448" s="24" t="s">
        <v>463</v>
      </c>
      <c r="E448" s="24" t="s">
        <v>522</v>
      </c>
      <c r="F448" s="24" t="s">
        <v>65</v>
      </c>
      <c r="G448" s="25">
        <v>5099.4000000000005</v>
      </c>
      <c r="H448" s="25">
        <v>0</v>
      </c>
      <c r="I448" s="25">
        <v>0</v>
      </c>
    </row>
    <row r="449" spans="1:9" s="157" customFormat="1" ht="39" x14ac:dyDescent="0.25">
      <c r="A449" s="150" t="s">
        <v>521</v>
      </c>
      <c r="B449" s="149" t="s">
        <v>51</v>
      </c>
      <c r="C449" s="149" t="s">
        <v>498</v>
      </c>
      <c r="D449" s="149"/>
      <c r="E449" s="149"/>
      <c r="F449" s="149"/>
      <c r="G449" s="148">
        <v>127058.6</v>
      </c>
      <c r="H449" s="148">
        <v>0</v>
      </c>
      <c r="I449" s="148">
        <v>0</v>
      </c>
    </row>
    <row r="450" spans="1:9" ht="52.5" customHeight="1" x14ac:dyDescent="0.2">
      <c r="A450" s="18" t="s">
        <v>520</v>
      </c>
      <c r="B450" s="19">
        <v>10</v>
      </c>
      <c r="C450" s="19">
        <v>3</v>
      </c>
      <c r="D450" s="19" t="s">
        <v>463</v>
      </c>
      <c r="E450" s="19" t="s">
        <v>519</v>
      </c>
      <c r="F450" s="19"/>
      <c r="G450" s="20">
        <v>74230.400000000009</v>
      </c>
      <c r="H450" s="20">
        <v>0</v>
      </c>
      <c r="I450" s="20">
        <v>0</v>
      </c>
    </row>
    <row r="451" spans="1:9" s="79" customFormat="1" x14ac:dyDescent="0.2">
      <c r="A451" s="87" t="s">
        <v>72</v>
      </c>
      <c r="B451" s="82">
        <v>10</v>
      </c>
      <c r="C451" s="82">
        <v>3</v>
      </c>
      <c r="D451" s="82" t="s">
        <v>463</v>
      </c>
      <c r="E451" s="82" t="s">
        <v>519</v>
      </c>
      <c r="F451" s="82" t="s">
        <v>73</v>
      </c>
      <c r="G451" s="62">
        <v>74230.400000000009</v>
      </c>
      <c r="H451" s="62">
        <v>0</v>
      </c>
      <c r="I451" s="62">
        <v>0</v>
      </c>
    </row>
    <row r="452" spans="1:9" ht="63.75" x14ac:dyDescent="0.2">
      <c r="A452" s="18" t="s">
        <v>518</v>
      </c>
      <c r="B452" s="19">
        <v>10</v>
      </c>
      <c r="C452" s="19">
        <v>3</v>
      </c>
      <c r="D452" s="19" t="s">
        <v>463</v>
      </c>
      <c r="E452" s="19" t="s">
        <v>517</v>
      </c>
      <c r="F452" s="19"/>
      <c r="G452" s="20">
        <v>14244.7</v>
      </c>
      <c r="H452" s="20">
        <v>0</v>
      </c>
      <c r="I452" s="20">
        <v>0</v>
      </c>
    </row>
    <row r="453" spans="1:9" x14ac:dyDescent="0.2">
      <c r="A453" s="28" t="s">
        <v>72</v>
      </c>
      <c r="B453" s="24">
        <v>10</v>
      </c>
      <c r="C453" s="24">
        <v>3</v>
      </c>
      <c r="D453" s="24" t="s">
        <v>463</v>
      </c>
      <c r="E453" s="24" t="s">
        <v>517</v>
      </c>
      <c r="F453" s="24" t="s">
        <v>73</v>
      </c>
      <c r="G453" s="25">
        <v>14244.7</v>
      </c>
      <c r="H453" s="25">
        <v>0</v>
      </c>
      <c r="I453" s="25">
        <v>0</v>
      </c>
    </row>
    <row r="454" spans="1:9" ht="38.25" x14ac:dyDescent="0.2">
      <c r="A454" s="18" t="s">
        <v>307</v>
      </c>
      <c r="B454" s="19">
        <v>10</v>
      </c>
      <c r="C454" s="19">
        <v>3</v>
      </c>
      <c r="D454" s="19" t="s">
        <v>463</v>
      </c>
      <c r="E454" s="19" t="s">
        <v>516</v>
      </c>
      <c r="F454" s="19"/>
      <c r="G454" s="20">
        <v>2657.7</v>
      </c>
      <c r="H454" s="20">
        <v>0</v>
      </c>
      <c r="I454" s="20">
        <v>0</v>
      </c>
    </row>
    <row r="455" spans="1:9" x14ac:dyDescent="0.2">
      <c r="A455" s="28" t="s">
        <v>72</v>
      </c>
      <c r="B455" s="24">
        <v>10</v>
      </c>
      <c r="C455" s="24">
        <v>3</v>
      </c>
      <c r="D455" s="24" t="s">
        <v>463</v>
      </c>
      <c r="E455" s="24" t="s">
        <v>516</v>
      </c>
      <c r="F455" s="24" t="s">
        <v>73</v>
      </c>
      <c r="G455" s="25">
        <v>2657.7</v>
      </c>
      <c r="H455" s="25">
        <v>0</v>
      </c>
      <c r="I455" s="25">
        <v>0</v>
      </c>
    </row>
    <row r="456" spans="1:9" ht="40.5" customHeight="1" x14ac:dyDescent="0.2">
      <c r="A456" s="18" t="s">
        <v>427</v>
      </c>
      <c r="B456" s="19">
        <v>10</v>
      </c>
      <c r="C456" s="19">
        <v>3</v>
      </c>
      <c r="D456" s="19" t="s">
        <v>463</v>
      </c>
      <c r="E456" s="19" t="s">
        <v>515</v>
      </c>
      <c r="F456" s="19"/>
      <c r="G456" s="20">
        <v>35925.800000000003</v>
      </c>
      <c r="H456" s="20">
        <v>0</v>
      </c>
      <c r="I456" s="20">
        <v>0</v>
      </c>
    </row>
    <row r="457" spans="1:9" s="79" customFormat="1" x14ac:dyDescent="0.2">
      <c r="A457" s="87" t="s">
        <v>72</v>
      </c>
      <c r="B457" s="82">
        <v>10</v>
      </c>
      <c r="C457" s="82">
        <v>3</v>
      </c>
      <c r="D457" s="82" t="s">
        <v>463</v>
      </c>
      <c r="E457" s="82" t="s">
        <v>515</v>
      </c>
      <c r="F457" s="82" t="s">
        <v>73</v>
      </c>
      <c r="G457" s="62">
        <v>35925.800000000003</v>
      </c>
      <c r="H457" s="62">
        <v>0</v>
      </c>
      <c r="I457" s="62">
        <v>0</v>
      </c>
    </row>
    <row r="458" spans="1:9" s="79" customFormat="1" ht="25.5" x14ac:dyDescent="0.2">
      <c r="A458" s="154" t="s">
        <v>514</v>
      </c>
      <c r="B458" s="152" t="s">
        <v>51</v>
      </c>
      <c r="C458" s="152" t="s">
        <v>495</v>
      </c>
      <c r="D458" s="152"/>
      <c r="E458" s="152"/>
      <c r="F458" s="152"/>
      <c r="G458" s="151">
        <v>6303.5</v>
      </c>
      <c r="H458" s="151">
        <v>4769</v>
      </c>
      <c r="I458" s="151">
        <v>4769</v>
      </c>
    </row>
    <row r="459" spans="1:9" ht="25.5" x14ac:dyDescent="0.2">
      <c r="A459" s="18" t="s">
        <v>319</v>
      </c>
      <c r="B459" s="19">
        <v>10</v>
      </c>
      <c r="C459" s="19">
        <v>4</v>
      </c>
      <c r="D459" s="19" t="s">
        <v>463</v>
      </c>
      <c r="E459" s="19" t="s">
        <v>513</v>
      </c>
      <c r="F459" s="19"/>
      <c r="G459" s="20">
        <v>6303.5</v>
      </c>
      <c r="H459" s="20">
        <v>4769</v>
      </c>
      <c r="I459" s="20">
        <v>4769</v>
      </c>
    </row>
    <row r="460" spans="1:9" ht="51" x14ac:dyDescent="0.2">
      <c r="A460" s="30" t="s">
        <v>66</v>
      </c>
      <c r="B460" s="24">
        <v>10</v>
      </c>
      <c r="C460" s="24">
        <v>4</v>
      </c>
      <c r="D460" s="24" t="s">
        <v>463</v>
      </c>
      <c r="E460" s="24" t="s">
        <v>513</v>
      </c>
      <c r="F460" s="24" t="s">
        <v>67</v>
      </c>
      <c r="G460" s="25">
        <v>5860.9</v>
      </c>
      <c r="H460" s="25">
        <v>4351.3999999999996</v>
      </c>
      <c r="I460" s="25">
        <v>4351.3999999999996</v>
      </c>
    </row>
    <row r="461" spans="1:9" ht="25.5" x14ac:dyDescent="0.2">
      <c r="A461" s="30" t="s">
        <v>466</v>
      </c>
      <c r="B461" s="24">
        <v>10</v>
      </c>
      <c r="C461" s="24">
        <v>4</v>
      </c>
      <c r="D461" s="24" t="s">
        <v>463</v>
      </c>
      <c r="E461" s="24" t="s">
        <v>513</v>
      </c>
      <c r="F461" s="24" t="s">
        <v>68</v>
      </c>
      <c r="G461" s="25">
        <v>442.6</v>
      </c>
      <c r="H461" s="25">
        <v>417.6</v>
      </c>
      <c r="I461" s="25">
        <v>417.6</v>
      </c>
    </row>
    <row r="462" spans="1:9" ht="25.5" x14ac:dyDescent="0.2">
      <c r="A462" s="150" t="s">
        <v>512</v>
      </c>
      <c r="B462" s="149" t="s">
        <v>51</v>
      </c>
      <c r="C462" s="149" t="s">
        <v>492</v>
      </c>
      <c r="D462" s="149"/>
      <c r="E462" s="149"/>
      <c r="F462" s="149"/>
      <c r="G462" s="148">
        <v>150</v>
      </c>
      <c r="H462" s="148">
        <v>0</v>
      </c>
      <c r="I462" s="148">
        <v>0</v>
      </c>
    </row>
    <row r="463" spans="1:9" ht="25.5" x14ac:dyDescent="0.2">
      <c r="A463" s="18" t="s">
        <v>511</v>
      </c>
      <c r="B463" s="19">
        <v>10</v>
      </c>
      <c r="C463" s="19" t="s">
        <v>492</v>
      </c>
      <c r="D463" s="19" t="s">
        <v>463</v>
      </c>
      <c r="E463" s="19" t="s">
        <v>510</v>
      </c>
      <c r="F463" s="19"/>
      <c r="G463" s="20">
        <v>150</v>
      </c>
      <c r="H463" s="20">
        <v>0</v>
      </c>
      <c r="I463" s="20">
        <v>0</v>
      </c>
    </row>
    <row r="464" spans="1:9" ht="25.5" x14ac:dyDescent="0.2">
      <c r="A464" s="30" t="s">
        <v>466</v>
      </c>
      <c r="B464" s="24">
        <v>10</v>
      </c>
      <c r="C464" s="24" t="s">
        <v>492</v>
      </c>
      <c r="D464" s="24" t="s">
        <v>463</v>
      </c>
      <c r="E464" s="24" t="s">
        <v>510</v>
      </c>
      <c r="F464" s="24" t="s">
        <v>68</v>
      </c>
      <c r="G464" s="25">
        <v>150</v>
      </c>
      <c r="H464" s="25">
        <v>0</v>
      </c>
      <c r="I464" s="25">
        <v>0</v>
      </c>
    </row>
    <row r="465" spans="1:9" ht="38.25" x14ac:dyDescent="0.2">
      <c r="A465" s="156" t="s">
        <v>509</v>
      </c>
      <c r="B465" s="41" t="s">
        <v>21</v>
      </c>
      <c r="C465" s="41"/>
      <c r="D465" s="41"/>
      <c r="E465" s="41"/>
      <c r="F465" s="41"/>
      <c r="G465" s="39">
        <v>265752.13581999997</v>
      </c>
      <c r="H465" s="39">
        <v>30955.8</v>
      </c>
      <c r="I465" s="39">
        <v>33232.6</v>
      </c>
    </row>
    <row r="466" spans="1:9" ht="25.5" x14ac:dyDescent="0.2">
      <c r="A466" s="155" t="s">
        <v>508</v>
      </c>
      <c r="B466" s="149" t="s">
        <v>21</v>
      </c>
      <c r="C466" s="149" t="s">
        <v>507</v>
      </c>
      <c r="D466" s="149"/>
      <c r="E466" s="149"/>
      <c r="F466" s="149"/>
      <c r="G466" s="148">
        <v>217899.33581999998</v>
      </c>
      <c r="H466" s="148">
        <v>17273</v>
      </c>
      <c r="I466" s="148">
        <v>19729</v>
      </c>
    </row>
    <row r="467" spans="1:9" ht="63.75" x14ac:dyDescent="0.2">
      <c r="A467" s="18" t="s">
        <v>383</v>
      </c>
      <c r="B467" s="19">
        <v>11</v>
      </c>
      <c r="C467" s="19">
        <v>1</v>
      </c>
      <c r="D467" s="19" t="s">
        <v>463</v>
      </c>
      <c r="E467" s="19" t="s">
        <v>506</v>
      </c>
      <c r="F467" s="19"/>
      <c r="G467" s="20">
        <v>109287.13582</v>
      </c>
      <c r="H467" s="20">
        <v>0</v>
      </c>
      <c r="I467" s="20">
        <v>0</v>
      </c>
    </row>
    <row r="468" spans="1:9" ht="25.5" x14ac:dyDescent="0.2">
      <c r="A468" s="28" t="s">
        <v>141</v>
      </c>
      <c r="B468" s="24">
        <v>11</v>
      </c>
      <c r="C468" s="24">
        <v>1</v>
      </c>
      <c r="D468" s="24" t="s">
        <v>463</v>
      </c>
      <c r="E468" s="24" t="s">
        <v>506</v>
      </c>
      <c r="F468" s="24" t="s">
        <v>65</v>
      </c>
      <c r="G468" s="25">
        <v>109287.13582</v>
      </c>
      <c r="H468" s="25">
        <v>0</v>
      </c>
      <c r="I468" s="25">
        <v>0</v>
      </c>
    </row>
    <row r="469" spans="1:9" ht="63.75" x14ac:dyDescent="0.2">
      <c r="A469" s="18" t="s">
        <v>383</v>
      </c>
      <c r="B469" s="19">
        <v>11</v>
      </c>
      <c r="C469" s="19">
        <v>1</v>
      </c>
      <c r="D469" s="19" t="s">
        <v>463</v>
      </c>
      <c r="E469" s="19" t="s">
        <v>505</v>
      </c>
      <c r="F469" s="19"/>
      <c r="G469" s="20">
        <v>8282.2000000000007</v>
      </c>
      <c r="H469" s="20">
        <v>0</v>
      </c>
      <c r="I469" s="20">
        <v>0</v>
      </c>
    </row>
    <row r="470" spans="1:9" ht="25.5" x14ac:dyDescent="0.2">
      <c r="A470" s="28" t="s">
        <v>141</v>
      </c>
      <c r="B470" s="24">
        <v>11</v>
      </c>
      <c r="C470" s="24">
        <v>1</v>
      </c>
      <c r="D470" s="24" t="s">
        <v>463</v>
      </c>
      <c r="E470" s="24" t="s">
        <v>505</v>
      </c>
      <c r="F470" s="24" t="s">
        <v>65</v>
      </c>
      <c r="G470" s="25">
        <v>8282.2000000000007</v>
      </c>
      <c r="H470" s="25">
        <v>0</v>
      </c>
      <c r="I470" s="25">
        <v>0</v>
      </c>
    </row>
    <row r="471" spans="1:9" s="79" customFormat="1" ht="25.5" x14ac:dyDescent="0.2">
      <c r="A471" s="75" t="s">
        <v>291</v>
      </c>
      <c r="B471" s="77">
        <v>11</v>
      </c>
      <c r="C471" s="77">
        <v>1</v>
      </c>
      <c r="D471" s="77" t="s">
        <v>463</v>
      </c>
      <c r="E471" s="77" t="s">
        <v>504</v>
      </c>
      <c r="F471" s="77"/>
      <c r="G471" s="78">
        <v>100330</v>
      </c>
      <c r="H471" s="78">
        <v>17273</v>
      </c>
      <c r="I471" s="78">
        <v>19729</v>
      </c>
    </row>
    <row r="472" spans="1:9" s="79" customFormat="1" ht="25.5" x14ac:dyDescent="0.2">
      <c r="A472" s="87" t="s">
        <v>141</v>
      </c>
      <c r="B472" s="82">
        <v>11</v>
      </c>
      <c r="C472" s="82">
        <v>1</v>
      </c>
      <c r="D472" s="82" t="s">
        <v>463</v>
      </c>
      <c r="E472" s="82" t="s">
        <v>504</v>
      </c>
      <c r="F472" s="82" t="s">
        <v>65</v>
      </c>
      <c r="G472" s="62">
        <v>100330</v>
      </c>
      <c r="H472" s="62">
        <v>17273</v>
      </c>
      <c r="I472" s="62">
        <v>19729</v>
      </c>
    </row>
    <row r="473" spans="1:9" s="79" customFormat="1" ht="25.5" x14ac:dyDescent="0.2">
      <c r="A473" s="154" t="s">
        <v>503</v>
      </c>
      <c r="B473" s="152" t="s">
        <v>21</v>
      </c>
      <c r="C473" s="152" t="s">
        <v>502</v>
      </c>
      <c r="D473" s="152"/>
      <c r="E473" s="152"/>
      <c r="F473" s="152"/>
      <c r="G473" s="151">
        <v>14937</v>
      </c>
      <c r="H473" s="151">
        <v>0</v>
      </c>
      <c r="I473" s="151">
        <v>0</v>
      </c>
    </row>
    <row r="474" spans="1:9" s="79" customFormat="1" ht="25.5" x14ac:dyDescent="0.2">
      <c r="A474" s="75" t="s">
        <v>293</v>
      </c>
      <c r="B474" s="77">
        <v>11</v>
      </c>
      <c r="C474" s="77">
        <v>2</v>
      </c>
      <c r="D474" s="77" t="s">
        <v>463</v>
      </c>
      <c r="E474" s="77" t="s">
        <v>501</v>
      </c>
      <c r="F474" s="77"/>
      <c r="G474" s="78">
        <v>14287</v>
      </c>
      <c r="H474" s="78">
        <v>0</v>
      </c>
      <c r="I474" s="78">
        <v>0</v>
      </c>
    </row>
    <row r="475" spans="1:9" s="79" customFormat="1" ht="25.5" x14ac:dyDescent="0.2">
      <c r="A475" s="87" t="s">
        <v>141</v>
      </c>
      <c r="B475" s="82">
        <v>11</v>
      </c>
      <c r="C475" s="82">
        <v>2</v>
      </c>
      <c r="D475" s="82" t="s">
        <v>463</v>
      </c>
      <c r="E475" s="82" t="s">
        <v>501</v>
      </c>
      <c r="F475" s="82" t="s">
        <v>65</v>
      </c>
      <c r="G475" s="62">
        <v>14287</v>
      </c>
      <c r="H475" s="62">
        <v>0</v>
      </c>
      <c r="I475" s="62">
        <v>0</v>
      </c>
    </row>
    <row r="476" spans="1:9" s="79" customFormat="1" x14ac:dyDescent="0.2">
      <c r="A476" s="75" t="s">
        <v>309</v>
      </c>
      <c r="B476" s="77">
        <v>11</v>
      </c>
      <c r="C476" s="77">
        <v>2</v>
      </c>
      <c r="D476" s="77" t="s">
        <v>463</v>
      </c>
      <c r="E476" s="77" t="s">
        <v>500</v>
      </c>
      <c r="F476" s="77"/>
      <c r="G476" s="78">
        <v>650</v>
      </c>
      <c r="H476" s="78">
        <v>0</v>
      </c>
      <c r="I476" s="78">
        <v>0</v>
      </c>
    </row>
    <row r="477" spans="1:9" s="79" customFormat="1" ht="25.5" x14ac:dyDescent="0.2">
      <c r="A477" s="87" t="s">
        <v>141</v>
      </c>
      <c r="B477" s="82">
        <v>11</v>
      </c>
      <c r="C477" s="82">
        <v>2</v>
      </c>
      <c r="D477" s="82" t="s">
        <v>463</v>
      </c>
      <c r="E477" s="82" t="s">
        <v>500</v>
      </c>
      <c r="F477" s="82" t="s">
        <v>65</v>
      </c>
      <c r="G477" s="62">
        <v>650</v>
      </c>
      <c r="H477" s="62">
        <v>0</v>
      </c>
      <c r="I477" s="62">
        <v>0</v>
      </c>
    </row>
    <row r="478" spans="1:9" ht="25.5" x14ac:dyDescent="0.2">
      <c r="A478" s="150" t="s">
        <v>499</v>
      </c>
      <c r="B478" s="149" t="s">
        <v>21</v>
      </c>
      <c r="C478" s="149" t="s">
        <v>498</v>
      </c>
      <c r="D478" s="149"/>
      <c r="E478" s="149"/>
      <c r="F478" s="149"/>
      <c r="G478" s="148">
        <v>3500</v>
      </c>
      <c r="H478" s="148">
        <v>0</v>
      </c>
      <c r="I478" s="148">
        <v>0</v>
      </c>
    </row>
    <row r="479" spans="1:9" ht="25.5" x14ac:dyDescent="0.2">
      <c r="A479" s="18" t="s">
        <v>310</v>
      </c>
      <c r="B479" s="19">
        <v>11</v>
      </c>
      <c r="C479" s="19">
        <v>3</v>
      </c>
      <c r="D479" s="19" t="s">
        <v>463</v>
      </c>
      <c r="E479" s="19" t="s">
        <v>497</v>
      </c>
      <c r="F479" s="19"/>
      <c r="G479" s="20">
        <v>3500</v>
      </c>
      <c r="H479" s="20">
        <v>0</v>
      </c>
      <c r="I479" s="20">
        <v>0</v>
      </c>
    </row>
    <row r="480" spans="1:9" ht="25.5" x14ac:dyDescent="0.2">
      <c r="A480" s="28" t="s">
        <v>141</v>
      </c>
      <c r="B480" s="24">
        <v>11</v>
      </c>
      <c r="C480" s="24">
        <v>3</v>
      </c>
      <c r="D480" s="24" t="s">
        <v>463</v>
      </c>
      <c r="E480" s="24" t="s">
        <v>497</v>
      </c>
      <c r="F480" s="24" t="s">
        <v>65</v>
      </c>
      <c r="G480" s="25">
        <v>3500</v>
      </c>
      <c r="H480" s="25">
        <v>0</v>
      </c>
      <c r="I480" s="25">
        <v>0</v>
      </c>
    </row>
    <row r="481" spans="1:9" x14ac:dyDescent="0.2">
      <c r="A481" s="150" t="s">
        <v>496</v>
      </c>
      <c r="B481" s="149" t="s">
        <v>21</v>
      </c>
      <c r="C481" s="149" t="s">
        <v>495</v>
      </c>
      <c r="D481" s="149"/>
      <c r="E481" s="149"/>
      <c r="F481" s="149"/>
      <c r="G481" s="148">
        <v>1000</v>
      </c>
      <c r="H481" s="148">
        <v>0</v>
      </c>
      <c r="I481" s="148">
        <v>0</v>
      </c>
    </row>
    <row r="482" spans="1:9" x14ac:dyDescent="0.2">
      <c r="A482" s="18" t="s">
        <v>313</v>
      </c>
      <c r="B482" s="19">
        <v>11</v>
      </c>
      <c r="C482" s="19">
        <v>4</v>
      </c>
      <c r="D482" s="19" t="s">
        <v>463</v>
      </c>
      <c r="E482" s="19" t="s">
        <v>494</v>
      </c>
      <c r="F482" s="24"/>
      <c r="G482" s="25">
        <v>1000</v>
      </c>
      <c r="H482" s="25">
        <v>0</v>
      </c>
      <c r="I482" s="25">
        <v>0</v>
      </c>
    </row>
    <row r="483" spans="1:9" ht="25.5" x14ac:dyDescent="0.2">
      <c r="A483" s="28" t="s">
        <v>141</v>
      </c>
      <c r="B483" s="24">
        <v>11</v>
      </c>
      <c r="C483" s="24">
        <v>4</v>
      </c>
      <c r="D483" s="24" t="s">
        <v>463</v>
      </c>
      <c r="E483" s="24" t="s">
        <v>494</v>
      </c>
      <c r="F483" s="24" t="s">
        <v>65</v>
      </c>
      <c r="G483" s="25">
        <v>1000</v>
      </c>
      <c r="H483" s="25">
        <v>0</v>
      </c>
      <c r="I483" s="25">
        <v>0</v>
      </c>
    </row>
    <row r="484" spans="1:9" ht="25.5" x14ac:dyDescent="0.2">
      <c r="A484" s="150" t="s">
        <v>493</v>
      </c>
      <c r="B484" s="149" t="s">
        <v>21</v>
      </c>
      <c r="C484" s="149" t="s">
        <v>492</v>
      </c>
      <c r="D484" s="149"/>
      <c r="E484" s="149"/>
      <c r="F484" s="149"/>
      <c r="G484" s="148">
        <v>8351.1999999999989</v>
      </c>
      <c r="H484" s="148">
        <v>0</v>
      </c>
      <c r="I484" s="148">
        <v>0</v>
      </c>
    </row>
    <row r="485" spans="1:9" s="79" customFormat="1" ht="25.5" x14ac:dyDescent="0.2">
      <c r="A485" s="75" t="s">
        <v>315</v>
      </c>
      <c r="B485" s="111">
        <v>11</v>
      </c>
      <c r="C485" s="111">
        <v>5</v>
      </c>
      <c r="D485" s="111" t="s">
        <v>463</v>
      </c>
      <c r="E485" s="111" t="s">
        <v>491</v>
      </c>
      <c r="F485" s="77"/>
      <c r="G485" s="78">
        <v>8351.1999999999989</v>
      </c>
      <c r="H485" s="78">
        <v>0</v>
      </c>
      <c r="I485" s="78">
        <v>0</v>
      </c>
    </row>
    <row r="486" spans="1:9" s="79" customFormat="1" ht="25.5" x14ac:dyDescent="0.2">
      <c r="A486" s="30" t="s">
        <v>466</v>
      </c>
      <c r="B486" s="16">
        <v>11</v>
      </c>
      <c r="C486" s="16">
        <v>5</v>
      </c>
      <c r="D486" s="16" t="s">
        <v>463</v>
      </c>
      <c r="E486" s="16" t="s">
        <v>491</v>
      </c>
      <c r="F486" s="77" t="s">
        <v>68</v>
      </c>
      <c r="G486" s="78">
        <v>87.8</v>
      </c>
      <c r="H486" s="78">
        <v>0</v>
      </c>
      <c r="I486" s="78">
        <v>0</v>
      </c>
    </row>
    <row r="487" spans="1:9" ht="25.5" x14ac:dyDescent="0.2">
      <c r="A487" s="28" t="s">
        <v>141</v>
      </c>
      <c r="B487" s="16">
        <v>11</v>
      </c>
      <c r="C487" s="16">
        <v>5</v>
      </c>
      <c r="D487" s="16" t="s">
        <v>463</v>
      </c>
      <c r="E487" s="16" t="s">
        <v>491</v>
      </c>
      <c r="F487" s="24" t="s">
        <v>65</v>
      </c>
      <c r="G487" s="25">
        <v>8263.4</v>
      </c>
      <c r="H487" s="25">
        <v>0</v>
      </c>
      <c r="I487" s="25">
        <v>0</v>
      </c>
    </row>
    <row r="488" spans="1:9" s="79" customFormat="1" ht="38.25" x14ac:dyDescent="0.2">
      <c r="A488" s="154" t="s">
        <v>489</v>
      </c>
      <c r="B488" s="153" t="s">
        <v>21</v>
      </c>
      <c r="C488" s="153" t="s">
        <v>488</v>
      </c>
      <c r="D488" s="153"/>
      <c r="E488" s="153"/>
      <c r="F488" s="152"/>
      <c r="G488" s="151">
        <v>16064.599999999999</v>
      </c>
      <c r="H488" s="151">
        <v>13682.8</v>
      </c>
      <c r="I488" s="151">
        <v>13503.6</v>
      </c>
    </row>
    <row r="489" spans="1:9" ht="38.25" x14ac:dyDescent="0.2">
      <c r="A489" s="18" t="s">
        <v>321</v>
      </c>
      <c r="B489" s="19">
        <v>11</v>
      </c>
      <c r="C489" s="19">
        <v>6</v>
      </c>
      <c r="D489" s="19" t="s">
        <v>463</v>
      </c>
      <c r="E489" s="19" t="s">
        <v>487</v>
      </c>
      <c r="F489" s="5"/>
      <c r="G489" s="6">
        <v>16064.599999999999</v>
      </c>
      <c r="H489" s="6">
        <v>13682.8</v>
      </c>
      <c r="I489" s="6">
        <v>13503.6</v>
      </c>
    </row>
    <row r="490" spans="1:9" ht="25.5" x14ac:dyDescent="0.2">
      <c r="A490" s="28" t="s">
        <v>141</v>
      </c>
      <c r="B490" s="24">
        <v>11</v>
      </c>
      <c r="C490" s="24">
        <v>6</v>
      </c>
      <c r="D490" s="24" t="s">
        <v>463</v>
      </c>
      <c r="E490" s="24" t="s">
        <v>487</v>
      </c>
      <c r="F490" s="24" t="s">
        <v>65</v>
      </c>
      <c r="G490" s="25">
        <v>16064.599999999999</v>
      </c>
      <c r="H490" s="25">
        <v>13682.8</v>
      </c>
      <c r="I490" s="25">
        <v>13503.6</v>
      </c>
    </row>
    <row r="491" spans="1:9" ht="25.5" x14ac:dyDescent="0.2">
      <c r="A491" s="150" t="s">
        <v>486</v>
      </c>
      <c r="B491" s="122" t="s">
        <v>21</v>
      </c>
      <c r="C491" s="122" t="s">
        <v>485</v>
      </c>
      <c r="D491" s="122"/>
      <c r="E491" s="122"/>
      <c r="F491" s="149"/>
      <c r="G491" s="148">
        <v>4000</v>
      </c>
      <c r="H491" s="148">
        <v>0</v>
      </c>
      <c r="I491" s="148">
        <v>0</v>
      </c>
    </row>
    <row r="492" spans="1:9" x14ac:dyDescent="0.2">
      <c r="A492" s="18" t="s">
        <v>389</v>
      </c>
      <c r="B492" s="145">
        <v>11</v>
      </c>
      <c r="C492" s="19" t="s">
        <v>485</v>
      </c>
      <c r="D492" s="19" t="s">
        <v>463</v>
      </c>
      <c r="E492" s="16" t="s">
        <v>484</v>
      </c>
      <c r="F492" s="19"/>
      <c r="G492" s="20">
        <v>4000</v>
      </c>
      <c r="H492" s="20">
        <v>0</v>
      </c>
      <c r="I492" s="20">
        <v>0</v>
      </c>
    </row>
    <row r="493" spans="1:9" ht="25.5" x14ac:dyDescent="0.2">
      <c r="A493" s="28" t="s">
        <v>141</v>
      </c>
      <c r="B493" s="145">
        <v>11</v>
      </c>
      <c r="C493" s="19" t="s">
        <v>485</v>
      </c>
      <c r="D493" s="19" t="s">
        <v>463</v>
      </c>
      <c r="E493" s="16" t="s">
        <v>484</v>
      </c>
      <c r="F493" s="24" t="s">
        <v>65</v>
      </c>
      <c r="G493" s="25">
        <v>4000</v>
      </c>
      <c r="H493" s="25">
        <v>0</v>
      </c>
      <c r="I493" s="25">
        <v>0</v>
      </c>
    </row>
    <row r="494" spans="1:9" ht="25.5" x14ac:dyDescent="0.2">
      <c r="A494" s="40" t="s">
        <v>483</v>
      </c>
      <c r="B494" s="41" t="s">
        <v>23</v>
      </c>
      <c r="C494" s="41"/>
      <c r="D494" s="41"/>
      <c r="E494" s="41"/>
      <c r="F494" s="41"/>
      <c r="G494" s="39">
        <v>3503.9</v>
      </c>
      <c r="H494" s="39">
        <v>3503.9</v>
      </c>
      <c r="I494" s="39">
        <v>3503.9</v>
      </c>
    </row>
    <row r="495" spans="1:9" ht="25.5" x14ac:dyDescent="0.2">
      <c r="A495" s="18" t="s">
        <v>187</v>
      </c>
      <c r="B495" s="19">
        <v>12</v>
      </c>
      <c r="C495" s="19">
        <v>0</v>
      </c>
      <c r="D495" s="19" t="s">
        <v>463</v>
      </c>
      <c r="E495" s="19" t="s">
        <v>482</v>
      </c>
      <c r="F495" s="19"/>
      <c r="G495" s="20">
        <v>3503.9</v>
      </c>
      <c r="H495" s="20">
        <v>3503.9</v>
      </c>
      <c r="I495" s="20">
        <v>3503.9</v>
      </c>
    </row>
    <row r="496" spans="1:9" x14ac:dyDescent="0.2">
      <c r="A496" s="28" t="s">
        <v>74</v>
      </c>
      <c r="B496" s="24">
        <v>12</v>
      </c>
      <c r="C496" s="24">
        <v>0</v>
      </c>
      <c r="D496" s="24" t="s">
        <v>463</v>
      </c>
      <c r="E496" s="24" t="s">
        <v>482</v>
      </c>
      <c r="F496" s="24" t="s">
        <v>75</v>
      </c>
      <c r="G496" s="25">
        <v>3503.9</v>
      </c>
      <c r="H496" s="25">
        <v>3503.9</v>
      </c>
      <c r="I496" s="25">
        <v>3503.9</v>
      </c>
    </row>
    <row r="497" spans="1:9" ht="25.5" x14ac:dyDescent="0.2">
      <c r="A497" s="40" t="s">
        <v>481</v>
      </c>
      <c r="B497" s="41" t="s">
        <v>61</v>
      </c>
      <c r="C497" s="41"/>
      <c r="D497" s="41"/>
      <c r="E497" s="41"/>
      <c r="F497" s="41"/>
      <c r="G497" s="39">
        <v>20202.300000000003</v>
      </c>
      <c r="H497" s="39">
        <v>18565.099999999999</v>
      </c>
      <c r="I497" s="39">
        <v>18324.2</v>
      </c>
    </row>
    <row r="498" spans="1:9" s="79" customFormat="1" x14ac:dyDescent="0.2">
      <c r="A498" s="75" t="s">
        <v>147</v>
      </c>
      <c r="B498" s="77">
        <v>13</v>
      </c>
      <c r="C498" s="77">
        <v>0</v>
      </c>
      <c r="D498" s="77" t="s">
        <v>463</v>
      </c>
      <c r="E498" s="77" t="s">
        <v>480</v>
      </c>
      <c r="F498" s="77"/>
      <c r="G498" s="78">
        <v>20202.300000000003</v>
      </c>
      <c r="H498" s="78">
        <v>18565.099999999999</v>
      </c>
      <c r="I498" s="78">
        <v>18324.2</v>
      </c>
    </row>
    <row r="499" spans="1:9" s="79" customFormat="1" ht="25.5" x14ac:dyDescent="0.2">
      <c r="A499" s="87" t="s">
        <v>141</v>
      </c>
      <c r="B499" s="82">
        <v>13</v>
      </c>
      <c r="C499" s="82">
        <v>0</v>
      </c>
      <c r="D499" s="82" t="s">
        <v>463</v>
      </c>
      <c r="E499" s="82" t="s">
        <v>480</v>
      </c>
      <c r="F499" s="82" t="s">
        <v>65</v>
      </c>
      <c r="G499" s="62">
        <v>20202.300000000003</v>
      </c>
      <c r="H499" s="62">
        <v>18565.099999999999</v>
      </c>
      <c r="I499" s="62">
        <v>18324.2</v>
      </c>
    </row>
    <row r="500" spans="1:9" ht="38.25" x14ac:dyDescent="0.2">
      <c r="A500" s="40" t="s">
        <v>479</v>
      </c>
      <c r="B500" s="41" t="s">
        <v>478</v>
      </c>
      <c r="C500" s="41"/>
      <c r="D500" s="41"/>
      <c r="E500" s="41"/>
      <c r="F500" s="41"/>
      <c r="G500" s="39">
        <v>655</v>
      </c>
      <c r="H500" s="39">
        <v>0</v>
      </c>
      <c r="I500" s="39">
        <v>0</v>
      </c>
    </row>
    <row r="501" spans="1:9" ht="25.5" x14ac:dyDescent="0.2">
      <c r="A501" s="18" t="s">
        <v>167</v>
      </c>
      <c r="B501" s="19">
        <v>14</v>
      </c>
      <c r="C501" s="19">
        <v>0</v>
      </c>
      <c r="D501" s="19" t="s">
        <v>463</v>
      </c>
      <c r="E501" s="19" t="s">
        <v>477</v>
      </c>
      <c r="F501" s="19"/>
      <c r="G501" s="20">
        <v>175</v>
      </c>
      <c r="H501" s="20">
        <v>0</v>
      </c>
      <c r="I501" s="20">
        <v>0</v>
      </c>
    </row>
    <row r="502" spans="1:9" ht="25.5" x14ac:dyDescent="0.2">
      <c r="A502" s="30" t="s">
        <v>466</v>
      </c>
      <c r="B502" s="24">
        <v>14</v>
      </c>
      <c r="C502" s="24">
        <v>0</v>
      </c>
      <c r="D502" s="24" t="s">
        <v>463</v>
      </c>
      <c r="E502" s="24" t="s">
        <v>477</v>
      </c>
      <c r="F502" s="27" t="s">
        <v>68</v>
      </c>
      <c r="G502" s="25">
        <v>175</v>
      </c>
      <c r="H502" s="25">
        <v>0</v>
      </c>
      <c r="I502" s="25">
        <v>0</v>
      </c>
    </row>
    <row r="503" spans="1:9" ht="25.5" x14ac:dyDescent="0.2">
      <c r="A503" s="18" t="s">
        <v>710</v>
      </c>
      <c r="B503" s="24" t="s">
        <v>478</v>
      </c>
      <c r="C503" s="24" t="s">
        <v>464</v>
      </c>
      <c r="D503" s="24" t="s">
        <v>463</v>
      </c>
      <c r="E503" s="24" t="s">
        <v>712</v>
      </c>
      <c r="F503" s="27"/>
      <c r="G503" s="25">
        <v>480</v>
      </c>
      <c r="H503" s="25">
        <v>0</v>
      </c>
      <c r="I503" s="25">
        <v>0</v>
      </c>
    </row>
    <row r="504" spans="1:9" x14ac:dyDescent="0.2">
      <c r="A504" s="30" t="s">
        <v>72</v>
      </c>
      <c r="B504" s="24" t="s">
        <v>478</v>
      </c>
      <c r="C504" s="24" t="s">
        <v>464</v>
      </c>
      <c r="D504" s="24" t="s">
        <v>463</v>
      </c>
      <c r="E504" s="24" t="s">
        <v>712</v>
      </c>
      <c r="F504" s="27" t="s">
        <v>73</v>
      </c>
      <c r="G504" s="25">
        <v>480</v>
      </c>
      <c r="H504" s="25">
        <v>0</v>
      </c>
      <c r="I504" s="25">
        <v>0</v>
      </c>
    </row>
    <row r="505" spans="1:9" ht="38.25" x14ac:dyDescent="0.2">
      <c r="A505" s="40" t="s">
        <v>476</v>
      </c>
      <c r="B505" s="41" t="s">
        <v>475</v>
      </c>
      <c r="C505" s="41"/>
      <c r="D505" s="41"/>
      <c r="E505" s="41"/>
      <c r="F505" s="41"/>
      <c r="G505" s="39">
        <v>32478.758249999999</v>
      </c>
      <c r="H505" s="39">
        <v>0</v>
      </c>
      <c r="I505" s="39">
        <v>0</v>
      </c>
    </row>
    <row r="506" spans="1:9" s="79" customFormat="1" ht="25.5" x14ac:dyDescent="0.2">
      <c r="A506" s="75" t="s">
        <v>684</v>
      </c>
      <c r="B506" s="147">
        <v>15</v>
      </c>
      <c r="C506" s="77" t="s">
        <v>464</v>
      </c>
      <c r="D506" s="77" t="s">
        <v>474</v>
      </c>
      <c r="E506" s="77"/>
      <c r="F506" s="77"/>
      <c r="G506" s="78">
        <v>31115</v>
      </c>
      <c r="H506" s="78">
        <v>0</v>
      </c>
      <c r="I506" s="78">
        <v>0</v>
      </c>
    </row>
    <row r="507" spans="1:9" ht="25.5" x14ac:dyDescent="0.2">
      <c r="A507" s="89" t="s">
        <v>441</v>
      </c>
      <c r="B507" s="145">
        <v>15</v>
      </c>
      <c r="C507" s="19" t="s">
        <v>464</v>
      </c>
      <c r="D507" s="77" t="s">
        <v>474</v>
      </c>
      <c r="E507" s="16" t="s">
        <v>473</v>
      </c>
      <c r="F507" s="19"/>
      <c r="G507" s="20">
        <v>31115</v>
      </c>
      <c r="H507" s="20">
        <v>0</v>
      </c>
      <c r="I507" s="20">
        <v>0</v>
      </c>
    </row>
    <row r="508" spans="1:9" ht="25.5" x14ac:dyDescent="0.2">
      <c r="A508" s="30" t="s">
        <v>466</v>
      </c>
      <c r="B508" s="146">
        <v>15</v>
      </c>
      <c r="C508" s="24" t="s">
        <v>464</v>
      </c>
      <c r="D508" s="77" t="s">
        <v>474</v>
      </c>
      <c r="E508" s="16" t="s">
        <v>473</v>
      </c>
      <c r="F508" s="24" t="s">
        <v>68</v>
      </c>
      <c r="G508" s="62">
        <v>25911.406750000002</v>
      </c>
      <c r="H508" s="62">
        <v>0</v>
      </c>
      <c r="I508" s="62">
        <v>0</v>
      </c>
    </row>
    <row r="509" spans="1:9" ht="25.5" x14ac:dyDescent="0.2">
      <c r="A509" s="28" t="s">
        <v>141</v>
      </c>
      <c r="B509" s="146">
        <v>15</v>
      </c>
      <c r="C509" s="24" t="s">
        <v>464</v>
      </c>
      <c r="D509" s="77" t="s">
        <v>474</v>
      </c>
      <c r="E509" s="16" t="s">
        <v>473</v>
      </c>
      <c r="F509" s="24" t="s">
        <v>65</v>
      </c>
      <c r="G509" s="62">
        <v>5203.5932499999999</v>
      </c>
      <c r="H509" s="62">
        <v>0</v>
      </c>
      <c r="I509" s="62">
        <v>0</v>
      </c>
    </row>
    <row r="510" spans="1:9" ht="25.5" x14ac:dyDescent="0.2">
      <c r="A510" s="17" t="s">
        <v>409</v>
      </c>
      <c r="B510" s="145">
        <v>15</v>
      </c>
      <c r="C510" s="19" t="s">
        <v>464</v>
      </c>
      <c r="D510" s="19" t="s">
        <v>463</v>
      </c>
      <c r="E510" s="16" t="s">
        <v>472</v>
      </c>
      <c r="F510" s="19"/>
      <c r="G510" s="20">
        <v>1363.7582500000003</v>
      </c>
      <c r="H510" s="20">
        <v>0</v>
      </c>
      <c r="I510" s="20">
        <v>0</v>
      </c>
    </row>
    <row r="511" spans="1:9" ht="25.5" x14ac:dyDescent="0.2">
      <c r="A511" s="30" t="s">
        <v>466</v>
      </c>
      <c r="B511" s="146">
        <v>15</v>
      </c>
      <c r="C511" s="24" t="s">
        <v>464</v>
      </c>
      <c r="D511" s="24" t="s">
        <v>463</v>
      </c>
      <c r="E511" s="16" t="s">
        <v>472</v>
      </c>
      <c r="F511" s="24" t="s">
        <v>68</v>
      </c>
      <c r="G511" s="25">
        <v>1363.7582500000003</v>
      </c>
      <c r="H511" s="25">
        <v>0</v>
      </c>
      <c r="I511" s="25">
        <v>0</v>
      </c>
    </row>
    <row r="512" spans="1:9" x14ac:dyDescent="0.2">
      <c r="A512" s="40" t="s">
        <v>471</v>
      </c>
      <c r="B512" s="41" t="s">
        <v>364</v>
      </c>
      <c r="C512" s="41"/>
      <c r="D512" s="41"/>
      <c r="E512" s="41"/>
      <c r="F512" s="41"/>
      <c r="G512" s="39">
        <v>11224.199999999999</v>
      </c>
      <c r="H512" s="39">
        <v>32261.4</v>
      </c>
      <c r="I512" s="39">
        <v>50448.9</v>
      </c>
    </row>
    <row r="513" spans="1:16" ht="25.5" x14ac:dyDescent="0.2">
      <c r="A513" s="18" t="s">
        <v>222</v>
      </c>
      <c r="B513" s="19">
        <v>99</v>
      </c>
      <c r="C513" s="19">
        <v>0</v>
      </c>
      <c r="D513" s="19" t="s">
        <v>463</v>
      </c>
      <c r="E513" s="19" t="s">
        <v>470</v>
      </c>
      <c r="F513" s="19"/>
      <c r="G513" s="20">
        <v>1817</v>
      </c>
      <c r="H513" s="20">
        <v>1514.4</v>
      </c>
      <c r="I513" s="20">
        <v>1514.4</v>
      </c>
    </row>
    <row r="514" spans="1:16" ht="51" x14ac:dyDescent="0.2">
      <c r="A514" s="30" t="s">
        <v>66</v>
      </c>
      <c r="B514" s="24">
        <v>99</v>
      </c>
      <c r="C514" s="24">
        <v>0</v>
      </c>
      <c r="D514" s="24" t="s">
        <v>463</v>
      </c>
      <c r="E514" s="24" t="s">
        <v>470</v>
      </c>
      <c r="F514" s="27" t="s">
        <v>67</v>
      </c>
      <c r="G514" s="25">
        <v>1817</v>
      </c>
      <c r="H514" s="25">
        <v>1514.4</v>
      </c>
      <c r="I514" s="25">
        <v>1514.4</v>
      </c>
    </row>
    <row r="515" spans="1:16" x14ac:dyDescent="0.2">
      <c r="A515" s="18" t="s">
        <v>223</v>
      </c>
      <c r="B515" s="19">
        <v>99</v>
      </c>
      <c r="C515" s="19">
        <v>0</v>
      </c>
      <c r="D515" s="19" t="s">
        <v>463</v>
      </c>
      <c r="E515" s="19" t="s">
        <v>469</v>
      </c>
      <c r="F515" s="19"/>
      <c r="G515" s="20">
        <v>3003.3</v>
      </c>
      <c r="H515" s="20">
        <v>2817</v>
      </c>
      <c r="I515" s="20">
        <v>2817</v>
      </c>
    </row>
    <row r="516" spans="1:16" ht="51" x14ac:dyDescent="0.2">
      <c r="A516" s="30" t="s">
        <v>66</v>
      </c>
      <c r="B516" s="24">
        <v>99</v>
      </c>
      <c r="C516" s="24">
        <v>0</v>
      </c>
      <c r="D516" s="24" t="s">
        <v>463</v>
      </c>
      <c r="E516" s="24" t="s">
        <v>469</v>
      </c>
      <c r="F516" s="27" t="s">
        <v>67</v>
      </c>
      <c r="G516" s="25">
        <v>3003.3</v>
      </c>
      <c r="H516" s="25">
        <v>2817</v>
      </c>
      <c r="I516" s="25">
        <v>2817</v>
      </c>
    </row>
    <row r="517" spans="1:16" x14ac:dyDescent="0.2">
      <c r="A517" s="18" t="s">
        <v>220</v>
      </c>
      <c r="B517" s="19">
        <v>99</v>
      </c>
      <c r="C517" s="19">
        <v>0</v>
      </c>
      <c r="D517" s="19" t="s">
        <v>463</v>
      </c>
      <c r="E517" s="19" t="s">
        <v>468</v>
      </c>
      <c r="F517" s="19"/>
      <c r="G517" s="20">
        <v>766.3</v>
      </c>
      <c r="H517" s="20">
        <v>638.5</v>
      </c>
      <c r="I517" s="20">
        <v>638.5</v>
      </c>
    </row>
    <row r="518" spans="1:16" ht="51" x14ac:dyDescent="0.2">
      <c r="A518" s="30" t="s">
        <v>66</v>
      </c>
      <c r="B518" s="24">
        <v>99</v>
      </c>
      <c r="C518" s="24">
        <v>0</v>
      </c>
      <c r="D518" s="24" t="s">
        <v>463</v>
      </c>
      <c r="E518" s="24" t="s">
        <v>468</v>
      </c>
      <c r="F518" s="27" t="s">
        <v>67</v>
      </c>
      <c r="G518" s="25">
        <v>766.3</v>
      </c>
      <c r="H518" s="25">
        <v>638.5</v>
      </c>
      <c r="I518" s="25">
        <v>638.5</v>
      </c>
    </row>
    <row r="519" spans="1:16" x14ac:dyDescent="0.2">
      <c r="A519" s="18" t="s">
        <v>219</v>
      </c>
      <c r="B519" s="19">
        <v>99</v>
      </c>
      <c r="C519" s="19">
        <v>0</v>
      </c>
      <c r="D519" s="19" t="s">
        <v>463</v>
      </c>
      <c r="E519" s="19" t="s">
        <v>467</v>
      </c>
      <c r="F519" s="19"/>
      <c r="G519" s="20">
        <v>5621.2999999999993</v>
      </c>
      <c r="H519" s="20">
        <v>4893.5999999999995</v>
      </c>
      <c r="I519" s="20">
        <v>4893.5999999999995</v>
      </c>
    </row>
    <row r="520" spans="1:16" ht="51" x14ac:dyDescent="0.2">
      <c r="A520" s="30" t="s">
        <v>66</v>
      </c>
      <c r="B520" s="24">
        <v>99</v>
      </c>
      <c r="C520" s="24">
        <v>0</v>
      </c>
      <c r="D520" s="24" t="s">
        <v>463</v>
      </c>
      <c r="E520" s="24" t="s">
        <v>467</v>
      </c>
      <c r="F520" s="27" t="s">
        <v>67</v>
      </c>
      <c r="G520" s="25">
        <v>4709.7999999999993</v>
      </c>
      <c r="H520" s="25">
        <v>3982.1</v>
      </c>
      <c r="I520" s="25">
        <v>3982.1</v>
      </c>
    </row>
    <row r="521" spans="1:16" ht="25.5" x14ac:dyDescent="0.2">
      <c r="A521" s="30" t="s">
        <v>466</v>
      </c>
      <c r="B521" s="24">
        <v>99</v>
      </c>
      <c r="C521" s="24">
        <v>0</v>
      </c>
      <c r="D521" s="24" t="s">
        <v>463</v>
      </c>
      <c r="E521" s="24" t="s">
        <v>467</v>
      </c>
      <c r="F521" s="27" t="s">
        <v>68</v>
      </c>
      <c r="G521" s="25">
        <v>909.1</v>
      </c>
      <c r="H521" s="25">
        <v>909.1</v>
      </c>
      <c r="I521" s="25">
        <v>909.1</v>
      </c>
    </row>
    <row r="522" spans="1:16" x14ac:dyDescent="0.2">
      <c r="A522" s="28" t="s">
        <v>72</v>
      </c>
      <c r="B522" s="24">
        <v>99</v>
      </c>
      <c r="C522" s="24">
        <v>0</v>
      </c>
      <c r="D522" s="24" t="s">
        <v>463</v>
      </c>
      <c r="E522" s="24" t="s">
        <v>467</v>
      </c>
      <c r="F522" s="24" t="s">
        <v>73</v>
      </c>
      <c r="G522" s="25">
        <v>2.4</v>
      </c>
      <c r="H522" s="25">
        <v>2.4</v>
      </c>
      <c r="I522" s="25">
        <v>2.4</v>
      </c>
    </row>
    <row r="523" spans="1:16" ht="38.25" x14ac:dyDescent="0.2">
      <c r="A523" s="18" t="s">
        <v>367</v>
      </c>
      <c r="B523" s="19">
        <v>99</v>
      </c>
      <c r="C523" s="19">
        <v>0</v>
      </c>
      <c r="D523" s="19" t="s">
        <v>463</v>
      </c>
      <c r="E523" s="19" t="s">
        <v>465</v>
      </c>
      <c r="F523" s="19"/>
      <c r="G523" s="20">
        <v>16.3</v>
      </c>
      <c r="H523" s="20">
        <v>16.899999999999999</v>
      </c>
      <c r="I523" s="20">
        <v>17.5</v>
      </c>
    </row>
    <row r="524" spans="1:16" ht="25.5" x14ac:dyDescent="0.2">
      <c r="A524" s="30" t="s">
        <v>466</v>
      </c>
      <c r="B524" s="24">
        <v>99</v>
      </c>
      <c r="C524" s="24">
        <v>0</v>
      </c>
      <c r="D524" s="24" t="s">
        <v>463</v>
      </c>
      <c r="E524" s="24" t="s">
        <v>465</v>
      </c>
      <c r="F524" s="27" t="s">
        <v>68</v>
      </c>
      <c r="G524" s="25">
        <v>16.3</v>
      </c>
      <c r="H524" s="25">
        <v>16.899999999999999</v>
      </c>
      <c r="I524" s="25">
        <v>17.5</v>
      </c>
    </row>
    <row r="525" spans="1:16" x14ac:dyDescent="0.2">
      <c r="A525" s="18" t="s">
        <v>363</v>
      </c>
      <c r="B525" s="145">
        <v>99</v>
      </c>
      <c r="C525" s="19" t="s">
        <v>464</v>
      </c>
      <c r="D525" s="19" t="s">
        <v>463</v>
      </c>
      <c r="E525" s="19" t="s">
        <v>462</v>
      </c>
      <c r="F525" s="19"/>
      <c r="G525" s="20"/>
      <c r="H525" s="20">
        <v>22381</v>
      </c>
      <c r="I525" s="20">
        <v>40567.9</v>
      </c>
    </row>
    <row r="526" spans="1:16" x14ac:dyDescent="0.2">
      <c r="A526" s="18" t="s">
        <v>363</v>
      </c>
      <c r="B526" s="145">
        <v>99</v>
      </c>
      <c r="C526" s="19" t="s">
        <v>464</v>
      </c>
      <c r="D526" s="19" t="s">
        <v>463</v>
      </c>
      <c r="E526" s="19" t="s">
        <v>462</v>
      </c>
      <c r="F526" s="19"/>
      <c r="G526" s="20"/>
      <c r="H526" s="20">
        <v>22381</v>
      </c>
      <c r="I526" s="20">
        <v>40567.9</v>
      </c>
    </row>
    <row r="527" spans="1:16" x14ac:dyDescent="0.2">
      <c r="A527" s="18" t="s">
        <v>363</v>
      </c>
      <c r="B527" s="145">
        <v>99</v>
      </c>
      <c r="C527" s="19" t="s">
        <v>464</v>
      </c>
      <c r="D527" s="19" t="s">
        <v>463</v>
      </c>
      <c r="E527" s="19" t="s">
        <v>462</v>
      </c>
      <c r="F527" s="19"/>
      <c r="G527" s="20"/>
      <c r="H527" s="20">
        <v>22381</v>
      </c>
      <c r="I527" s="20">
        <v>40567.9</v>
      </c>
    </row>
    <row r="528" spans="1:16" s="26" customFormat="1" x14ac:dyDescent="0.2">
      <c r="A528" s="28" t="s">
        <v>363</v>
      </c>
      <c r="B528" s="145">
        <v>99</v>
      </c>
      <c r="C528" s="19" t="s">
        <v>464</v>
      </c>
      <c r="D528" s="19" t="s">
        <v>463</v>
      </c>
      <c r="E528" s="19" t="s">
        <v>462</v>
      </c>
      <c r="F528" s="24" t="s">
        <v>73</v>
      </c>
      <c r="G528" s="25"/>
      <c r="H528" s="25">
        <v>22381</v>
      </c>
      <c r="I528" s="25">
        <v>40567.9</v>
      </c>
      <c r="K528" s="237"/>
      <c r="L528" s="237"/>
      <c r="M528" s="237"/>
      <c r="N528" s="237"/>
      <c r="O528" s="237"/>
      <c r="P528" s="237"/>
    </row>
    <row r="529" spans="1:9" ht="15.75" x14ac:dyDescent="0.25">
      <c r="A529" s="144" t="s">
        <v>461</v>
      </c>
      <c r="B529" s="143"/>
      <c r="C529" s="142"/>
      <c r="D529" s="143"/>
      <c r="E529" s="142"/>
      <c r="F529" s="142"/>
      <c r="G529" s="141">
        <v>3554306.0833699992</v>
      </c>
      <c r="H529" s="141">
        <v>2743590.4217400001</v>
      </c>
      <c r="I529" s="141">
        <v>2712916.7640000004</v>
      </c>
    </row>
    <row r="530" spans="1:9" x14ac:dyDescent="0.2">
      <c r="B530" s="193"/>
      <c r="C530" s="237"/>
      <c r="D530" s="193"/>
      <c r="E530" s="237"/>
      <c r="F530" s="237"/>
      <c r="G530" s="194"/>
      <c r="H530" s="194"/>
      <c r="I530" s="194"/>
    </row>
    <row r="531" spans="1:9" x14ac:dyDescent="0.2">
      <c r="B531" s="193"/>
      <c r="C531" s="237"/>
      <c r="D531" s="193"/>
      <c r="E531" s="237"/>
      <c r="F531" s="237"/>
      <c r="G531" s="194"/>
      <c r="H531" s="194"/>
      <c r="I531" s="194"/>
    </row>
    <row r="532" spans="1:9" x14ac:dyDescent="0.2">
      <c r="B532" s="193"/>
      <c r="C532" s="237"/>
      <c r="D532" s="193"/>
      <c r="E532" s="237"/>
      <c r="F532" s="237"/>
      <c r="G532" s="194"/>
      <c r="H532" s="194"/>
      <c r="I532" s="194"/>
    </row>
    <row r="533" spans="1:9" ht="24" customHeight="1" x14ac:dyDescent="0.2">
      <c r="A533" s="135" t="s">
        <v>736</v>
      </c>
      <c r="B533" s="266"/>
      <c r="D533" s="266"/>
      <c r="F533" s="134"/>
      <c r="G533" s="136"/>
      <c r="H533" s="136"/>
      <c r="I533" s="137" t="s">
        <v>737</v>
      </c>
    </row>
    <row r="534" spans="1:9" ht="3.75" customHeight="1" x14ac:dyDescent="0.2">
      <c r="B534" s="193"/>
      <c r="C534" s="237"/>
      <c r="D534" s="193"/>
      <c r="E534" s="237"/>
      <c r="F534" s="237"/>
      <c r="G534" s="237"/>
    </row>
    <row r="535" spans="1:9" x14ac:dyDescent="0.2">
      <c r="B535" s="193"/>
      <c r="C535" s="237"/>
      <c r="D535" s="193"/>
      <c r="E535" s="237"/>
      <c r="F535" s="237"/>
      <c r="G535" s="194"/>
      <c r="H535" s="194"/>
      <c r="I535" s="194"/>
    </row>
    <row r="536" spans="1:9" x14ac:dyDescent="0.2">
      <c r="B536" s="193"/>
      <c r="C536" s="237"/>
      <c r="D536" s="193"/>
      <c r="E536" s="237"/>
      <c r="F536" s="237"/>
      <c r="G536" s="194"/>
      <c r="H536" s="194"/>
      <c r="I536" s="194"/>
    </row>
    <row r="537" spans="1:9" x14ac:dyDescent="0.2">
      <c r="B537" s="193"/>
      <c r="C537" s="237"/>
      <c r="D537" s="193"/>
      <c r="E537" s="237"/>
      <c r="F537" s="237"/>
      <c r="G537" s="237"/>
    </row>
    <row r="538" spans="1:9" x14ac:dyDescent="0.2">
      <c r="B538" s="193"/>
      <c r="C538" s="237"/>
      <c r="D538" s="193"/>
      <c r="E538" s="237"/>
      <c r="F538" s="237"/>
      <c r="G538" s="194"/>
      <c r="H538" s="194"/>
      <c r="I538" s="194"/>
    </row>
    <row r="539" spans="1:9" x14ac:dyDescent="0.2">
      <c r="B539" s="193"/>
      <c r="C539" s="237"/>
      <c r="D539" s="193"/>
      <c r="E539" s="237"/>
      <c r="F539" s="237"/>
      <c r="G539" s="237"/>
    </row>
    <row r="540" spans="1:9" x14ac:dyDescent="0.2">
      <c r="B540" s="193"/>
      <c r="C540" s="237"/>
      <c r="D540" s="193"/>
      <c r="E540" s="237"/>
      <c r="F540" s="237"/>
      <c r="G540" s="194"/>
      <c r="H540" s="194"/>
      <c r="I540" s="194"/>
    </row>
    <row r="541" spans="1:9" x14ac:dyDescent="0.2">
      <c r="B541" s="193"/>
      <c r="C541" s="237"/>
      <c r="D541" s="193"/>
      <c r="E541" s="237"/>
      <c r="F541" s="237"/>
      <c r="G541" s="237"/>
    </row>
    <row r="542" spans="1:9" x14ac:dyDescent="0.2">
      <c r="B542" s="193"/>
      <c r="C542" s="237"/>
      <c r="D542" s="193"/>
      <c r="E542" s="237"/>
      <c r="F542" s="237"/>
      <c r="G542" s="237"/>
    </row>
    <row r="543" spans="1:9" x14ac:dyDescent="0.2">
      <c r="B543" s="193"/>
      <c r="C543" s="237"/>
      <c r="D543" s="193"/>
      <c r="E543" s="237"/>
      <c r="F543" s="237"/>
      <c r="G543" s="237"/>
    </row>
    <row r="544" spans="1:9" x14ac:dyDescent="0.2">
      <c r="B544" s="193"/>
      <c r="C544" s="237"/>
      <c r="D544" s="193"/>
      <c r="E544" s="237"/>
      <c r="F544" s="237"/>
      <c r="G544" s="237"/>
    </row>
    <row r="545" spans="2:7" x14ac:dyDescent="0.2">
      <c r="B545" s="193"/>
      <c r="C545" s="237"/>
      <c r="D545" s="193"/>
      <c r="E545" s="237"/>
      <c r="F545" s="237"/>
      <c r="G545" s="237"/>
    </row>
    <row r="546" spans="2:7" x14ac:dyDescent="0.2">
      <c r="B546" s="193"/>
      <c r="C546" s="237"/>
      <c r="D546" s="193"/>
      <c r="E546" s="237"/>
      <c r="F546" s="237"/>
      <c r="G546" s="237"/>
    </row>
    <row r="547" spans="2:7" x14ac:dyDescent="0.2">
      <c r="B547" s="193"/>
      <c r="C547" s="237"/>
      <c r="D547" s="193"/>
      <c r="E547" s="237"/>
      <c r="F547" s="237"/>
      <c r="G547" s="237"/>
    </row>
    <row r="548" spans="2:7" x14ac:dyDescent="0.2">
      <c r="B548" s="193"/>
      <c r="C548" s="237"/>
      <c r="D548" s="193"/>
      <c r="E548" s="237"/>
      <c r="F548" s="237"/>
      <c r="G548" s="237"/>
    </row>
    <row r="549" spans="2:7" x14ac:dyDescent="0.2">
      <c r="B549" s="193"/>
      <c r="C549" s="237"/>
      <c r="D549" s="193"/>
      <c r="E549" s="237"/>
      <c r="F549" s="237"/>
      <c r="G549" s="237"/>
    </row>
    <row r="550" spans="2:7" x14ac:dyDescent="0.2">
      <c r="B550" s="193"/>
      <c r="C550" s="237"/>
      <c r="D550" s="193"/>
      <c r="E550" s="237"/>
      <c r="F550" s="237"/>
      <c r="G550" s="237"/>
    </row>
    <row r="551" spans="2:7" x14ac:dyDescent="0.2">
      <c r="B551" s="193"/>
      <c r="C551" s="237"/>
      <c r="D551" s="193"/>
      <c r="E551" s="237"/>
      <c r="F551" s="237"/>
      <c r="G551" s="237"/>
    </row>
    <row r="552" spans="2:7" x14ac:dyDescent="0.2">
      <c r="B552" s="193"/>
      <c r="C552" s="237"/>
      <c r="D552" s="193"/>
      <c r="E552" s="237"/>
      <c r="F552" s="237"/>
      <c r="G552" s="237"/>
    </row>
    <row r="553" spans="2:7" x14ac:dyDescent="0.2">
      <c r="B553" s="193"/>
      <c r="C553" s="237"/>
      <c r="D553" s="193"/>
      <c r="E553" s="237"/>
      <c r="F553" s="237"/>
      <c r="G553" s="237"/>
    </row>
    <row r="554" spans="2:7" x14ac:dyDescent="0.2">
      <c r="B554" s="193"/>
      <c r="C554" s="237"/>
      <c r="D554" s="193"/>
      <c r="E554" s="237"/>
      <c r="F554" s="237"/>
      <c r="G554" s="237"/>
    </row>
    <row r="555" spans="2:7" x14ac:dyDescent="0.2">
      <c r="B555" s="193"/>
      <c r="C555" s="237"/>
      <c r="D555" s="193"/>
      <c r="E555" s="237"/>
      <c r="F555" s="237"/>
      <c r="G555" s="237"/>
    </row>
    <row r="556" spans="2:7" x14ac:dyDescent="0.2">
      <c r="B556" s="193"/>
      <c r="C556" s="237"/>
      <c r="D556" s="193"/>
      <c r="E556" s="237"/>
      <c r="F556" s="237"/>
      <c r="G556" s="237"/>
    </row>
    <row r="557" spans="2:7" x14ac:dyDescent="0.2">
      <c r="B557" s="193"/>
      <c r="C557" s="237"/>
      <c r="D557" s="193"/>
      <c r="E557" s="237"/>
      <c r="F557" s="237"/>
      <c r="G557" s="237"/>
    </row>
    <row r="558" spans="2:7" x14ac:dyDescent="0.2">
      <c r="B558" s="193"/>
      <c r="C558" s="237"/>
      <c r="D558" s="193"/>
      <c r="E558" s="237"/>
      <c r="F558" s="237"/>
      <c r="G558" s="237"/>
    </row>
    <row r="559" spans="2:7" x14ac:dyDescent="0.2">
      <c r="B559" s="193"/>
      <c r="C559" s="237"/>
      <c r="D559" s="193"/>
      <c r="E559" s="237"/>
      <c r="F559" s="237"/>
      <c r="G559" s="237"/>
    </row>
    <row r="560" spans="2:7" x14ac:dyDescent="0.2">
      <c r="B560" s="193"/>
      <c r="C560" s="237"/>
      <c r="D560" s="193"/>
      <c r="E560" s="237"/>
      <c r="F560" s="237"/>
      <c r="G560" s="237"/>
    </row>
    <row r="561" spans="2:7" x14ac:dyDescent="0.2">
      <c r="B561" s="193"/>
      <c r="C561" s="237"/>
      <c r="D561" s="193"/>
      <c r="E561" s="237"/>
      <c r="F561" s="237"/>
      <c r="G561" s="237"/>
    </row>
    <row r="562" spans="2:7" x14ac:dyDescent="0.2">
      <c r="B562" s="193"/>
      <c r="C562" s="237"/>
      <c r="D562" s="193"/>
      <c r="E562" s="237"/>
      <c r="F562" s="237"/>
      <c r="G562" s="237"/>
    </row>
    <row r="563" spans="2:7" x14ac:dyDescent="0.2">
      <c r="B563" s="193"/>
      <c r="C563" s="237"/>
      <c r="D563" s="193"/>
      <c r="E563" s="237"/>
      <c r="F563" s="237"/>
      <c r="G563" s="237"/>
    </row>
    <row r="564" spans="2:7" x14ac:dyDescent="0.2">
      <c r="B564" s="193"/>
      <c r="C564" s="237"/>
      <c r="D564" s="193"/>
      <c r="E564" s="237"/>
      <c r="F564" s="237"/>
      <c r="G564" s="237"/>
    </row>
    <row r="565" spans="2:7" x14ac:dyDescent="0.2">
      <c r="B565" s="193"/>
      <c r="C565" s="237"/>
      <c r="D565" s="193"/>
      <c r="E565" s="237"/>
      <c r="F565" s="237"/>
      <c r="G565" s="237"/>
    </row>
    <row r="566" spans="2:7" x14ac:dyDescent="0.2">
      <c r="B566" s="193"/>
      <c r="C566" s="237"/>
      <c r="D566" s="193"/>
      <c r="E566" s="237"/>
      <c r="F566" s="237"/>
      <c r="G566" s="237"/>
    </row>
    <row r="567" spans="2:7" x14ac:dyDescent="0.2">
      <c r="B567" s="193"/>
      <c r="C567" s="237"/>
      <c r="D567" s="193"/>
      <c r="E567" s="237"/>
      <c r="F567" s="237"/>
      <c r="G567" s="237"/>
    </row>
    <row r="568" spans="2:7" x14ac:dyDescent="0.2">
      <c r="B568" s="193"/>
      <c r="C568" s="237"/>
      <c r="D568" s="193"/>
      <c r="E568" s="237"/>
      <c r="F568" s="237"/>
      <c r="G568" s="237"/>
    </row>
    <row r="569" spans="2:7" x14ac:dyDescent="0.2">
      <c r="B569" s="193"/>
      <c r="C569" s="237"/>
      <c r="D569" s="193"/>
      <c r="E569" s="237"/>
      <c r="F569" s="237"/>
      <c r="G569" s="237"/>
    </row>
    <row r="570" spans="2:7" x14ac:dyDescent="0.2">
      <c r="B570" s="193"/>
      <c r="C570" s="237"/>
      <c r="D570" s="193"/>
      <c r="E570" s="237"/>
      <c r="F570" s="237"/>
      <c r="G570" s="237"/>
    </row>
    <row r="571" spans="2:7" x14ac:dyDescent="0.2">
      <c r="B571" s="193"/>
      <c r="C571" s="237"/>
      <c r="D571" s="193"/>
      <c r="E571" s="237"/>
      <c r="F571" s="237"/>
      <c r="G571" s="237"/>
    </row>
    <row r="572" spans="2:7" x14ac:dyDescent="0.2">
      <c r="B572" s="193"/>
      <c r="C572" s="237"/>
      <c r="D572" s="193"/>
      <c r="E572" s="237"/>
      <c r="F572" s="237"/>
      <c r="G572" s="237"/>
    </row>
  </sheetData>
  <mergeCells count="8">
    <mergeCell ref="A9:I9"/>
    <mergeCell ref="A10:G10"/>
    <mergeCell ref="A1:I1"/>
    <mergeCell ref="A2:I2"/>
    <mergeCell ref="A3:I3"/>
    <mergeCell ref="A5:I5"/>
    <mergeCell ref="A6:I6"/>
    <mergeCell ref="A7:I7"/>
  </mergeCells>
  <pageMargins left="0.78740157480314965" right="0.39370078740157483" top="0.59055118110236227" bottom="0.78740157480314965" header="0.31496062992125984" footer="0.31496062992125984"/>
  <pageSetup paperSize="9" scale="62" fitToHeight="100" orientation="portrait" horizontalDpi="300" verticalDpi="300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6"/>
  <sheetViews>
    <sheetView topLeftCell="A545" zoomScaleNormal="100" workbookViewId="0">
      <selection activeCell="A14" sqref="A14:H558"/>
    </sheetView>
  </sheetViews>
  <sheetFormatPr defaultRowHeight="12.75" x14ac:dyDescent="0.2"/>
  <cols>
    <col min="1" max="1" width="61.140625" style="237" customWidth="1"/>
    <col min="2" max="2" width="4.85546875" style="266" customWidth="1"/>
    <col min="3" max="3" width="6.140625" style="266" customWidth="1"/>
    <col min="4" max="4" width="16.85546875" style="266" customWidth="1"/>
    <col min="5" max="5" width="5.85546875" style="266" customWidth="1"/>
    <col min="6" max="7" width="14.85546875" style="266" customWidth="1"/>
    <col min="8" max="8" width="16.85546875" style="266" customWidth="1"/>
    <col min="9" max="9" width="9.140625" style="79" hidden="1" customWidth="1"/>
    <col min="10" max="16384" width="9.140625" style="237"/>
  </cols>
  <sheetData>
    <row r="1" spans="1:9" ht="14.25" customHeight="1" x14ac:dyDescent="0.3">
      <c r="A1" s="289" t="s">
        <v>656</v>
      </c>
      <c r="B1" s="289" t="s">
        <v>657</v>
      </c>
      <c r="C1" s="289" t="s">
        <v>657</v>
      </c>
      <c r="D1" s="289" t="s">
        <v>657</v>
      </c>
      <c r="E1" s="289" t="s">
        <v>657</v>
      </c>
      <c r="F1" s="289" t="s">
        <v>657</v>
      </c>
      <c r="G1" s="289" t="s">
        <v>657</v>
      </c>
      <c r="H1" s="289" t="s">
        <v>657</v>
      </c>
    </row>
    <row r="2" spans="1:9" ht="14.25" customHeight="1" x14ac:dyDescent="0.3">
      <c r="A2" s="289" t="s">
        <v>78</v>
      </c>
      <c r="B2" s="289" t="s">
        <v>78</v>
      </c>
      <c r="C2" s="289" t="s">
        <v>78</v>
      </c>
      <c r="D2" s="289" t="s">
        <v>78</v>
      </c>
      <c r="E2" s="289" t="s">
        <v>78</v>
      </c>
      <c r="F2" s="289" t="s">
        <v>78</v>
      </c>
      <c r="G2" s="289" t="s">
        <v>78</v>
      </c>
      <c r="H2" s="289" t="s">
        <v>78</v>
      </c>
    </row>
    <row r="3" spans="1:9" ht="14.25" customHeight="1" x14ac:dyDescent="0.3">
      <c r="A3" s="289" t="s">
        <v>673</v>
      </c>
      <c r="B3" s="289" t="s">
        <v>658</v>
      </c>
      <c r="C3" s="289" t="s">
        <v>658</v>
      </c>
      <c r="D3" s="289" t="s">
        <v>658</v>
      </c>
      <c r="E3" s="289" t="s">
        <v>658</v>
      </c>
      <c r="F3" s="289" t="s">
        <v>658</v>
      </c>
      <c r="G3" s="289" t="s">
        <v>658</v>
      </c>
      <c r="H3" s="289" t="s">
        <v>658</v>
      </c>
    </row>
    <row r="5" spans="1:9" x14ac:dyDescent="0.2">
      <c r="A5" s="281" t="s">
        <v>459</v>
      </c>
      <c r="B5" s="281" t="s">
        <v>657</v>
      </c>
      <c r="C5" s="281" t="s">
        <v>657</v>
      </c>
      <c r="D5" s="281" t="s">
        <v>657</v>
      </c>
      <c r="E5" s="281" t="s">
        <v>657</v>
      </c>
      <c r="F5" s="281" t="s">
        <v>657</v>
      </c>
      <c r="G5" s="281" t="s">
        <v>657</v>
      </c>
      <c r="H5" s="281" t="s">
        <v>657</v>
      </c>
    </row>
    <row r="6" spans="1:9" x14ac:dyDescent="0.2">
      <c r="A6" s="281" t="s">
        <v>78</v>
      </c>
      <c r="B6" s="281" t="s">
        <v>78</v>
      </c>
      <c r="C6" s="281" t="s">
        <v>78</v>
      </c>
      <c r="D6" s="281" t="s">
        <v>78</v>
      </c>
      <c r="E6" s="281" t="s">
        <v>78</v>
      </c>
      <c r="F6" s="281" t="s">
        <v>78</v>
      </c>
      <c r="G6" s="281" t="s">
        <v>78</v>
      </c>
      <c r="H6" s="281" t="s">
        <v>78</v>
      </c>
    </row>
    <row r="7" spans="1:9" x14ac:dyDescent="0.2">
      <c r="A7" s="281" t="s">
        <v>672</v>
      </c>
      <c r="B7" s="281"/>
      <c r="C7" s="281"/>
      <c r="D7" s="281"/>
      <c r="E7" s="281"/>
      <c r="F7" s="281"/>
      <c r="G7" s="281"/>
      <c r="H7" s="281"/>
    </row>
    <row r="8" spans="1:9" x14ac:dyDescent="0.2">
      <c r="A8" s="217"/>
      <c r="B8" s="217"/>
      <c r="C8" s="217"/>
      <c r="D8" s="217"/>
      <c r="E8" s="218"/>
      <c r="F8" s="217"/>
      <c r="G8" s="217"/>
      <c r="H8" s="217"/>
    </row>
    <row r="9" spans="1:9" s="185" customFormat="1" ht="75" customHeight="1" x14ac:dyDescent="0.2">
      <c r="A9" s="290" t="s">
        <v>659</v>
      </c>
      <c r="B9" s="290"/>
      <c r="C9" s="290"/>
      <c r="D9" s="290"/>
      <c r="E9" s="290"/>
      <c r="F9" s="290"/>
      <c r="G9" s="290"/>
      <c r="H9" s="290"/>
      <c r="I9" s="184"/>
    </row>
    <row r="10" spans="1:9" s="185" customFormat="1" ht="9.75" customHeight="1" x14ac:dyDescent="0.2">
      <c r="A10" s="290"/>
      <c r="B10" s="290"/>
      <c r="C10" s="290"/>
      <c r="D10" s="290"/>
      <c r="E10" s="290"/>
      <c r="F10" s="290"/>
      <c r="I10" s="184"/>
    </row>
    <row r="11" spans="1:9" s="186" customFormat="1" ht="12" thickBot="1" x14ac:dyDescent="0.25">
      <c r="A11" s="292"/>
      <c r="B11" s="292"/>
      <c r="C11" s="292"/>
      <c r="D11" s="292"/>
      <c r="E11" s="292"/>
      <c r="F11" s="292"/>
      <c r="H11" s="219" t="s">
        <v>62</v>
      </c>
      <c r="I11" s="183"/>
    </row>
    <row r="12" spans="1:9" ht="42.75" x14ac:dyDescent="0.2">
      <c r="A12" s="220"/>
      <c r="B12" s="221" t="s">
        <v>8</v>
      </c>
      <c r="C12" s="221" t="s">
        <v>660</v>
      </c>
      <c r="D12" s="221" t="s">
        <v>10</v>
      </c>
      <c r="E12" s="221" t="s">
        <v>11</v>
      </c>
      <c r="F12" s="222" t="s">
        <v>140</v>
      </c>
      <c r="G12" s="222" t="s">
        <v>362</v>
      </c>
      <c r="H12" s="222" t="s">
        <v>412</v>
      </c>
    </row>
    <row r="13" spans="1:9" s="205" customFormat="1" ht="12" x14ac:dyDescent="0.2">
      <c r="A13" s="202">
        <v>1</v>
      </c>
      <c r="B13" s="203">
        <v>2</v>
      </c>
      <c r="C13" s="203">
        <v>3</v>
      </c>
      <c r="D13" s="203">
        <v>4</v>
      </c>
      <c r="E13" s="203">
        <v>5</v>
      </c>
      <c r="F13" s="204">
        <v>6</v>
      </c>
      <c r="G13" s="204">
        <v>7</v>
      </c>
      <c r="H13" s="204">
        <v>8</v>
      </c>
    </row>
    <row r="14" spans="1:9" s="157" customFormat="1" ht="15.75" x14ac:dyDescent="0.25">
      <c r="A14" s="144" t="s">
        <v>60</v>
      </c>
      <c r="B14" s="143" t="s">
        <v>12</v>
      </c>
      <c r="C14" s="143" t="s">
        <v>463</v>
      </c>
      <c r="D14" s="143"/>
      <c r="E14" s="143"/>
      <c r="F14" s="206">
        <v>181172.80000000005</v>
      </c>
      <c r="G14" s="206">
        <v>127388.69999999998</v>
      </c>
      <c r="H14" s="206">
        <v>119664.4</v>
      </c>
    </row>
    <row r="15" spans="1:9" s="74" customFormat="1" ht="25.5" x14ac:dyDescent="0.2">
      <c r="A15" s="70" t="s">
        <v>13</v>
      </c>
      <c r="B15" s="72" t="s">
        <v>12</v>
      </c>
      <c r="C15" s="72" t="s">
        <v>14</v>
      </c>
      <c r="D15" s="72"/>
      <c r="E15" s="72"/>
      <c r="F15" s="73">
        <v>2148.9</v>
      </c>
      <c r="G15" s="73">
        <v>1972.4</v>
      </c>
      <c r="H15" s="73">
        <v>1972.4</v>
      </c>
    </row>
    <row r="16" spans="1:9" s="79" customFormat="1" ht="25.5" x14ac:dyDescent="0.2">
      <c r="A16" s="75" t="s">
        <v>343</v>
      </c>
      <c r="B16" s="77" t="s">
        <v>12</v>
      </c>
      <c r="C16" s="77" t="s">
        <v>14</v>
      </c>
      <c r="D16" s="77" t="s">
        <v>142</v>
      </c>
      <c r="E16" s="77"/>
      <c r="F16" s="78">
        <v>2148.9</v>
      </c>
      <c r="G16" s="78">
        <v>1972.4</v>
      </c>
      <c r="H16" s="78">
        <v>1972.4</v>
      </c>
    </row>
    <row r="17" spans="1:9" s="84" customFormat="1" ht="51" x14ac:dyDescent="0.2">
      <c r="A17" s="80" t="s">
        <v>66</v>
      </c>
      <c r="B17" s="82" t="s">
        <v>12</v>
      </c>
      <c r="C17" s="82" t="s">
        <v>14</v>
      </c>
      <c r="D17" s="82" t="s">
        <v>142</v>
      </c>
      <c r="E17" s="83" t="s">
        <v>67</v>
      </c>
      <c r="F17" s="62">
        <v>2148.9</v>
      </c>
      <c r="G17" s="62">
        <v>1972.4</v>
      </c>
      <c r="H17" s="62">
        <v>1972.4</v>
      </c>
    </row>
    <row r="18" spans="1:9" s="26" customFormat="1" ht="38.25" x14ac:dyDescent="0.2">
      <c r="A18" s="11" t="s">
        <v>15</v>
      </c>
      <c r="B18" s="8" t="s">
        <v>12</v>
      </c>
      <c r="C18" s="8" t="s">
        <v>16</v>
      </c>
      <c r="D18" s="8"/>
      <c r="E18" s="8"/>
      <c r="F18" s="4">
        <v>8266.5999999999985</v>
      </c>
      <c r="G18" s="4">
        <v>7335.1</v>
      </c>
      <c r="H18" s="4">
        <v>7335.1</v>
      </c>
      <c r="I18" s="118"/>
    </row>
    <row r="19" spans="1:9" x14ac:dyDescent="0.2">
      <c r="A19" s="18" t="s">
        <v>219</v>
      </c>
      <c r="B19" s="19" t="s">
        <v>12</v>
      </c>
      <c r="C19" s="19" t="s">
        <v>16</v>
      </c>
      <c r="D19" s="19" t="s">
        <v>218</v>
      </c>
      <c r="E19" s="19"/>
      <c r="F19" s="20">
        <v>3446.2999999999997</v>
      </c>
      <c r="G19" s="20">
        <v>3003.7</v>
      </c>
      <c r="H19" s="20">
        <v>3003.7</v>
      </c>
      <c r="I19" s="117"/>
    </row>
    <row r="20" spans="1:9" s="26" customFormat="1" ht="51" x14ac:dyDescent="0.2">
      <c r="A20" s="30" t="s">
        <v>66</v>
      </c>
      <c r="B20" s="24" t="s">
        <v>12</v>
      </c>
      <c r="C20" s="24" t="s">
        <v>16</v>
      </c>
      <c r="D20" s="24" t="s">
        <v>218</v>
      </c>
      <c r="E20" s="27" t="s">
        <v>67</v>
      </c>
      <c r="F20" s="25">
        <v>2990.2</v>
      </c>
      <c r="G20" s="25">
        <v>2547.6</v>
      </c>
      <c r="H20" s="25">
        <v>2547.6</v>
      </c>
      <c r="I20" s="118"/>
    </row>
    <row r="21" spans="1:9" s="9" customFormat="1" ht="25.5" x14ac:dyDescent="0.2">
      <c r="A21" s="28" t="s">
        <v>76</v>
      </c>
      <c r="B21" s="24" t="s">
        <v>12</v>
      </c>
      <c r="C21" s="24" t="s">
        <v>16</v>
      </c>
      <c r="D21" s="24" t="s">
        <v>218</v>
      </c>
      <c r="E21" s="27" t="s">
        <v>68</v>
      </c>
      <c r="F21" s="25">
        <v>454.1</v>
      </c>
      <c r="G21" s="25">
        <v>454.1</v>
      </c>
      <c r="H21" s="25">
        <v>454.1</v>
      </c>
    </row>
    <row r="22" spans="1:9" x14ac:dyDescent="0.2">
      <c r="A22" s="28" t="s">
        <v>72</v>
      </c>
      <c r="B22" s="24" t="s">
        <v>12</v>
      </c>
      <c r="C22" s="24" t="s">
        <v>16</v>
      </c>
      <c r="D22" s="24" t="s">
        <v>218</v>
      </c>
      <c r="E22" s="24" t="s">
        <v>73</v>
      </c>
      <c r="F22" s="25">
        <v>2</v>
      </c>
      <c r="G22" s="25">
        <v>2</v>
      </c>
      <c r="H22" s="25">
        <v>2</v>
      </c>
      <c r="I22" s="237"/>
    </row>
    <row r="23" spans="1:9" s="26" customFormat="1" ht="25.5" x14ac:dyDescent="0.2">
      <c r="A23" s="18" t="s">
        <v>222</v>
      </c>
      <c r="B23" s="19" t="s">
        <v>12</v>
      </c>
      <c r="C23" s="19" t="s">
        <v>16</v>
      </c>
      <c r="D23" s="19" t="s">
        <v>224</v>
      </c>
      <c r="E23" s="19"/>
      <c r="F23" s="20">
        <v>1817</v>
      </c>
      <c r="G23" s="20">
        <v>1514.4</v>
      </c>
      <c r="H23" s="20">
        <v>1514.4</v>
      </c>
      <c r="I23" s="118"/>
    </row>
    <row r="24" spans="1:9" s="12" customFormat="1" ht="51" x14ac:dyDescent="0.2">
      <c r="A24" s="30" t="s">
        <v>66</v>
      </c>
      <c r="B24" s="24" t="s">
        <v>12</v>
      </c>
      <c r="C24" s="24" t="s">
        <v>16</v>
      </c>
      <c r="D24" s="24" t="s">
        <v>224</v>
      </c>
      <c r="E24" s="27" t="s">
        <v>67</v>
      </c>
      <c r="F24" s="25">
        <v>1817</v>
      </c>
      <c r="G24" s="25">
        <v>1514.4</v>
      </c>
      <c r="H24" s="25">
        <v>1514.4</v>
      </c>
      <c r="I24" s="128"/>
    </row>
    <row r="25" spans="1:9" s="133" customFormat="1" x14ac:dyDescent="0.2">
      <c r="A25" s="18" t="s">
        <v>223</v>
      </c>
      <c r="B25" s="19" t="s">
        <v>12</v>
      </c>
      <c r="C25" s="19" t="s">
        <v>16</v>
      </c>
      <c r="D25" s="19" t="s">
        <v>225</v>
      </c>
      <c r="E25" s="19"/>
      <c r="F25" s="20">
        <v>3003.3</v>
      </c>
      <c r="G25" s="20">
        <v>2817</v>
      </c>
      <c r="H25" s="20">
        <v>2817</v>
      </c>
      <c r="I25" s="129"/>
    </row>
    <row r="26" spans="1:9" ht="51" x14ac:dyDescent="0.2">
      <c r="A26" s="30" t="s">
        <v>66</v>
      </c>
      <c r="B26" s="24" t="s">
        <v>12</v>
      </c>
      <c r="C26" s="24" t="s">
        <v>16</v>
      </c>
      <c r="D26" s="24" t="s">
        <v>225</v>
      </c>
      <c r="E26" s="27" t="s">
        <v>67</v>
      </c>
      <c r="F26" s="25">
        <v>3003.3</v>
      </c>
      <c r="G26" s="25">
        <v>2817</v>
      </c>
      <c r="H26" s="25">
        <v>2817</v>
      </c>
      <c r="I26" s="117"/>
    </row>
    <row r="27" spans="1:9" s="84" customFormat="1" ht="38.25" x14ac:dyDescent="0.2">
      <c r="A27" s="70" t="s">
        <v>17</v>
      </c>
      <c r="B27" s="72" t="s">
        <v>12</v>
      </c>
      <c r="C27" s="72" t="s">
        <v>18</v>
      </c>
      <c r="D27" s="72"/>
      <c r="E27" s="72"/>
      <c r="F27" s="25">
        <v>67538.8</v>
      </c>
      <c r="G27" s="25">
        <v>56260.299999999996</v>
      </c>
      <c r="H27" s="25">
        <v>55266.7</v>
      </c>
      <c r="I27" s="25">
        <f>SUM(I28,I31,I34,I40)+I38</f>
        <v>0</v>
      </c>
    </row>
    <row r="28" spans="1:9" ht="25.5" x14ac:dyDescent="0.2">
      <c r="A28" s="18" t="s">
        <v>143</v>
      </c>
      <c r="B28" s="19" t="s">
        <v>12</v>
      </c>
      <c r="C28" s="19" t="s">
        <v>18</v>
      </c>
      <c r="D28" s="19" t="s">
        <v>88</v>
      </c>
      <c r="E28" s="19"/>
      <c r="F28" s="20">
        <v>468.29999999999995</v>
      </c>
      <c r="G28" s="20">
        <v>468.29999999999995</v>
      </c>
      <c r="H28" s="20">
        <v>468.29999999999995</v>
      </c>
      <c r="I28" s="237"/>
    </row>
    <row r="29" spans="1:9" s="26" customFormat="1" ht="51" x14ac:dyDescent="0.2">
      <c r="A29" s="30" t="s">
        <v>66</v>
      </c>
      <c r="B29" s="24" t="s">
        <v>12</v>
      </c>
      <c r="C29" s="24" t="s">
        <v>18</v>
      </c>
      <c r="D29" s="24" t="s">
        <v>88</v>
      </c>
      <c r="E29" s="27" t="s">
        <v>67</v>
      </c>
      <c r="F29" s="25">
        <v>440.29999999999995</v>
      </c>
      <c r="G29" s="25">
        <v>440.29999999999995</v>
      </c>
      <c r="H29" s="25">
        <v>440.29999999999995</v>
      </c>
    </row>
    <row r="30" spans="1:9" ht="25.5" x14ac:dyDescent="0.2">
      <c r="A30" s="28" t="s">
        <v>76</v>
      </c>
      <c r="B30" s="24" t="s">
        <v>12</v>
      </c>
      <c r="C30" s="24" t="s">
        <v>18</v>
      </c>
      <c r="D30" s="24" t="s">
        <v>88</v>
      </c>
      <c r="E30" s="27" t="s">
        <v>68</v>
      </c>
      <c r="F30" s="25">
        <v>28</v>
      </c>
      <c r="G30" s="25">
        <v>28</v>
      </c>
      <c r="H30" s="25">
        <v>28</v>
      </c>
      <c r="I30" s="237"/>
    </row>
    <row r="31" spans="1:9" s="84" customFormat="1" x14ac:dyDescent="0.2">
      <c r="A31" s="75" t="s">
        <v>144</v>
      </c>
      <c r="B31" s="77" t="s">
        <v>12</v>
      </c>
      <c r="C31" s="77" t="s">
        <v>18</v>
      </c>
      <c r="D31" s="77" t="s">
        <v>87</v>
      </c>
      <c r="E31" s="77"/>
      <c r="F31" s="78">
        <v>115</v>
      </c>
      <c r="G31" s="78">
        <v>115</v>
      </c>
      <c r="H31" s="78">
        <v>115</v>
      </c>
    </row>
    <row r="32" spans="1:9" s="84" customFormat="1" ht="51" x14ac:dyDescent="0.2">
      <c r="A32" s="80" t="s">
        <v>66</v>
      </c>
      <c r="B32" s="82" t="s">
        <v>12</v>
      </c>
      <c r="C32" s="82" t="s">
        <v>18</v>
      </c>
      <c r="D32" s="82" t="s">
        <v>87</v>
      </c>
      <c r="E32" s="83" t="s">
        <v>67</v>
      </c>
      <c r="F32" s="62">
        <v>113</v>
      </c>
      <c r="G32" s="62">
        <v>113</v>
      </c>
      <c r="H32" s="62">
        <v>113</v>
      </c>
    </row>
    <row r="33" spans="1:9" s="84" customFormat="1" ht="25.5" x14ac:dyDescent="0.2">
      <c r="A33" s="85" t="s">
        <v>135</v>
      </c>
      <c r="B33" s="82" t="s">
        <v>12</v>
      </c>
      <c r="C33" s="82" t="s">
        <v>18</v>
      </c>
      <c r="D33" s="82" t="s">
        <v>87</v>
      </c>
      <c r="E33" s="83" t="s">
        <v>68</v>
      </c>
      <c r="F33" s="62">
        <v>2</v>
      </c>
      <c r="G33" s="62">
        <v>2</v>
      </c>
      <c r="H33" s="62">
        <v>2</v>
      </c>
    </row>
    <row r="34" spans="1:9" s="157" customFormat="1" ht="26.25" x14ac:dyDescent="0.25">
      <c r="A34" s="18" t="s">
        <v>343</v>
      </c>
      <c r="B34" s="19" t="s">
        <v>12</v>
      </c>
      <c r="C34" s="19" t="s">
        <v>18</v>
      </c>
      <c r="D34" s="19" t="s">
        <v>145</v>
      </c>
      <c r="E34" s="19"/>
      <c r="F34" s="20">
        <v>60644</v>
      </c>
      <c r="G34" s="20">
        <v>50316.399999999994</v>
      </c>
      <c r="H34" s="20">
        <v>49322.799999999996</v>
      </c>
      <c r="I34" s="207"/>
    </row>
    <row r="35" spans="1:9" s="74" customFormat="1" ht="51" x14ac:dyDescent="0.2">
      <c r="A35" s="80" t="s">
        <v>66</v>
      </c>
      <c r="B35" s="82" t="s">
        <v>12</v>
      </c>
      <c r="C35" s="82" t="s">
        <v>18</v>
      </c>
      <c r="D35" s="82" t="s">
        <v>145</v>
      </c>
      <c r="E35" s="83" t="s">
        <v>67</v>
      </c>
      <c r="F35" s="62">
        <v>38881.599999999999</v>
      </c>
      <c r="G35" s="62">
        <v>33307.1</v>
      </c>
      <c r="H35" s="62">
        <v>33307.1</v>
      </c>
    </row>
    <row r="36" spans="1:9" ht="25.5" x14ac:dyDescent="0.2">
      <c r="A36" s="28" t="s">
        <v>76</v>
      </c>
      <c r="B36" s="24" t="s">
        <v>12</v>
      </c>
      <c r="C36" s="24" t="s">
        <v>18</v>
      </c>
      <c r="D36" s="24" t="s">
        <v>145</v>
      </c>
      <c r="E36" s="27" t="s">
        <v>68</v>
      </c>
      <c r="F36" s="62">
        <v>21448.800000000003</v>
      </c>
      <c r="G36" s="62">
        <v>16583.699999999997</v>
      </c>
      <c r="H36" s="62">
        <v>15590.099999999999</v>
      </c>
      <c r="I36" s="117"/>
    </row>
    <row r="37" spans="1:9" s="26" customFormat="1" x14ac:dyDescent="0.2">
      <c r="A37" s="28" t="s">
        <v>72</v>
      </c>
      <c r="B37" s="24" t="s">
        <v>12</v>
      </c>
      <c r="C37" s="24" t="s">
        <v>18</v>
      </c>
      <c r="D37" s="24" t="s">
        <v>145</v>
      </c>
      <c r="E37" s="24" t="s">
        <v>73</v>
      </c>
      <c r="F37" s="62">
        <v>313.60000000000002</v>
      </c>
      <c r="G37" s="62">
        <v>425.6</v>
      </c>
      <c r="H37" s="62">
        <v>425.6</v>
      </c>
      <c r="I37" s="118"/>
    </row>
    <row r="38" spans="1:9" s="79" customFormat="1" ht="25.5" x14ac:dyDescent="0.2">
      <c r="A38" s="89" t="s">
        <v>163</v>
      </c>
      <c r="B38" s="77" t="s">
        <v>12</v>
      </c>
      <c r="C38" s="77" t="s">
        <v>18</v>
      </c>
      <c r="D38" s="77" t="s">
        <v>162</v>
      </c>
      <c r="E38" s="90"/>
      <c r="F38" s="91">
        <v>300</v>
      </c>
      <c r="G38" s="91">
        <v>300</v>
      </c>
      <c r="H38" s="91">
        <v>300</v>
      </c>
    </row>
    <row r="39" spans="1:9" s="79" customFormat="1" ht="25.5" x14ac:dyDescent="0.2">
      <c r="A39" s="28" t="s">
        <v>76</v>
      </c>
      <c r="B39" s="82" t="s">
        <v>12</v>
      </c>
      <c r="C39" s="82" t="s">
        <v>18</v>
      </c>
      <c r="D39" s="82" t="s">
        <v>162</v>
      </c>
      <c r="E39" s="82" t="s">
        <v>68</v>
      </c>
      <c r="F39" s="62">
        <v>300</v>
      </c>
      <c r="G39" s="62">
        <v>300</v>
      </c>
      <c r="H39" s="62">
        <v>300</v>
      </c>
    </row>
    <row r="40" spans="1:9" s="168" customFormat="1" ht="25.5" x14ac:dyDescent="0.2">
      <c r="A40" s="18" t="s">
        <v>343</v>
      </c>
      <c r="B40" s="19" t="s">
        <v>12</v>
      </c>
      <c r="C40" s="19" t="s">
        <v>18</v>
      </c>
      <c r="D40" s="19" t="s">
        <v>146</v>
      </c>
      <c r="E40" s="19"/>
      <c r="F40" s="20">
        <v>6011.4999999999991</v>
      </c>
      <c r="G40" s="20">
        <v>5060.5999999999995</v>
      </c>
      <c r="H40" s="20">
        <v>5060.5999999999995</v>
      </c>
      <c r="I40" s="208"/>
    </row>
    <row r="41" spans="1:9" s="9" customFormat="1" ht="51" x14ac:dyDescent="0.2">
      <c r="A41" s="30" t="s">
        <v>66</v>
      </c>
      <c r="B41" s="24" t="s">
        <v>12</v>
      </c>
      <c r="C41" s="24" t="s">
        <v>18</v>
      </c>
      <c r="D41" s="19" t="s">
        <v>146</v>
      </c>
      <c r="E41" s="27" t="s">
        <v>67</v>
      </c>
      <c r="F41" s="25">
        <v>5475.7999999999993</v>
      </c>
      <c r="G41" s="25">
        <v>4694.8999999999996</v>
      </c>
      <c r="H41" s="25">
        <v>4694.8999999999996</v>
      </c>
      <c r="I41" s="127"/>
    </row>
    <row r="42" spans="1:9" s="79" customFormat="1" ht="25.5" x14ac:dyDescent="0.2">
      <c r="A42" s="87" t="s">
        <v>76</v>
      </c>
      <c r="B42" s="82" t="s">
        <v>12</v>
      </c>
      <c r="C42" s="82" t="s">
        <v>18</v>
      </c>
      <c r="D42" s="77" t="s">
        <v>146</v>
      </c>
      <c r="E42" s="83" t="s">
        <v>68</v>
      </c>
      <c r="F42" s="25">
        <v>535.70000000000005</v>
      </c>
      <c r="G42" s="25">
        <v>365.7</v>
      </c>
      <c r="H42" s="25">
        <v>365.7</v>
      </c>
    </row>
    <row r="43" spans="1:9" s="9" customFormat="1" x14ac:dyDescent="0.2">
      <c r="A43" s="11" t="s">
        <v>366</v>
      </c>
      <c r="B43" s="8" t="s">
        <v>12</v>
      </c>
      <c r="C43" s="8" t="s">
        <v>31</v>
      </c>
      <c r="D43" s="8"/>
      <c r="E43" s="8"/>
      <c r="F43" s="4">
        <v>16.3</v>
      </c>
      <c r="G43" s="4">
        <v>16.899999999999999</v>
      </c>
      <c r="H43" s="4">
        <v>17.5</v>
      </c>
    </row>
    <row r="44" spans="1:9" ht="45.75" customHeight="1" x14ac:dyDescent="0.2">
      <c r="A44" s="18" t="s">
        <v>367</v>
      </c>
      <c r="B44" s="19" t="s">
        <v>12</v>
      </c>
      <c r="C44" s="19" t="s">
        <v>31</v>
      </c>
      <c r="D44" s="19" t="s">
        <v>396</v>
      </c>
      <c r="E44" s="19"/>
      <c r="F44" s="20">
        <v>16.3</v>
      </c>
      <c r="G44" s="20">
        <v>16.899999999999999</v>
      </c>
      <c r="H44" s="20">
        <v>17.5</v>
      </c>
      <c r="I44" s="237"/>
    </row>
    <row r="45" spans="1:9" s="26" customFormat="1" ht="25.5" x14ac:dyDescent="0.2">
      <c r="A45" s="23" t="s">
        <v>135</v>
      </c>
      <c r="B45" s="24" t="s">
        <v>12</v>
      </c>
      <c r="C45" s="24" t="s">
        <v>31</v>
      </c>
      <c r="D45" s="24" t="s">
        <v>396</v>
      </c>
      <c r="E45" s="27" t="s">
        <v>68</v>
      </c>
      <c r="F45" s="25">
        <v>16.3</v>
      </c>
      <c r="G45" s="25">
        <v>16.899999999999999</v>
      </c>
      <c r="H45" s="25">
        <v>17.5</v>
      </c>
    </row>
    <row r="46" spans="1:9" s="168" customFormat="1" ht="38.25" x14ac:dyDescent="0.2">
      <c r="A46" s="11" t="s">
        <v>82</v>
      </c>
      <c r="B46" s="8" t="s">
        <v>12</v>
      </c>
      <c r="C46" s="8" t="s">
        <v>50</v>
      </c>
      <c r="D46" s="8"/>
      <c r="E46" s="8"/>
      <c r="F46" s="4">
        <v>2941.3</v>
      </c>
      <c r="G46" s="4">
        <v>2528.4</v>
      </c>
      <c r="H46" s="4">
        <v>2528.4</v>
      </c>
    </row>
    <row r="47" spans="1:9" s="9" customFormat="1" x14ac:dyDescent="0.2">
      <c r="A47" s="18" t="s">
        <v>219</v>
      </c>
      <c r="B47" s="19" t="s">
        <v>12</v>
      </c>
      <c r="C47" s="19" t="s">
        <v>50</v>
      </c>
      <c r="D47" s="19" t="s">
        <v>218</v>
      </c>
      <c r="E47" s="19"/>
      <c r="F47" s="20">
        <v>2175</v>
      </c>
      <c r="G47" s="20">
        <v>1889.9</v>
      </c>
      <c r="H47" s="20">
        <v>1889.9</v>
      </c>
      <c r="I47" s="127"/>
    </row>
    <row r="48" spans="1:9" ht="51" x14ac:dyDescent="0.2">
      <c r="A48" s="30" t="s">
        <v>66</v>
      </c>
      <c r="B48" s="24" t="s">
        <v>12</v>
      </c>
      <c r="C48" s="24" t="s">
        <v>50</v>
      </c>
      <c r="D48" s="24" t="s">
        <v>218</v>
      </c>
      <c r="E48" s="27" t="s">
        <v>67</v>
      </c>
      <c r="F48" s="25">
        <v>1719.6</v>
      </c>
      <c r="G48" s="25">
        <v>1434.5</v>
      </c>
      <c r="H48" s="25">
        <v>1434.5</v>
      </c>
      <c r="I48" s="117"/>
    </row>
    <row r="49" spans="1:9" ht="25.5" x14ac:dyDescent="0.2">
      <c r="A49" s="28" t="s">
        <v>76</v>
      </c>
      <c r="B49" s="24" t="s">
        <v>12</v>
      </c>
      <c r="C49" s="24" t="s">
        <v>50</v>
      </c>
      <c r="D49" s="24" t="s">
        <v>218</v>
      </c>
      <c r="E49" s="27" t="s">
        <v>68</v>
      </c>
      <c r="F49" s="25">
        <v>455</v>
      </c>
      <c r="G49" s="25">
        <v>455</v>
      </c>
      <c r="H49" s="25">
        <v>455</v>
      </c>
      <c r="I49" s="237"/>
    </row>
    <row r="50" spans="1:9" s="26" customFormat="1" x14ac:dyDescent="0.2">
      <c r="A50" s="28" t="s">
        <v>72</v>
      </c>
      <c r="B50" s="24" t="s">
        <v>12</v>
      </c>
      <c r="C50" s="24" t="s">
        <v>50</v>
      </c>
      <c r="D50" s="24" t="s">
        <v>218</v>
      </c>
      <c r="E50" s="24" t="s">
        <v>73</v>
      </c>
      <c r="F50" s="25">
        <v>0.4</v>
      </c>
      <c r="G50" s="25">
        <v>0.4</v>
      </c>
      <c r="H50" s="25">
        <v>0.4</v>
      </c>
    </row>
    <row r="51" spans="1:9" x14ac:dyDescent="0.2">
      <c r="A51" s="18" t="s">
        <v>220</v>
      </c>
      <c r="B51" s="19" t="s">
        <v>12</v>
      </c>
      <c r="C51" s="19" t="s">
        <v>50</v>
      </c>
      <c r="D51" s="19" t="s">
        <v>221</v>
      </c>
      <c r="E51" s="19"/>
      <c r="F51" s="20">
        <v>766.3</v>
      </c>
      <c r="G51" s="20">
        <v>638.5</v>
      </c>
      <c r="H51" s="20">
        <v>638.5</v>
      </c>
      <c r="I51" s="117"/>
    </row>
    <row r="52" spans="1:9" s="26" customFormat="1" ht="51" x14ac:dyDescent="0.2">
      <c r="A52" s="30" t="s">
        <v>66</v>
      </c>
      <c r="B52" s="24" t="s">
        <v>12</v>
      </c>
      <c r="C52" s="24" t="s">
        <v>50</v>
      </c>
      <c r="D52" s="24" t="s">
        <v>221</v>
      </c>
      <c r="E52" s="27" t="s">
        <v>67</v>
      </c>
      <c r="F52" s="25">
        <v>766.3</v>
      </c>
      <c r="G52" s="25">
        <v>638.5</v>
      </c>
      <c r="H52" s="25">
        <v>638.5</v>
      </c>
      <c r="I52" s="118"/>
    </row>
    <row r="53" spans="1:9" s="79" customFormat="1" x14ac:dyDescent="0.2">
      <c r="A53" s="70" t="s">
        <v>22</v>
      </c>
      <c r="B53" s="72" t="s">
        <v>12</v>
      </c>
      <c r="C53" s="72" t="s">
        <v>21</v>
      </c>
      <c r="D53" s="72"/>
      <c r="E53" s="72"/>
      <c r="F53" s="73">
        <v>1544.1</v>
      </c>
      <c r="G53" s="73">
        <v>2024.1</v>
      </c>
      <c r="H53" s="73">
        <v>57.799999999999955</v>
      </c>
    </row>
    <row r="54" spans="1:9" s="26" customFormat="1" x14ac:dyDescent="0.2">
      <c r="A54" s="18" t="s">
        <v>285</v>
      </c>
      <c r="B54" s="19" t="s">
        <v>12</v>
      </c>
      <c r="C54" s="19" t="s">
        <v>21</v>
      </c>
      <c r="D54" s="19" t="s">
        <v>287</v>
      </c>
      <c r="E54" s="19"/>
      <c r="F54" s="20">
        <v>1544.1</v>
      </c>
      <c r="G54" s="20">
        <v>2024.1</v>
      </c>
      <c r="H54" s="20">
        <v>57.799999999999955</v>
      </c>
      <c r="I54" s="118"/>
    </row>
    <row r="55" spans="1:9" s="79" customFormat="1" x14ac:dyDescent="0.2">
      <c r="A55" s="87" t="s">
        <v>72</v>
      </c>
      <c r="B55" s="82" t="s">
        <v>12</v>
      </c>
      <c r="C55" s="82" t="s">
        <v>21</v>
      </c>
      <c r="D55" s="82" t="s">
        <v>287</v>
      </c>
      <c r="E55" s="82" t="s">
        <v>73</v>
      </c>
      <c r="F55" s="62">
        <v>1544.1</v>
      </c>
      <c r="G55" s="62">
        <v>2024.1</v>
      </c>
      <c r="H55" s="62">
        <v>57.799999999999955</v>
      </c>
    </row>
    <row r="56" spans="1:9" s="84" customFormat="1" x14ac:dyDescent="0.2">
      <c r="A56" s="70" t="s">
        <v>24</v>
      </c>
      <c r="B56" s="72" t="s">
        <v>12</v>
      </c>
      <c r="C56" s="72" t="s">
        <v>61</v>
      </c>
      <c r="D56" s="72"/>
      <c r="E56" s="72"/>
      <c r="F56" s="73">
        <v>98716.800000000032</v>
      </c>
      <c r="G56" s="73">
        <v>57251.5</v>
      </c>
      <c r="H56" s="73">
        <v>52486.5</v>
      </c>
    </row>
    <row r="57" spans="1:9" s="84" customFormat="1" x14ac:dyDescent="0.2">
      <c r="A57" s="75" t="s">
        <v>147</v>
      </c>
      <c r="B57" s="77" t="s">
        <v>12</v>
      </c>
      <c r="C57" s="77" t="s">
        <v>61</v>
      </c>
      <c r="D57" s="77" t="s">
        <v>148</v>
      </c>
      <c r="E57" s="77"/>
      <c r="F57" s="78">
        <v>20202.300000000003</v>
      </c>
      <c r="G57" s="78">
        <v>18565.099999999999</v>
      </c>
      <c r="H57" s="78">
        <v>18324.2</v>
      </c>
    </row>
    <row r="58" spans="1:9" s="84" customFormat="1" ht="25.5" x14ac:dyDescent="0.2">
      <c r="A58" s="87" t="s">
        <v>141</v>
      </c>
      <c r="B58" s="82" t="s">
        <v>12</v>
      </c>
      <c r="C58" s="82" t="s">
        <v>61</v>
      </c>
      <c r="D58" s="82" t="s">
        <v>148</v>
      </c>
      <c r="E58" s="82" t="s">
        <v>65</v>
      </c>
      <c r="F58" s="62">
        <v>20202.300000000003</v>
      </c>
      <c r="G58" s="62">
        <v>18565.099999999999</v>
      </c>
      <c r="H58" s="62">
        <v>18324.2</v>
      </c>
    </row>
    <row r="59" spans="1:9" s="79" customFormat="1" ht="25.5" x14ac:dyDescent="0.2">
      <c r="A59" s="89" t="s">
        <v>163</v>
      </c>
      <c r="B59" s="77" t="s">
        <v>12</v>
      </c>
      <c r="C59" s="77" t="s">
        <v>61</v>
      </c>
      <c r="D59" s="77" t="s">
        <v>162</v>
      </c>
      <c r="E59" s="90"/>
      <c r="F59" s="91">
        <v>91.6</v>
      </c>
      <c r="G59" s="91">
        <v>91.6</v>
      </c>
      <c r="H59" s="91">
        <v>91.6</v>
      </c>
    </row>
    <row r="60" spans="1:9" s="79" customFormat="1" ht="25.5" x14ac:dyDescent="0.2">
      <c r="A60" s="87" t="s">
        <v>141</v>
      </c>
      <c r="B60" s="82" t="s">
        <v>12</v>
      </c>
      <c r="C60" s="82" t="s">
        <v>61</v>
      </c>
      <c r="D60" s="77" t="s">
        <v>162</v>
      </c>
      <c r="E60" s="82" t="s">
        <v>65</v>
      </c>
      <c r="F60" s="62">
        <v>91.6</v>
      </c>
      <c r="G60" s="62">
        <v>91.6</v>
      </c>
      <c r="H60" s="62">
        <v>91.6</v>
      </c>
    </row>
    <row r="61" spans="1:9" x14ac:dyDescent="0.2">
      <c r="A61" s="18" t="s">
        <v>172</v>
      </c>
      <c r="B61" s="19" t="s">
        <v>12</v>
      </c>
      <c r="C61" s="19" t="s">
        <v>61</v>
      </c>
      <c r="D61" s="19" t="s">
        <v>171</v>
      </c>
      <c r="E61" s="19"/>
      <c r="F61" s="20">
        <v>4543</v>
      </c>
      <c r="G61" s="20">
        <v>0</v>
      </c>
      <c r="H61" s="20">
        <v>0</v>
      </c>
      <c r="I61" s="237"/>
    </row>
    <row r="62" spans="1:9" s="79" customFormat="1" ht="25.5" x14ac:dyDescent="0.2">
      <c r="A62" s="87" t="s">
        <v>83</v>
      </c>
      <c r="B62" s="82" t="s">
        <v>12</v>
      </c>
      <c r="C62" s="82" t="s">
        <v>61</v>
      </c>
      <c r="D62" s="77" t="s">
        <v>171</v>
      </c>
      <c r="E62" s="82" t="s">
        <v>71</v>
      </c>
      <c r="F62" s="62">
        <v>4543</v>
      </c>
      <c r="G62" s="62">
        <v>0</v>
      </c>
      <c r="H62" s="62">
        <v>0</v>
      </c>
    </row>
    <row r="63" spans="1:9" s="79" customFormat="1" ht="38.25" x14ac:dyDescent="0.2">
      <c r="A63" s="75" t="s">
        <v>403</v>
      </c>
      <c r="B63" s="82" t="s">
        <v>12</v>
      </c>
      <c r="C63" s="82" t="s">
        <v>61</v>
      </c>
      <c r="D63" s="77" t="s">
        <v>404</v>
      </c>
      <c r="E63" s="82"/>
      <c r="F63" s="62">
        <v>3423.8</v>
      </c>
      <c r="G63" s="62">
        <v>3218</v>
      </c>
      <c r="H63" s="62">
        <v>3218</v>
      </c>
    </row>
    <row r="64" spans="1:9" ht="25.5" x14ac:dyDescent="0.2">
      <c r="A64" s="28" t="s">
        <v>141</v>
      </c>
      <c r="B64" s="24" t="s">
        <v>12</v>
      </c>
      <c r="C64" s="24" t="s">
        <v>61</v>
      </c>
      <c r="D64" s="19" t="s">
        <v>404</v>
      </c>
      <c r="E64" s="24" t="s">
        <v>65</v>
      </c>
      <c r="F64" s="25">
        <v>3423.8</v>
      </c>
      <c r="G64" s="25">
        <v>3218</v>
      </c>
      <c r="H64" s="25">
        <v>3218</v>
      </c>
      <c r="I64" s="117"/>
    </row>
    <row r="65" spans="1:9" ht="33.75" customHeight="1" x14ac:dyDescent="0.2">
      <c r="A65" s="18" t="s">
        <v>149</v>
      </c>
      <c r="B65" s="19" t="s">
        <v>12</v>
      </c>
      <c r="C65" s="19" t="s">
        <v>61</v>
      </c>
      <c r="D65" s="19" t="s">
        <v>86</v>
      </c>
      <c r="E65" s="19"/>
      <c r="F65" s="20">
        <v>120</v>
      </c>
      <c r="G65" s="20">
        <v>120</v>
      </c>
      <c r="H65" s="20">
        <v>120</v>
      </c>
      <c r="I65" s="237"/>
    </row>
    <row r="66" spans="1:9" s="26" customFormat="1" ht="25.5" x14ac:dyDescent="0.2">
      <c r="A66" s="28" t="s">
        <v>141</v>
      </c>
      <c r="B66" s="24" t="s">
        <v>12</v>
      </c>
      <c r="C66" s="24" t="s">
        <v>61</v>
      </c>
      <c r="D66" s="24" t="s">
        <v>86</v>
      </c>
      <c r="E66" s="24" t="s">
        <v>65</v>
      </c>
      <c r="F66" s="25">
        <v>120</v>
      </c>
      <c r="G66" s="25">
        <v>120</v>
      </c>
      <c r="H66" s="25">
        <v>120</v>
      </c>
    </row>
    <row r="67" spans="1:9" s="26" customFormat="1" ht="25.5" x14ac:dyDescent="0.2">
      <c r="A67" s="132" t="s">
        <v>152</v>
      </c>
      <c r="B67" s="16" t="s">
        <v>12</v>
      </c>
      <c r="C67" s="19" t="s">
        <v>61</v>
      </c>
      <c r="D67" s="5" t="s">
        <v>153</v>
      </c>
      <c r="E67" s="5"/>
      <c r="F67" s="6">
        <v>6102.4</v>
      </c>
      <c r="G67" s="6">
        <v>5051</v>
      </c>
      <c r="H67" s="6">
        <v>4915.6000000000004</v>
      </c>
      <c r="I67" s="118"/>
    </row>
    <row r="68" spans="1:9" s="26" customFormat="1" ht="25.5" x14ac:dyDescent="0.2">
      <c r="A68" s="28" t="s">
        <v>141</v>
      </c>
      <c r="B68" s="24" t="s">
        <v>12</v>
      </c>
      <c r="C68" s="24" t="s">
        <v>61</v>
      </c>
      <c r="D68" s="24" t="s">
        <v>153</v>
      </c>
      <c r="E68" s="24" t="s">
        <v>65</v>
      </c>
      <c r="F68" s="25">
        <v>6102.4</v>
      </c>
      <c r="G68" s="25">
        <v>5051</v>
      </c>
      <c r="H68" s="25">
        <v>4915.6000000000004</v>
      </c>
      <c r="I68" s="25">
        <f>'изменения июль вед стр-ра'!J57</f>
        <v>0</v>
      </c>
    </row>
    <row r="69" spans="1:9" s="79" customFormat="1" ht="25.5" x14ac:dyDescent="0.2">
      <c r="A69" s="89" t="s">
        <v>150</v>
      </c>
      <c r="B69" s="77" t="s">
        <v>12</v>
      </c>
      <c r="C69" s="77" t="s">
        <v>61</v>
      </c>
      <c r="D69" s="77" t="s">
        <v>151</v>
      </c>
      <c r="E69" s="77"/>
      <c r="F69" s="78">
        <v>966</v>
      </c>
      <c r="G69" s="78">
        <v>966</v>
      </c>
      <c r="H69" s="78">
        <v>966</v>
      </c>
    </row>
    <row r="70" spans="1:9" s="84" customFormat="1" x14ac:dyDescent="0.2">
      <c r="A70" s="87" t="s">
        <v>69</v>
      </c>
      <c r="B70" s="82" t="s">
        <v>12</v>
      </c>
      <c r="C70" s="82" t="s">
        <v>61</v>
      </c>
      <c r="D70" s="82" t="s">
        <v>151</v>
      </c>
      <c r="E70" s="82" t="s">
        <v>70</v>
      </c>
      <c r="F70" s="62">
        <v>966</v>
      </c>
      <c r="G70" s="62">
        <v>966</v>
      </c>
      <c r="H70" s="62">
        <v>966</v>
      </c>
    </row>
    <row r="71" spans="1:9" s="79" customFormat="1" x14ac:dyDescent="0.2">
      <c r="A71" s="75" t="s">
        <v>227</v>
      </c>
      <c r="B71" s="77" t="s">
        <v>12</v>
      </c>
      <c r="C71" s="77" t="s">
        <v>61</v>
      </c>
      <c r="D71" s="77" t="s">
        <v>226</v>
      </c>
      <c r="E71" s="77"/>
      <c r="F71" s="78">
        <v>3423.5</v>
      </c>
      <c r="G71" s="78">
        <v>3423.5</v>
      </c>
      <c r="H71" s="78">
        <v>144.30000000000001</v>
      </c>
    </row>
    <row r="72" spans="1:9" s="84" customFormat="1" x14ac:dyDescent="0.2">
      <c r="A72" s="87" t="s">
        <v>69</v>
      </c>
      <c r="B72" s="82" t="s">
        <v>12</v>
      </c>
      <c r="C72" s="82" t="s">
        <v>61</v>
      </c>
      <c r="D72" s="82" t="s">
        <v>226</v>
      </c>
      <c r="E72" s="82" t="s">
        <v>70</v>
      </c>
      <c r="F72" s="62">
        <v>3423.5</v>
      </c>
      <c r="G72" s="62">
        <v>3423.5</v>
      </c>
      <c r="H72" s="62">
        <v>144.30000000000001</v>
      </c>
    </row>
    <row r="73" spans="1:9" s="9" customFormat="1" x14ac:dyDescent="0.2">
      <c r="A73" s="18" t="s">
        <v>286</v>
      </c>
      <c r="B73" s="19" t="s">
        <v>12</v>
      </c>
      <c r="C73" s="19" t="s">
        <v>61</v>
      </c>
      <c r="D73" s="19" t="s">
        <v>288</v>
      </c>
      <c r="E73" s="19"/>
      <c r="F73" s="20">
        <v>1109.5</v>
      </c>
      <c r="G73" s="20">
        <v>1109.5</v>
      </c>
      <c r="H73" s="20">
        <v>0</v>
      </c>
    </row>
    <row r="74" spans="1:9" s="7" customFormat="1" x14ac:dyDescent="0.2">
      <c r="A74" s="28" t="s">
        <v>72</v>
      </c>
      <c r="B74" s="24" t="s">
        <v>12</v>
      </c>
      <c r="C74" s="24" t="s">
        <v>61</v>
      </c>
      <c r="D74" s="24" t="s">
        <v>288</v>
      </c>
      <c r="E74" s="24" t="s">
        <v>73</v>
      </c>
      <c r="F74" s="25">
        <v>1109.5</v>
      </c>
      <c r="G74" s="25">
        <v>1109.5</v>
      </c>
      <c r="H74" s="25">
        <v>0</v>
      </c>
    </row>
    <row r="75" spans="1:9" s="7" customFormat="1" ht="30.75" customHeight="1" x14ac:dyDescent="0.2">
      <c r="A75" s="18" t="s">
        <v>198</v>
      </c>
      <c r="B75" s="19" t="s">
        <v>12</v>
      </c>
      <c r="C75" s="19" t="s">
        <v>61</v>
      </c>
      <c r="D75" s="5" t="s">
        <v>197</v>
      </c>
      <c r="E75" s="5"/>
      <c r="F75" s="6">
        <v>1050</v>
      </c>
      <c r="G75" s="6">
        <v>300</v>
      </c>
      <c r="H75" s="6">
        <v>300</v>
      </c>
      <c r="I75" s="119"/>
    </row>
    <row r="76" spans="1:9" s="7" customFormat="1" ht="25.5" x14ac:dyDescent="0.2">
      <c r="A76" s="28" t="s">
        <v>76</v>
      </c>
      <c r="B76" s="24" t="s">
        <v>12</v>
      </c>
      <c r="C76" s="24" t="s">
        <v>61</v>
      </c>
      <c r="D76" s="24" t="s">
        <v>197</v>
      </c>
      <c r="E76" s="27" t="s">
        <v>68</v>
      </c>
      <c r="F76" s="25">
        <v>1050</v>
      </c>
      <c r="G76" s="25">
        <v>300</v>
      </c>
      <c r="H76" s="25">
        <v>300</v>
      </c>
      <c r="I76" s="119"/>
    </row>
    <row r="77" spans="1:9" s="7" customFormat="1" ht="12" customHeight="1" x14ac:dyDescent="0.2">
      <c r="A77" s="18" t="s">
        <v>199</v>
      </c>
      <c r="B77" s="19" t="s">
        <v>12</v>
      </c>
      <c r="C77" s="19" t="s">
        <v>61</v>
      </c>
      <c r="D77" s="5" t="s">
        <v>200</v>
      </c>
      <c r="E77" s="5"/>
      <c r="F77" s="6">
        <v>600</v>
      </c>
      <c r="G77" s="6">
        <v>300</v>
      </c>
      <c r="H77" s="6">
        <v>300</v>
      </c>
      <c r="I77" s="119"/>
    </row>
    <row r="78" spans="1:9" s="7" customFormat="1" ht="25.5" x14ac:dyDescent="0.2">
      <c r="A78" s="28" t="s">
        <v>76</v>
      </c>
      <c r="B78" s="24" t="s">
        <v>12</v>
      </c>
      <c r="C78" s="24" t="s">
        <v>61</v>
      </c>
      <c r="D78" s="24" t="s">
        <v>200</v>
      </c>
      <c r="E78" s="27" t="s">
        <v>68</v>
      </c>
      <c r="F78" s="25">
        <v>600</v>
      </c>
      <c r="G78" s="25">
        <v>300</v>
      </c>
      <c r="H78" s="25">
        <v>300</v>
      </c>
      <c r="I78" s="119"/>
    </row>
    <row r="79" spans="1:9" s="7" customFormat="1" ht="25.5" x14ac:dyDescent="0.2">
      <c r="A79" s="18" t="s">
        <v>201</v>
      </c>
      <c r="B79" s="19" t="s">
        <v>12</v>
      </c>
      <c r="C79" s="19" t="s">
        <v>61</v>
      </c>
      <c r="D79" s="19" t="s">
        <v>202</v>
      </c>
      <c r="E79" s="19"/>
      <c r="F79" s="20">
        <v>7310</v>
      </c>
      <c r="G79" s="20">
        <v>7310</v>
      </c>
      <c r="H79" s="20">
        <v>7310</v>
      </c>
    </row>
    <row r="80" spans="1:9" s="9" customFormat="1" ht="25.5" x14ac:dyDescent="0.2">
      <c r="A80" s="28" t="s">
        <v>76</v>
      </c>
      <c r="B80" s="24" t="s">
        <v>12</v>
      </c>
      <c r="C80" s="24" t="s">
        <v>61</v>
      </c>
      <c r="D80" s="24" t="s">
        <v>202</v>
      </c>
      <c r="E80" s="27" t="s">
        <v>68</v>
      </c>
      <c r="F80" s="25">
        <v>7310</v>
      </c>
      <c r="G80" s="25">
        <v>7310</v>
      </c>
      <c r="H80" s="25">
        <v>7310</v>
      </c>
    </row>
    <row r="81" spans="1:9" s="12" customFormat="1" x14ac:dyDescent="0.2">
      <c r="A81" s="18" t="s">
        <v>203</v>
      </c>
      <c r="B81" s="19" t="s">
        <v>12</v>
      </c>
      <c r="C81" s="19" t="s">
        <v>61</v>
      </c>
      <c r="D81" s="5" t="s">
        <v>204</v>
      </c>
      <c r="E81" s="5"/>
      <c r="F81" s="6">
        <v>6892.9</v>
      </c>
      <c r="G81" s="6">
        <v>400</v>
      </c>
      <c r="H81" s="6">
        <v>400</v>
      </c>
      <c r="I81" s="128"/>
    </row>
    <row r="82" spans="1:9" s="26" customFormat="1" ht="25.5" x14ac:dyDescent="0.2">
      <c r="A82" s="28" t="s">
        <v>76</v>
      </c>
      <c r="B82" s="24" t="s">
        <v>12</v>
      </c>
      <c r="C82" s="24" t="s">
        <v>61</v>
      </c>
      <c r="D82" s="24" t="s">
        <v>204</v>
      </c>
      <c r="E82" s="27" t="s">
        <v>68</v>
      </c>
      <c r="F82" s="25">
        <v>4600</v>
      </c>
      <c r="G82" s="25">
        <v>150</v>
      </c>
      <c r="H82" s="25">
        <v>150</v>
      </c>
      <c r="I82" s="118"/>
    </row>
    <row r="83" spans="1:9" s="26" customFormat="1" ht="25.5" x14ac:dyDescent="0.2">
      <c r="A83" s="28" t="s">
        <v>141</v>
      </c>
      <c r="B83" s="24" t="s">
        <v>12</v>
      </c>
      <c r="C83" s="24" t="s">
        <v>61</v>
      </c>
      <c r="D83" s="24" t="s">
        <v>204</v>
      </c>
      <c r="E83" s="27" t="s">
        <v>65</v>
      </c>
      <c r="F83" s="25">
        <v>2042.9</v>
      </c>
      <c r="G83" s="25">
        <v>0</v>
      </c>
      <c r="H83" s="25">
        <v>0</v>
      </c>
    </row>
    <row r="84" spans="1:9" s="26" customFormat="1" x14ac:dyDescent="0.2">
      <c r="A84" s="28" t="s">
        <v>72</v>
      </c>
      <c r="B84" s="24" t="s">
        <v>12</v>
      </c>
      <c r="C84" s="24" t="s">
        <v>61</v>
      </c>
      <c r="D84" s="24" t="s">
        <v>204</v>
      </c>
      <c r="E84" s="27" t="s">
        <v>73</v>
      </c>
      <c r="F84" s="25">
        <v>250</v>
      </c>
      <c r="G84" s="25">
        <v>250</v>
      </c>
      <c r="H84" s="25">
        <v>250</v>
      </c>
    </row>
    <row r="85" spans="1:9" s="12" customFormat="1" x14ac:dyDescent="0.2">
      <c r="A85" s="18" t="s">
        <v>206</v>
      </c>
      <c r="B85" s="19" t="s">
        <v>12</v>
      </c>
      <c r="C85" s="19" t="s">
        <v>61</v>
      </c>
      <c r="D85" s="5" t="s">
        <v>205</v>
      </c>
      <c r="E85" s="5"/>
      <c r="F85" s="6">
        <v>700</v>
      </c>
      <c r="G85" s="6">
        <v>600</v>
      </c>
      <c r="H85" s="6">
        <v>600</v>
      </c>
      <c r="I85" s="128"/>
    </row>
    <row r="86" spans="1:9" s="26" customFormat="1" ht="25.5" x14ac:dyDescent="0.2">
      <c r="A86" s="28" t="s">
        <v>76</v>
      </c>
      <c r="B86" s="24" t="s">
        <v>12</v>
      </c>
      <c r="C86" s="24" t="s">
        <v>61</v>
      </c>
      <c r="D86" s="24" t="s">
        <v>205</v>
      </c>
      <c r="E86" s="27" t="s">
        <v>68</v>
      </c>
      <c r="F86" s="25">
        <v>700</v>
      </c>
      <c r="G86" s="25">
        <v>600</v>
      </c>
      <c r="H86" s="25">
        <v>600</v>
      </c>
      <c r="I86" s="118"/>
    </row>
    <row r="87" spans="1:9" s="168" customFormat="1" ht="15" x14ac:dyDescent="0.2">
      <c r="A87" s="18" t="s">
        <v>207</v>
      </c>
      <c r="B87" s="19" t="s">
        <v>12</v>
      </c>
      <c r="C87" s="19" t="s">
        <v>61</v>
      </c>
      <c r="D87" s="5" t="s">
        <v>208</v>
      </c>
      <c r="E87" s="5"/>
      <c r="F87" s="6">
        <v>23982.3</v>
      </c>
      <c r="G87" s="6">
        <v>288.3</v>
      </c>
      <c r="H87" s="6">
        <v>288.3</v>
      </c>
      <c r="I87" s="208"/>
    </row>
    <row r="88" spans="1:9" s="26" customFormat="1" ht="25.5" x14ac:dyDescent="0.2">
      <c r="A88" s="28" t="s">
        <v>76</v>
      </c>
      <c r="B88" s="24" t="s">
        <v>12</v>
      </c>
      <c r="C88" s="24" t="s">
        <v>61</v>
      </c>
      <c r="D88" s="24" t="s">
        <v>208</v>
      </c>
      <c r="E88" s="27" t="s">
        <v>68</v>
      </c>
      <c r="F88" s="25">
        <v>88.3</v>
      </c>
      <c r="G88" s="25">
        <v>88.3</v>
      </c>
      <c r="H88" s="25">
        <v>88.3</v>
      </c>
    </row>
    <row r="89" spans="1:9" s="9" customFormat="1" x14ac:dyDescent="0.2">
      <c r="A89" s="28" t="s">
        <v>72</v>
      </c>
      <c r="B89" s="19" t="s">
        <v>12</v>
      </c>
      <c r="C89" s="19" t="s">
        <v>61</v>
      </c>
      <c r="D89" s="24" t="s">
        <v>208</v>
      </c>
      <c r="E89" s="24" t="s">
        <v>73</v>
      </c>
      <c r="F89" s="25">
        <v>23894</v>
      </c>
      <c r="G89" s="25">
        <v>200</v>
      </c>
      <c r="H89" s="25">
        <v>200</v>
      </c>
      <c r="I89" s="127"/>
    </row>
    <row r="90" spans="1:9" s="79" customFormat="1" ht="25.5" x14ac:dyDescent="0.2">
      <c r="A90" s="75" t="s">
        <v>209</v>
      </c>
      <c r="B90" s="77" t="s">
        <v>12</v>
      </c>
      <c r="C90" s="77" t="s">
        <v>61</v>
      </c>
      <c r="D90" s="90" t="s">
        <v>210</v>
      </c>
      <c r="E90" s="77"/>
      <c r="F90" s="78">
        <v>9355.1</v>
      </c>
      <c r="G90" s="78">
        <v>8182.0999999999995</v>
      </c>
      <c r="H90" s="78">
        <v>8182.0999999999995</v>
      </c>
    </row>
    <row r="91" spans="1:9" s="26" customFormat="1" ht="51" x14ac:dyDescent="0.2">
      <c r="A91" s="30" t="s">
        <v>66</v>
      </c>
      <c r="B91" s="24" t="s">
        <v>12</v>
      </c>
      <c r="C91" s="24" t="s">
        <v>61</v>
      </c>
      <c r="D91" s="24" t="s">
        <v>210</v>
      </c>
      <c r="E91" s="27" t="s">
        <v>67</v>
      </c>
      <c r="F91" s="25">
        <v>8442.7000000000007</v>
      </c>
      <c r="G91" s="25">
        <v>7269.7</v>
      </c>
      <c r="H91" s="25">
        <v>7269.7</v>
      </c>
    </row>
    <row r="92" spans="1:9" s="84" customFormat="1" ht="25.5" x14ac:dyDescent="0.2">
      <c r="A92" s="87" t="s">
        <v>76</v>
      </c>
      <c r="B92" s="82" t="s">
        <v>12</v>
      </c>
      <c r="C92" s="82" t="s">
        <v>61</v>
      </c>
      <c r="D92" s="82" t="s">
        <v>210</v>
      </c>
      <c r="E92" s="83" t="s">
        <v>68</v>
      </c>
      <c r="F92" s="25">
        <v>902.4</v>
      </c>
      <c r="G92" s="25">
        <v>902.4</v>
      </c>
      <c r="H92" s="25">
        <v>902.4</v>
      </c>
    </row>
    <row r="93" spans="1:9" s="26" customFormat="1" x14ac:dyDescent="0.2">
      <c r="A93" s="28" t="s">
        <v>72</v>
      </c>
      <c r="B93" s="24" t="s">
        <v>12</v>
      </c>
      <c r="C93" s="24" t="s">
        <v>61</v>
      </c>
      <c r="D93" s="24" t="s">
        <v>210</v>
      </c>
      <c r="E93" s="27" t="s">
        <v>73</v>
      </c>
      <c r="F93" s="25">
        <v>10</v>
      </c>
      <c r="G93" s="25">
        <v>10</v>
      </c>
      <c r="H93" s="25">
        <v>10</v>
      </c>
    </row>
    <row r="94" spans="1:9" s="26" customFormat="1" ht="89.25" x14ac:dyDescent="0.2">
      <c r="A94" s="46" t="s">
        <v>155</v>
      </c>
      <c r="B94" s="19" t="s">
        <v>12</v>
      </c>
      <c r="C94" s="19" t="s">
        <v>61</v>
      </c>
      <c r="D94" s="19" t="s">
        <v>154</v>
      </c>
      <c r="E94" s="19"/>
      <c r="F94" s="20">
        <v>8615.6</v>
      </c>
      <c r="G94" s="20">
        <v>7326.4000000000005</v>
      </c>
      <c r="H94" s="20">
        <v>7326.4000000000005</v>
      </c>
      <c r="I94" s="118"/>
    </row>
    <row r="95" spans="1:9" s="26" customFormat="1" ht="51" x14ac:dyDescent="0.2">
      <c r="A95" s="30" t="s">
        <v>66</v>
      </c>
      <c r="B95" s="24" t="s">
        <v>12</v>
      </c>
      <c r="C95" s="24" t="s">
        <v>61</v>
      </c>
      <c r="D95" s="24" t="s">
        <v>154</v>
      </c>
      <c r="E95" s="27" t="s">
        <v>67</v>
      </c>
      <c r="F95" s="25">
        <v>8509.5</v>
      </c>
      <c r="G95" s="25">
        <v>7220.3</v>
      </c>
      <c r="H95" s="25">
        <v>7220.3</v>
      </c>
      <c r="I95" s="118"/>
    </row>
    <row r="96" spans="1:9" ht="25.5" x14ac:dyDescent="0.2">
      <c r="A96" s="28" t="s">
        <v>76</v>
      </c>
      <c r="B96" s="24" t="s">
        <v>12</v>
      </c>
      <c r="C96" s="24" t="s">
        <v>61</v>
      </c>
      <c r="D96" s="24" t="s">
        <v>154</v>
      </c>
      <c r="E96" s="27" t="s">
        <v>68</v>
      </c>
      <c r="F96" s="25">
        <v>106.10000000000001</v>
      </c>
      <c r="G96" s="25">
        <v>106.10000000000001</v>
      </c>
      <c r="H96" s="25">
        <v>106.10000000000001</v>
      </c>
      <c r="I96" s="237"/>
    </row>
    <row r="97" spans="1:9" s="84" customFormat="1" ht="51" x14ac:dyDescent="0.2">
      <c r="A97" s="97" t="s">
        <v>156</v>
      </c>
      <c r="B97" s="77" t="s">
        <v>12</v>
      </c>
      <c r="C97" s="77" t="s">
        <v>61</v>
      </c>
      <c r="D97" s="77" t="s">
        <v>157</v>
      </c>
      <c r="E97" s="77"/>
      <c r="F97" s="78">
        <v>228.8</v>
      </c>
      <c r="G97" s="78">
        <v>0</v>
      </c>
      <c r="H97" s="78">
        <v>0</v>
      </c>
    </row>
    <row r="98" spans="1:9" s="79" customFormat="1" ht="25.5" x14ac:dyDescent="0.2">
      <c r="A98" s="87" t="s">
        <v>76</v>
      </c>
      <c r="B98" s="82" t="s">
        <v>12</v>
      </c>
      <c r="C98" s="82" t="s">
        <v>61</v>
      </c>
      <c r="D98" s="82" t="s">
        <v>157</v>
      </c>
      <c r="E98" s="83" t="s">
        <v>68</v>
      </c>
      <c r="F98" s="62">
        <v>228.8</v>
      </c>
      <c r="G98" s="62">
        <v>0</v>
      </c>
      <c r="H98" s="62">
        <v>0</v>
      </c>
    </row>
    <row r="99" spans="1:9" s="26" customFormat="1" ht="31.5" x14ac:dyDescent="0.25">
      <c r="A99" s="144" t="s">
        <v>5</v>
      </c>
      <c r="B99" s="143" t="s">
        <v>16</v>
      </c>
      <c r="C99" s="143" t="s">
        <v>463</v>
      </c>
      <c r="D99" s="143"/>
      <c r="E99" s="143"/>
      <c r="F99" s="206">
        <v>11113.199999999999</v>
      </c>
      <c r="G99" s="206">
        <v>14719.400000000001</v>
      </c>
      <c r="H99" s="206">
        <v>14661.300000000001</v>
      </c>
    </row>
    <row r="100" spans="1:9" s="84" customFormat="1" ht="38.25" x14ac:dyDescent="0.2">
      <c r="A100" s="70" t="s">
        <v>661</v>
      </c>
      <c r="B100" s="209" t="s">
        <v>16</v>
      </c>
      <c r="C100" s="72" t="s">
        <v>26</v>
      </c>
      <c r="D100" s="72"/>
      <c r="E100" s="72"/>
      <c r="F100" s="73">
        <v>11113.199999999999</v>
      </c>
      <c r="G100" s="73">
        <v>14719.400000000001</v>
      </c>
      <c r="H100" s="73">
        <v>14661.300000000001</v>
      </c>
    </row>
    <row r="101" spans="1:9" s="26" customFormat="1" ht="38.25" x14ac:dyDescent="0.2">
      <c r="A101" s="46" t="s">
        <v>159</v>
      </c>
      <c r="B101" s="19" t="s">
        <v>16</v>
      </c>
      <c r="C101" s="19" t="s">
        <v>26</v>
      </c>
      <c r="D101" s="19" t="s">
        <v>158</v>
      </c>
      <c r="E101" s="19"/>
      <c r="F101" s="20">
        <v>3224.7999999999997</v>
      </c>
      <c r="G101" s="20">
        <v>0</v>
      </c>
      <c r="H101" s="20">
        <v>0</v>
      </c>
      <c r="I101" s="118"/>
    </row>
    <row r="102" spans="1:9" ht="51" x14ac:dyDescent="0.2">
      <c r="A102" s="30" t="s">
        <v>66</v>
      </c>
      <c r="B102" s="24" t="s">
        <v>16</v>
      </c>
      <c r="C102" s="24" t="s">
        <v>26</v>
      </c>
      <c r="D102" s="24" t="s">
        <v>158</v>
      </c>
      <c r="E102" s="27" t="s">
        <v>67</v>
      </c>
      <c r="F102" s="25">
        <v>2658.7999999999997</v>
      </c>
      <c r="G102" s="25">
        <v>0</v>
      </c>
      <c r="H102" s="25">
        <v>0</v>
      </c>
      <c r="I102" s="117"/>
    </row>
    <row r="103" spans="1:9" s="84" customFormat="1" ht="25.5" x14ac:dyDescent="0.2">
      <c r="A103" s="87" t="s">
        <v>76</v>
      </c>
      <c r="B103" s="82" t="s">
        <v>16</v>
      </c>
      <c r="C103" s="82" t="s">
        <v>26</v>
      </c>
      <c r="D103" s="82" t="s">
        <v>158</v>
      </c>
      <c r="E103" s="83" t="s">
        <v>68</v>
      </c>
      <c r="F103" s="25">
        <v>559.19999999999982</v>
      </c>
      <c r="G103" s="25">
        <v>0</v>
      </c>
      <c r="H103" s="25">
        <v>0</v>
      </c>
    </row>
    <row r="104" spans="1:9" s="9" customFormat="1" x14ac:dyDescent="0.2">
      <c r="A104" s="28" t="s">
        <v>72</v>
      </c>
      <c r="B104" s="24" t="s">
        <v>16</v>
      </c>
      <c r="C104" s="24" t="s">
        <v>26</v>
      </c>
      <c r="D104" s="24" t="s">
        <v>158</v>
      </c>
      <c r="E104" s="24" t="s">
        <v>73</v>
      </c>
      <c r="F104" s="25">
        <v>6.8</v>
      </c>
      <c r="G104" s="25">
        <v>0</v>
      </c>
      <c r="H104" s="25">
        <v>0</v>
      </c>
    </row>
    <row r="105" spans="1:9" s="26" customFormat="1" x14ac:dyDescent="0.2">
      <c r="A105" s="51" t="s">
        <v>160</v>
      </c>
      <c r="B105" s="19" t="s">
        <v>16</v>
      </c>
      <c r="C105" s="19" t="s">
        <v>26</v>
      </c>
      <c r="D105" s="19" t="s">
        <v>161</v>
      </c>
      <c r="E105" s="19"/>
      <c r="F105" s="20">
        <v>2879.4999999999995</v>
      </c>
      <c r="G105" s="20">
        <v>0</v>
      </c>
      <c r="H105" s="20">
        <v>0</v>
      </c>
    </row>
    <row r="106" spans="1:9" s="26" customFormat="1" ht="25.5" x14ac:dyDescent="0.2">
      <c r="A106" s="28" t="s">
        <v>141</v>
      </c>
      <c r="B106" s="24" t="s">
        <v>16</v>
      </c>
      <c r="C106" s="24" t="s">
        <v>26</v>
      </c>
      <c r="D106" s="24" t="s">
        <v>161</v>
      </c>
      <c r="E106" s="27" t="s">
        <v>65</v>
      </c>
      <c r="F106" s="25">
        <v>2879.4999999999995</v>
      </c>
      <c r="G106" s="25">
        <v>0</v>
      </c>
      <c r="H106" s="25">
        <v>0</v>
      </c>
    </row>
    <row r="107" spans="1:9" s="26" customFormat="1" ht="63.75" x14ac:dyDescent="0.2">
      <c r="A107" s="18" t="s">
        <v>709</v>
      </c>
      <c r="B107" s="24" t="s">
        <v>16</v>
      </c>
      <c r="C107" s="24" t="s">
        <v>26</v>
      </c>
      <c r="D107" s="24" t="s">
        <v>707</v>
      </c>
      <c r="E107" s="27"/>
      <c r="F107" s="25">
        <v>4817.5</v>
      </c>
      <c r="G107" s="25">
        <v>14551.2</v>
      </c>
      <c r="H107" s="25">
        <v>14493.1</v>
      </c>
    </row>
    <row r="108" spans="1:9" s="26" customFormat="1" ht="25.5" x14ac:dyDescent="0.2">
      <c r="A108" s="28" t="s">
        <v>141</v>
      </c>
      <c r="B108" s="24" t="s">
        <v>16</v>
      </c>
      <c r="C108" s="24" t="s">
        <v>26</v>
      </c>
      <c r="D108" s="24" t="s">
        <v>707</v>
      </c>
      <c r="E108" s="27" t="s">
        <v>65</v>
      </c>
      <c r="F108" s="25">
        <v>4817.5</v>
      </c>
      <c r="G108" s="25">
        <v>14551.2</v>
      </c>
      <c r="H108" s="25">
        <v>14493.1</v>
      </c>
    </row>
    <row r="109" spans="1:9" ht="25.5" x14ac:dyDescent="0.2">
      <c r="A109" s="17" t="s">
        <v>163</v>
      </c>
      <c r="B109" s="19" t="s">
        <v>16</v>
      </c>
      <c r="C109" s="19" t="s">
        <v>26</v>
      </c>
      <c r="D109" s="19" t="s">
        <v>162</v>
      </c>
      <c r="E109" s="5"/>
      <c r="F109" s="6">
        <v>24.2</v>
      </c>
      <c r="G109" s="6">
        <v>1</v>
      </c>
      <c r="H109" s="6">
        <v>1</v>
      </c>
      <c r="I109" s="237"/>
    </row>
    <row r="110" spans="1:9" s="74" customFormat="1" ht="25.5" x14ac:dyDescent="0.2">
      <c r="A110" s="87" t="s">
        <v>76</v>
      </c>
      <c r="B110" s="82" t="s">
        <v>16</v>
      </c>
      <c r="C110" s="82" t="s">
        <v>26</v>
      </c>
      <c r="D110" s="82" t="s">
        <v>162</v>
      </c>
      <c r="E110" s="83" t="s">
        <v>68</v>
      </c>
      <c r="F110" s="62">
        <v>24.2</v>
      </c>
      <c r="G110" s="62">
        <v>0</v>
      </c>
      <c r="H110" s="62">
        <v>0</v>
      </c>
    </row>
    <row r="111" spans="1:9" s="74" customFormat="1" ht="25.5" x14ac:dyDescent="0.2">
      <c r="A111" s="87" t="s">
        <v>141</v>
      </c>
      <c r="B111" s="82" t="s">
        <v>16</v>
      </c>
      <c r="C111" s="82" t="s">
        <v>26</v>
      </c>
      <c r="D111" s="82" t="s">
        <v>705</v>
      </c>
      <c r="E111" s="83" t="s">
        <v>65</v>
      </c>
      <c r="F111" s="62">
        <v>0</v>
      </c>
      <c r="G111" s="62">
        <v>1</v>
      </c>
      <c r="H111" s="62">
        <v>1</v>
      </c>
    </row>
    <row r="112" spans="1:9" s="79" customFormat="1" x14ac:dyDescent="0.2">
      <c r="A112" s="89" t="s">
        <v>164</v>
      </c>
      <c r="B112" s="77" t="s">
        <v>16</v>
      </c>
      <c r="C112" s="77" t="s">
        <v>26</v>
      </c>
      <c r="D112" s="77" t="s">
        <v>165</v>
      </c>
      <c r="E112" s="90"/>
      <c r="F112" s="91">
        <v>132.19999999999999</v>
      </c>
      <c r="G112" s="91">
        <v>132.19999999999999</v>
      </c>
      <c r="H112" s="91">
        <v>132.19999999999999</v>
      </c>
    </row>
    <row r="113" spans="1:9" s="84" customFormat="1" ht="25.5" x14ac:dyDescent="0.2">
      <c r="A113" s="87" t="s">
        <v>141</v>
      </c>
      <c r="B113" s="82" t="s">
        <v>16</v>
      </c>
      <c r="C113" s="82" t="s">
        <v>26</v>
      </c>
      <c r="D113" s="82" t="s">
        <v>165</v>
      </c>
      <c r="E113" s="83" t="s">
        <v>65</v>
      </c>
      <c r="F113" s="62">
        <v>132.19999999999999</v>
      </c>
      <c r="G113" s="62">
        <v>132.19999999999999</v>
      </c>
      <c r="H113" s="62">
        <v>132.19999999999999</v>
      </c>
      <c r="I113" s="247"/>
    </row>
    <row r="114" spans="1:9" ht="25.5" x14ac:dyDescent="0.2">
      <c r="A114" s="17" t="s">
        <v>418</v>
      </c>
      <c r="B114" s="19" t="s">
        <v>16</v>
      </c>
      <c r="C114" s="19" t="s">
        <v>26</v>
      </c>
      <c r="D114" s="19" t="s">
        <v>419</v>
      </c>
      <c r="E114" s="5"/>
      <c r="F114" s="6">
        <v>35</v>
      </c>
      <c r="G114" s="6">
        <v>35</v>
      </c>
      <c r="H114" s="6">
        <v>35</v>
      </c>
      <c r="I114" s="237"/>
    </row>
    <row r="115" spans="1:9" s="26" customFormat="1" x14ac:dyDescent="0.2">
      <c r="A115" s="28" t="s">
        <v>69</v>
      </c>
      <c r="B115" s="24" t="s">
        <v>16</v>
      </c>
      <c r="C115" s="24" t="s">
        <v>26</v>
      </c>
      <c r="D115" s="19" t="s">
        <v>419</v>
      </c>
      <c r="E115" s="27" t="s">
        <v>70</v>
      </c>
      <c r="F115" s="25">
        <v>35</v>
      </c>
      <c r="G115" s="25">
        <v>0</v>
      </c>
      <c r="H115" s="25">
        <v>0</v>
      </c>
    </row>
    <row r="116" spans="1:9" s="26" customFormat="1" ht="25.5" x14ac:dyDescent="0.2">
      <c r="A116" s="28" t="s">
        <v>141</v>
      </c>
      <c r="B116" s="24" t="s">
        <v>16</v>
      </c>
      <c r="C116" s="24" t="s">
        <v>26</v>
      </c>
      <c r="D116" s="19" t="s">
        <v>419</v>
      </c>
      <c r="E116" s="27" t="s">
        <v>65</v>
      </c>
      <c r="F116" s="25">
        <v>0</v>
      </c>
      <c r="G116" s="25">
        <v>35</v>
      </c>
      <c r="H116" s="25">
        <v>35</v>
      </c>
    </row>
    <row r="117" spans="1:9" ht="15.75" x14ac:dyDescent="0.25">
      <c r="A117" s="144" t="s">
        <v>27</v>
      </c>
      <c r="B117" s="143" t="s">
        <v>18</v>
      </c>
      <c r="C117" s="143" t="s">
        <v>463</v>
      </c>
      <c r="D117" s="143"/>
      <c r="E117" s="143"/>
      <c r="F117" s="206">
        <v>293159.48508000001</v>
      </c>
      <c r="G117" s="206">
        <v>17873</v>
      </c>
      <c r="H117" s="206">
        <v>20329</v>
      </c>
      <c r="I117" s="237"/>
    </row>
    <row r="118" spans="1:9" s="9" customFormat="1" x14ac:dyDescent="0.2">
      <c r="A118" s="11" t="s">
        <v>28</v>
      </c>
      <c r="B118" s="8" t="s">
        <v>18</v>
      </c>
      <c r="C118" s="8" t="s">
        <v>14</v>
      </c>
      <c r="D118" s="8"/>
      <c r="E118" s="8"/>
      <c r="F118" s="4">
        <v>35925.800000000003</v>
      </c>
      <c r="G118" s="4">
        <v>0</v>
      </c>
      <c r="H118" s="4">
        <v>0</v>
      </c>
    </row>
    <row r="119" spans="1:9" s="26" customFormat="1" ht="38.25" x14ac:dyDescent="0.2">
      <c r="A119" s="18" t="s">
        <v>427</v>
      </c>
      <c r="B119" s="19" t="s">
        <v>18</v>
      </c>
      <c r="C119" s="19" t="s">
        <v>14</v>
      </c>
      <c r="D119" s="19" t="s">
        <v>289</v>
      </c>
      <c r="E119" s="19"/>
      <c r="F119" s="20">
        <v>35925.800000000003</v>
      </c>
      <c r="G119" s="20">
        <v>0</v>
      </c>
      <c r="H119" s="20">
        <v>0</v>
      </c>
    </row>
    <row r="120" spans="1:9" s="84" customFormat="1" x14ac:dyDescent="0.2">
      <c r="A120" s="87" t="s">
        <v>72</v>
      </c>
      <c r="B120" s="82" t="s">
        <v>18</v>
      </c>
      <c r="C120" s="82" t="s">
        <v>14</v>
      </c>
      <c r="D120" s="82" t="s">
        <v>289</v>
      </c>
      <c r="E120" s="82" t="s">
        <v>73</v>
      </c>
      <c r="F120" s="62">
        <v>35925.800000000003</v>
      </c>
      <c r="G120" s="62">
        <v>0</v>
      </c>
      <c r="H120" s="62">
        <v>0</v>
      </c>
    </row>
    <row r="121" spans="1:9" s="79" customFormat="1" x14ac:dyDescent="0.2">
      <c r="A121" s="70" t="s">
        <v>79</v>
      </c>
      <c r="B121" s="72" t="s">
        <v>18</v>
      </c>
      <c r="C121" s="72" t="s">
        <v>26</v>
      </c>
      <c r="D121" s="72"/>
      <c r="E121" s="72"/>
      <c r="F121" s="73">
        <v>255828.68508000002</v>
      </c>
      <c r="G121" s="73">
        <v>17273</v>
      </c>
      <c r="H121" s="73">
        <v>19729</v>
      </c>
      <c r="I121" s="73">
        <f t="shared" ref="I121" si="0">I126+I128+I122+I124+I130+I132</f>
        <v>0</v>
      </c>
    </row>
    <row r="122" spans="1:9" ht="69" customHeight="1" x14ac:dyDescent="0.2">
      <c r="A122" s="18" t="s">
        <v>383</v>
      </c>
      <c r="B122" s="19" t="s">
        <v>18</v>
      </c>
      <c r="C122" s="19" t="s">
        <v>26</v>
      </c>
      <c r="D122" s="19" t="s">
        <v>384</v>
      </c>
      <c r="E122" s="19"/>
      <c r="F122" s="20">
        <v>109287.13582</v>
      </c>
      <c r="G122" s="20">
        <v>0</v>
      </c>
      <c r="H122" s="20">
        <v>0</v>
      </c>
      <c r="I122" s="237"/>
    </row>
    <row r="123" spans="1:9" s="26" customFormat="1" ht="25.5" x14ac:dyDescent="0.2">
      <c r="A123" s="28" t="s">
        <v>141</v>
      </c>
      <c r="B123" s="24" t="s">
        <v>18</v>
      </c>
      <c r="C123" s="24" t="s">
        <v>26</v>
      </c>
      <c r="D123" s="24" t="s">
        <v>384</v>
      </c>
      <c r="E123" s="24" t="s">
        <v>65</v>
      </c>
      <c r="F123" s="25">
        <v>109287.13582</v>
      </c>
      <c r="G123" s="25">
        <v>0</v>
      </c>
      <c r="H123" s="25">
        <v>0</v>
      </c>
    </row>
    <row r="124" spans="1:9" ht="69" customHeight="1" x14ac:dyDescent="0.2">
      <c r="A124" s="18" t="s">
        <v>383</v>
      </c>
      <c r="B124" s="19" t="s">
        <v>18</v>
      </c>
      <c r="C124" s="19" t="s">
        <v>26</v>
      </c>
      <c r="D124" s="19" t="s">
        <v>387</v>
      </c>
      <c r="E124" s="19"/>
      <c r="F124" s="20">
        <v>8282.2000000000007</v>
      </c>
      <c r="G124" s="20">
        <v>0</v>
      </c>
      <c r="H124" s="20">
        <v>0</v>
      </c>
      <c r="I124" s="237"/>
    </row>
    <row r="125" spans="1:9" s="26" customFormat="1" ht="25.5" x14ac:dyDescent="0.2">
      <c r="A125" s="28" t="s">
        <v>141</v>
      </c>
      <c r="B125" s="24" t="s">
        <v>18</v>
      </c>
      <c r="C125" s="24" t="s">
        <v>26</v>
      </c>
      <c r="D125" s="24" t="s">
        <v>387</v>
      </c>
      <c r="E125" s="24" t="s">
        <v>65</v>
      </c>
      <c r="F125" s="25">
        <v>8282.2000000000007</v>
      </c>
      <c r="G125" s="25">
        <v>0</v>
      </c>
      <c r="H125" s="25">
        <v>0</v>
      </c>
    </row>
    <row r="126" spans="1:9" s="74" customFormat="1" ht="25.5" x14ac:dyDescent="0.2">
      <c r="A126" s="75" t="s">
        <v>291</v>
      </c>
      <c r="B126" s="77" t="s">
        <v>18</v>
      </c>
      <c r="C126" s="77" t="s">
        <v>26</v>
      </c>
      <c r="D126" s="77" t="s">
        <v>290</v>
      </c>
      <c r="E126" s="77"/>
      <c r="F126" s="78">
        <v>100330</v>
      </c>
      <c r="G126" s="78">
        <v>17273</v>
      </c>
      <c r="H126" s="78">
        <v>19729</v>
      </c>
    </row>
    <row r="127" spans="1:9" s="79" customFormat="1" ht="25.5" x14ac:dyDescent="0.2">
      <c r="A127" s="87" t="s">
        <v>141</v>
      </c>
      <c r="B127" s="82" t="s">
        <v>18</v>
      </c>
      <c r="C127" s="82" t="s">
        <v>26</v>
      </c>
      <c r="D127" s="82" t="s">
        <v>290</v>
      </c>
      <c r="E127" s="82" t="s">
        <v>65</v>
      </c>
      <c r="F127" s="62">
        <v>100330</v>
      </c>
      <c r="G127" s="62">
        <v>17273</v>
      </c>
      <c r="H127" s="62">
        <v>19729</v>
      </c>
    </row>
    <row r="128" spans="1:9" s="79" customFormat="1" ht="25.5" x14ac:dyDescent="0.2">
      <c r="A128" s="75" t="s">
        <v>293</v>
      </c>
      <c r="B128" s="77" t="s">
        <v>18</v>
      </c>
      <c r="C128" s="77" t="s">
        <v>26</v>
      </c>
      <c r="D128" s="77" t="s">
        <v>292</v>
      </c>
      <c r="E128" s="77"/>
      <c r="F128" s="78">
        <v>14287</v>
      </c>
      <c r="G128" s="78">
        <v>0</v>
      </c>
      <c r="H128" s="78">
        <v>0</v>
      </c>
    </row>
    <row r="129" spans="1:9" s="79" customFormat="1" ht="25.5" x14ac:dyDescent="0.2">
      <c r="A129" s="87" t="s">
        <v>141</v>
      </c>
      <c r="B129" s="82" t="s">
        <v>18</v>
      </c>
      <c r="C129" s="82" t="s">
        <v>26</v>
      </c>
      <c r="D129" s="82" t="s">
        <v>292</v>
      </c>
      <c r="E129" s="82" t="s">
        <v>65</v>
      </c>
      <c r="F129" s="62">
        <v>14287</v>
      </c>
      <c r="G129" s="62">
        <v>0</v>
      </c>
      <c r="H129" s="62">
        <v>0</v>
      </c>
    </row>
    <row r="130" spans="1:9" ht="25.5" x14ac:dyDescent="0.2">
      <c r="A130" s="17" t="s">
        <v>409</v>
      </c>
      <c r="B130" s="19" t="s">
        <v>18</v>
      </c>
      <c r="C130" s="19" t="s">
        <v>26</v>
      </c>
      <c r="D130" s="19" t="s">
        <v>407</v>
      </c>
      <c r="E130" s="19"/>
      <c r="F130" s="20">
        <v>1182.1174600000002</v>
      </c>
      <c r="G130" s="20">
        <v>0</v>
      </c>
      <c r="H130" s="20">
        <v>0</v>
      </c>
    </row>
    <row r="131" spans="1:9" ht="25.5" x14ac:dyDescent="0.2">
      <c r="A131" s="28" t="s">
        <v>76</v>
      </c>
      <c r="B131" s="24" t="s">
        <v>18</v>
      </c>
      <c r="C131" s="24" t="s">
        <v>26</v>
      </c>
      <c r="D131" s="24" t="s">
        <v>408</v>
      </c>
      <c r="E131" s="24" t="s">
        <v>68</v>
      </c>
      <c r="F131" s="25">
        <v>1182.1174600000002</v>
      </c>
      <c r="G131" s="25">
        <v>0</v>
      </c>
      <c r="H131" s="25">
        <v>0</v>
      </c>
    </row>
    <row r="132" spans="1:9" ht="25.5" x14ac:dyDescent="0.2">
      <c r="A132" s="17" t="s">
        <v>441</v>
      </c>
      <c r="B132" s="19" t="s">
        <v>18</v>
      </c>
      <c r="C132" s="19" t="s">
        <v>26</v>
      </c>
      <c r="D132" s="19" t="s">
        <v>438</v>
      </c>
      <c r="E132" s="19"/>
      <c r="F132" s="20">
        <v>22460.231799999998</v>
      </c>
      <c r="G132" s="20">
        <v>0</v>
      </c>
      <c r="H132" s="20">
        <v>0</v>
      </c>
      <c r="I132" s="231">
        <f>'изменения июль вед стр-ра'!J562</f>
        <v>0</v>
      </c>
    </row>
    <row r="133" spans="1:9" ht="25.5" x14ac:dyDescent="0.2">
      <c r="A133" s="28" t="s">
        <v>76</v>
      </c>
      <c r="B133" s="24" t="s">
        <v>18</v>
      </c>
      <c r="C133" s="24" t="s">
        <v>26</v>
      </c>
      <c r="D133" s="19" t="s">
        <v>438</v>
      </c>
      <c r="E133" s="24" t="s">
        <v>68</v>
      </c>
      <c r="F133" s="20">
        <v>22460.231799999998</v>
      </c>
      <c r="G133" s="20">
        <v>0</v>
      </c>
      <c r="H133" s="20">
        <v>0</v>
      </c>
      <c r="I133" s="231">
        <f>'изменения июль вед стр-ра'!J563</f>
        <v>0</v>
      </c>
    </row>
    <row r="134" spans="1:9" s="84" customFormat="1" x14ac:dyDescent="0.2">
      <c r="A134" s="70" t="s">
        <v>29</v>
      </c>
      <c r="B134" s="72" t="s">
        <v>18</v>
      </c>
      <c r="C134" s="72" t="s">
        <v>23</v>
      </c>
      <c r="D134" s="72"/>
      <c r="E134" s="72"/>
      <c r="F134" s="73">
        <v>1405</v>
      </c>
      <c r="G134" s="73">
        <v>600</v>
      </c>
      <c r="H134" s="73">
        <v>600</v>
      </c>
    </row>
    <row r="135" spans="1:9" s="26" customFormat="1" ht="25.5" x14ac:dyDescent="0.2">
      <c r="A135" s="18" t="s">
        <v>167</v>
      </c>
      <c r="B135" s="19" t="s">
        <v>18</v>
      </c>
      <c r="C135" s="19" t="s">
        <v>23</v>
      </c>
      <c r="D135" s="19" t="s">
        <v>166</v>
      </c>
      <c r="E135" s="19"/>
      <c r="F135" s="20">
        <v>175</v>
      </c>
      <c r="G135" s="20">
        <v>0</v>
      </c>
      <c r="H135" s="20">
        <v>0</v>
      </c>
    </row>
    <row r="136" spans="1:9" s="26" customFormat="1" ht="25.5" x14ac:dyDescent="0.2">
      <c r="A136" s="28" t="s">
        <v>76</v>
      </c>
      <c r="B136" s="24" t="s">
        <v>18</v>
      </c>
      <c r="C136" s="24" t="s">
        <v>23</v>
      </c>
      <c r="D136" s="24" t="s">
        <v>166</v>
      </c>
      <c r="E136" s="27" t="s">
        <v>68</v>
      </c>
      <c r="F136" s="25">
        <v>175</v>
      </c>
      <c r="G136" s="25">
        <v>0</v>
      </c>
      <c r="H136" s="25">
        <v>0</v>
      </c>
    </row>
    <row r="137" spans="1:9" s="26" customFormat="1" ht="25.5" x14ac:dyDescent="0.2">
      <c r="A137" s="18" t="s">
        <v>710</v>
      </c>
      <c r="B137" s="24" t="s">
        <v>18</v>
      </c>
      <c r="C137" s="24" t="s">
        <v>23</v>
      </c>
      <c r="D137" s="24" t="s">
        <v>711</v>
      </c>
      <c r="E137" s="27"/>
      <c r="F137" s="25">
        <v>480</v>
      </c>
      <c r="G137" s="25">
        <v>0</v>
      </c>
      <c r="H137" s="25">
        <v>0</v>
      </c>
    </row>
    <row r="138" spans="1:9" s="26" customFormat="1" x14ac:dyDescent="0.2">
      <c r="A138" s="28" t="s">
        <v>72</v>
      </c>
      <c r="B138" s="24" t="s">
        <v>18</v>
      </c>
      <c r="C138" s="24" t="s">
        <v>23</v>
      </c>
      <c r="D138" s="24" t="s">
        <v>711</v>
      </c>
      <c r="E138" s="27" t="s">
        <v>73</v>
      </c>
      <c r="F138" s="25">
        <v>480</v>
      </c>
      <c r="G138" s="25">
        <v>0</v>
      </c>
      <c r="H138" s="25">
        <v>0</v>
      </c>
    </row>
    <row r="139" spans="1:9" s="9" customFormat="1" x14ac:dyDescent="0.2">
      <c r="A139" s="18" t="s">
        <v>212</v>
      </c>
      <c r="B139" s="19" t="s">
        <v>18</v>
      </c>
      <c r="C139" s="19" t="s">
        <v>23</v>
      </c>
      <c r="D139" s="19" t="s">
        <v>211</v>
      </c>
      <c r="E139" s="19"/>
      <c r="F139" s="20">
        <v>700</v>
      </c>
      <c r="G139" s="20">
        <v>400</v>
      </c>
      <c r="H139" s="20">
        <v>400</v>
      </c>
      <c r="I139" s="127"/>
    </row>
    <row r="140" spans="1:9" ht="25.5" x14ac:dyDescent="0.2">
      <c r="A140" s="28" t="s">
        <v>76</v>
      </c>
      <c r="B140" s="24" t="s">
        <v>18</v>
      </c>
      <c r="C140" s="24" t="s">
        <v>23</v>
      </c>
      <c r="D140" s="24" t="s">
        <v>211</v>
      </c>
      <c r="E140" s="27" t="s">
        <v>68</v>
      </c>
      <c r="F140" s="25">
        <v>700</v>
      </c>
      <c r="G140" s="25">
        <v>400</v>
      </c>
      <c r="H140" s="25">
        <v>400</v>
      </c>
      <c r="I140" s="117"/>
    </row>
    <row r="141" spans="1:9" s="26" customFormat="1" ht="38.25" x14ac:dyDescent="0.2">
      <c r="A141" s="18" t="s">
        <v>213</v>
      </c>
      <c r="B141" s="19" t="s">
        <v>18</v>
      </c>
      <c r="C141" s="19" t="s">
        <v>23</v>
      </c>
      <c r="D141" s="19" t="s">
        <v>214</v>
      </c>
      <c r="E141" s="19"/>
      <c r="F141" s="20">
        <v>50</v>
      </c>
      <c r="G141" s="20">
        <v>200</v>
      </c>
      <c r="H141" s="20">
        <v>200</v>
      </c>
      <c r="I141" s="118"/>
    </row>
    <row r="142" spans="1:9" s="9" customFormat="1" ht="25.5" x14ac:dyDescent="0.2">
      <c r="A142" s="28" t="s">
        <v>76</v>
      </c>
      <c r="B142" s="24" t="s">
        <v>18</v>
      </c>
      <c r="C142" s="24" t="s">
        <v>23</v>
      </c>
      <c r="D142" s="24" t="s">
        <v>214</v>
      </c>
      <c r="E142" s="27" t="s">
        <v>68</v>
      </c>
      <c r="F142" s="25">
        <v>50</v>
      </c>
      <c r="G142" s="25">
        <v>200</v>
      </c>
      <c r="H142" s="25">
        <v>200</v>
      </c>
      <c r="I142" s="127"/>
    </row>
    <row r="143" spans="1:9" ht="15.75" x14ac:dyDescent="0.25">
      <c r="A143" s="144" t="s">
        <v>30</v>
      </c>
      <c r="B143" s="143" t="s">
        <v>31</v>
      </c>
      <c r="C143" s="143" t="s">
        <v>463</v>
      </c>
      <c r="D143" s="143"/>
      <c r="E143" s="143"/>
      <c r="F143" s="206">
        <v>308439.16589</v>
      </c>
      <c r="G143" s="206">
        <v>51127.721740000001</v>
      </c>
      <c r="H143" s="206">
        <v>122057.96400000001</v>
      </c>
      <c r="I143" s="237"/>
    </row>
    <row r="144" spans="1:9" s="84" customFormat="1" x14ac:dyDescent="0.2">
      <c r="A144" s="70" t="s">
        <v>32</v>
      </c>
      <c r="B144" s="72" t="s">
        <v>31</v>
      </c>
      <c r="C144" s="72" t="s">
        <v>12</v>
      </c>
      <c r="D144" s="72"/>
      <c r="E144" s="72"/>
      <c r="F144" s="73">
        <v>151202.95690000002</v>
      </c>
      <c r="G144" s="73">
        <v>26831.921740000002</v>
      </c>
      <c r="H144" s="73">
        <v>100785.364</v>
      </c>
    </row>
    <row r="145" spans="1:9" ht="51" x14ac:dyDescent="0.2">
      <c r="A145" s="18" t="s">
        <v>696</v>
      </c>
      <c r="B145" s="19" t="s">
        <v>31</v>
      </c>
      <c r="C145" s="19" t="s">
        <v>12</v>
      </c>
      <c r="D145" s="19" t="s">
        <v>719</v>
      </c>
      <c r="E145" s="19"/>
      <c r="F145" s="20">
        <v>110562.23375000001</v>
      </c>
      <c r="G145" s="20">
        <v>0</v>
      </c>
      <c r="H145" s="20">
        <v>0</v>
      </c>
      <c r="I145" s="237"/>
    </row>
    <row r="146" spans="1:9" ht="25.5" x14ac:dyDescent="0.2">
      <c r="A146" s="28" t="s">
        <v>83</v>
      </c>
      <c r="B146" s="19" t="s">
        <v>31</v>
      </c>
      <c r="C146" s="19" t="s">
        <v>12</v>
      </c>
      <c r="D146" s="19" t="s">
        <v>719</v>
      </c>
      <c r="E146" s="19" t="s">
        <v>71</v>
      </c>
      <c r="F146" s="20">
        <v>110562.23375000001</v>
      </c>
      <c r="G146" s="20">
        <v>0</v>
      </c>
      <c r="H146" s="20">
        <v>0</v>
      </c>
      <c r="I146" s="237"/>
    </row>
    <row r="147" spans="1:9" s="84" customFormat="1" ht="51" x14ac:dyDescent="0.2">
      <c r="A147" s="75" t="s">
        <v>696</v>
      </c>
      <c r="B147" s="77" t="s">
        <v>31</v>
      </c>
      <c r="C147" s="77" t="s">
        <v>12</v>
      </c>
      <c r="D147" s="77" t="s">
        <v>695</v>
      </c>
      <c r="E147" s="77"/>
      <c r="F147" s="78">
        <v>5675.6231500000004</v>
      </c>
      <c r="G147" s="78">
        <v>3946.9217400000002</v>
      </c>
      <c r="H147" s="78">
        <v>100785.364</v>
      </c>
    </row>
    <row r="148" spans="1:9" s="84" customFormat="1" ht="25.5" x14ac:dyDescent="0.2">
      <c r="A148" s="87" t="s">
        <v>83</v>
      </c>
      <c r="B148" s="77" t="s">
        <v>31</v>
      </c>
      <c r="C148" s="77" t="s">
        <v>12</v>
      </c>
      <c r="D148" s="77" t="s">
        <v>695</v>
      </c>
      <c r="E148" s="77" t="s">
        <v>71</v>
      </c>
      <c r="F148" s="78">
        <v>5675.6231500000004</v>
      </c>
      <c r="G148" s="78">
        <v>3946.9217400000002</v>
      </c>
      <c r="H148" s="78">
        <v>100785.364</v>
      </c>
    </row>
    <row r="149" spans="1:9" s="79" customFormat="1" x14ac:dyDescent="0.2">
      <c r="A149" s="75" t="s">
        <v>400</v>
      </c>
      <c r="B149" s="77" t="s">
        <v>31</v>
      </c>
      <c r="C149" s="77" t="s">
        <v>12</v>
      </c>
      <c r="D149" s="77" t="s">
        <v>401</v>
      </c>
      <c r="E149" s="103"/>
      <c r="F149" s="78">
        <v>1277</v>
      </c>
      <c r="G149" s="62">
        <v>0</v>
      </c>
      <c r="H149" s="62">
        <v>0</v>
      </c>
    </row>
    <row r="150" spans="1:9" s="84" customFormat="1" ht="25.5" x14ac:dyDescent="0.2">
      <c r="A150" s="87" t="s">
        <v>83</v>
      </c>
      <c r="B150" s="82" t="s">
        <v>31</v>
      </c>
      <c r="C150" s="82" t="s">
        <v>12</v>
      </c>
      <c r="D150" s="82" t="s">
        <v>662</v>
      </c>
      <c r="E150" s="83" t="s">
        <v>71</v>
      </c>
      <c r="F150" s="62">
        <v>1277</v>
      </c>
      <c r="G150" s="62">
        <v>0</v>
      </c>
      <c r="H150" s="62">
        <v>0</v>
      </c>
    </row>
    <row r="151" spans="1:9" s="26" customFormat="1" ht="25.5" x14ac:dyDescent="0.2">
      <c r="A151" s="28" t="s">
        <v>375</v>
      </c>
      <c r="B151" s="24" t="s">
        <v>31</v>
      </c>
      <c r="C151" s="24" t="s">
        <v>12</v>
      </c>
      <c r="D151" s="27" t="s">
        <v>376</v>
      </c>
      <c r="E151" s="25"/>
      <c r="F151" s="25">
        <v>1400</v>
      </c>
      <c r="G151" s="25">
        <v>0</v>
      </c>
      <c r="H151" s="25">
        <v>0</v>
      </c>
      <c r="I151" s="118"/>
    </row>
    <row r="152" spans="1:9" s="26" customFormat="1" ht="25.5" x14ac:dyDescent="0.2">
      <c r="A152" s="28" t="s">
        <v>76</v>
      </c>
      <c r="B152" s="24" t="s">
        <v>31</v>
      </c>
      <c r="C152" s="24" t="s">
        <v>12</v>
      </c>
      <c r="D152" s="27" t="s">
        <v>376</v>
      </c>
      <c r="E152" s="25" t="s">
        <v>68</v>
      </c>
      <c r="F152" s="25">
        <v>1400</v>
      </c>
      <c r="G152" s="25">
        <v>0</v>
      </c>
      <c r="H152" s="25">
        <v>0</v>
      </c>
      <c r="I152" s="118"/>
    </row>
    <row r="153" spans="1:9" x14ac:dyDescent="0.2">
      <c r="A153" s="18" t="s">
        <v>172</v>
      </c>
      <c r="B153" s="19" t="s">
        <v>31</v>
      </c>
      <c r="C153" s="19" t="s">
        <v>12</v>
      </c>
      <c r="D153" s="19" t="s">
        <v>171</v>
      </c>
      <c r="E153" s="19"/>
      <c r="F153" s="20">
        <v>17330.900000000001</v>
      </c>
      <c r="G153" s="20">
        <v>22885</v>
      </c>
      <c r="H153" s="20">
        <v>0</v>
      </c>
      <c r="I153" s="117"/>
    </row>
    <row r="154" spans="1:9" s="79" customFormat="1" ht="25.5" x14ac:dyDescent="0.2">
      <c r="A154" s="87" t="s">
        <v>76</v>
      </c>
      <c r="B154" s="82" t="s">
        <v>31</v>
      </c>
      <c r="C154" s="82" t="s">
        <v>12</v>
      </c>
      <c r="D154" s="77" t="s">
        <v>171</v>
      </c>
      <c r="E154" s="83" t="s">
        <v>68</v>
      </c>
      <c r="F154" s="62">
        <v>14595.4</v>
      </c>
      <c r="G154" s="62">
        <v>0</v>
      </c>
      <c r="H154" s="62">
        <v>0</v>
      </c>
    </row>
    <row r="155" spans="1:9" ht="25.5" x14ac:dyDescent="0.2">
      <c r="A155" s="28" t="s">
        <v>83</v>
      </c>
      <c r="B155" s="24" t="s">
        <v>31</v>
      </c>
      <c r="C155" s="24" t="s">
        <v>12</v>
      </c>
      <c r="D155" s="19" t="s">
        <v>171</v>
      </c>
      <c r="E155" s="24" t="s">
        <v>71</v>
      </c>
      <c r="F155" s="62">
        <v>2735.5</v>
      </c>
      <c r="G155" s="62">
        <v>22885</v>
      </c>
      <c r="H155" s="62">
        <v>0</v>
      </c>
      <c r="I155" s="117"/>
    </row>
    <row r="156" spans="1:9" s="79" customFormat="1" x14ac:dyDescent="0.2">
      <c r="A156" s="75" t="s">
        <v>174</v>
      </c>
      <c r="B156" s="77" t="s">
        <v>31</v>
      </c>
      <c r="C156" s="77" t="s">
        <v>12</v>
      </c>
      <c r="D156" s="82" t="s">
        <v>173</v>
      </c>
      <c r="E156" s="77"/>
      <c r="F156" s="78">
        <v>11263.5</v>
      </c>
      <c r="G156" s="78">
        <v>0</v>
      </c>
      <c r="H156" s="78">
        <v>0</v>
      </c>
    </row>
    <row r="157" spans="1:9" ht="25.5" x14ac:dyDescent="0.2">
      <c r="A157" s="28" t="s">
        <v>76</v>
      </c>
      <c r="B157" s="19" t="s">
        <v>31</v>
      </c>
      <c r="C157" s="19" t="s">
        <v>12</v>
      </c>
      <c r="D157" s="24" t="s">
        <v>173</v>
      </c>
      <c r="E157" s="24" t="s">
        <v>68</v>
      </c>
      <c r="F157" s="25">
        <v>9600</v>
      </c>
      <c r="G157" s="25">
        <v>0</v>
      </c>
      <c r="H157" s="25">
        <v>0</v>
      </c>
    </row>
    <row r="158" spans="1:9" s="26" customFormat="1" ht="25.5" x14ac:dyDescent="0.2">
      <c r="A158" s="28" t="s">
        <v>83</v>
      </c>
      <c r="B158" s="19" t="s">
        <v>31</v>
      </c>
      <c r="C158" s="19" t="s">
        <v>12</v>
      </c>
      <c r="D158" s="24" t="s">
        <v>173</v>
      </c>
      <c r="E158" s="24" t="s">
        <v>71</v>
      </c>
      <c r="F158" s="25">
        <v>1663.5</v>
      </c>
      <c r="G158" s="25">
        <v>0</v>
      </c>
      <c r="H158" s="25">
        <v>0</v>
      </c>
      <c r="I158" s="84"/>
    </row>
    <row r="159" spans="1:9" ht="25.5" x14ac:dyDescent="0.2">
      <c r="A159" s="18" t="s">
        <v>215</v>
      </c>
      <c r="B159" s="19" t="s">
        <v>31</v>
      </c>
      <c r="C159" s="19" t="s">
        <v>12</v>
      </c>
      <c r="D159" s="19" t="s">
        <v>216</v>
      </c>
      <c r="E159" s="19"/>
      <c r="F159" s="20">
        <v>2107.6999999999998</v>
      </c>
      <c r="G159" s="20">
        <v>0</v>
      </c>
      <c r="H159" s="20">
        <v>0</v>
      </c>
      <c r="I159" s="237"/>
    </row>
    <row r="160" spans="1:9" ht="25.5" x14ac:dyDescent="0.2">
      <c r="A160" s="28" t="s">
        <v>76</v>
      </c>
      <c r="B160" s="24" t="s">
        <v>31</v>
      </c>
      <c r="C160" s="24" t="s">
        <v>12</v>
      </c>
      <c r="D160" s="24" t="s">
        <v>216</v>
      </c>
      <c r="E160" s="24" t="s">
        <v>68</v>
      </c>
      <c r="F160" s="25">
        <v>2107.6999999999998</v>
      </c>
      <c r="G160" s="25">
        <v>0</v>
      </c>
      <c r="H160" s="25">
        <v>0</v>
      </c>
      <c r="I160" s="237"/>
    </row>
    <row r="161" spans="1:9" x14ac:dyDescent="0.2">
      <c r="A161" s="18" t="s">
        <v>420</v>
      </c>
      <c r="B161" s="19" t="s">
        <v>31</v>
      </c>
      <c r="C161" s="19" t="s">
        <v>12</v>
      </c>
      <c r="D161" s="19" t="s">
        <v>421</v>
      </c>
      <c r="E161" s="19"/>
      <c r="F161" s="20">
        <v>1586</v>
      </c>
      <c r="G161" s="20">
        <v>0</v>
      </c>
      <c r="H161" s="20">
        <v>0</v>
      </c>
      <c r="I161" s="237"/>
    </row>
    <row r="162" spans="1:9" x14ac:dyDescent="0.2">
      <c r="A162" s="28" t="s">
        <v>72</v>
      </c>
      <c r="B162" s="24" t="s">
        <v>31</v>
      </c>
      <c r="C162" s="24" t="s">
        <v>12</v>
      </c>
      <c r="D162" s="24" t="s">
        <v>421</v>
      </c>
      <c r="E162" s="24" t="s">
        <v>73</v>
      </c>
      <c r="F162" s="25">
        <v>1586</v>
      </c>
      <c r="G162" s="25">
        <v>0</v>
      </c>
      <c r="H162" s="25">
        <v>0</v>
      </c>
      <c r="I162" s="237"/>
    </row>
    <row r="163" spans="1:9" s="79" customFormat="1" x14ac:dyDescent="0.2">
      <c r="A163" s="70" t="s">
        <v>33</v>
      </c>
      <c r="B163" s="72" t="s">
        <v>31</v>
      </c>
      <c r="C163" s="72" t="s">
        <v>14</v>
      </c>
      <c r="D163" s="72"/>
      <c r="E163" s="72"/>
      <c r="F163" s="73">
        <v>103281.1</v>
      </c>
      <c r="G163" s="73">
        <v>5844</v>
      </c>
      <c r="H163" s="73">
        <v>3000</v>
      </c>
    </row>
    <row r="164" spans="1:9" ht="25.5" x14ac:dyDescent="0.2">
      <c r="A164" s="18" t="s">
        <v>391</v>
      </c>
      <c r="B164" s="19" t="s">
        <v>31</v>
      </c>
      <c r="C164" s="19" t="s">
        <v>14</v>
      </c>
      <c r="D164" s="19" t="s">
        <v>392</v>
      </c>
      <c r="E164" s="20"/>
      <c r="F164" s="20">
        <v>6975</v>
      </c>
      <c r="G164" s="20">
        <v>0</v>
      </c>
      <c r="H164" s="20">
        <v>0</v>
      </c>
      <c r="I164" s="117"/>
    </row>
    <row r="165" spans="1:9" ht="25.5" x14ac:dyDescent="0.2">
      <c r="A165" s="18" t="s">
        <v>76</v>
      </c>
      <c r="B165" s="19" t="s">
        <v>31</v>
      </c>
      <c r="C165" s="19" t="s">
        <v>14</v>
      </c>
      <c r="D165" s="19" t="s">
        <v>392</v>
      </c>
      <c r="E165" s="20" t="s">
        <v>68</v>
      </c>
      <c r="F165" s="20">
        <v>6975</v>
      </c>
      <c r="G165" s="20">
        <v>0</v>
      </c>
      <c r="H165" s="20">
        <v>0</v>
      </c>
      <c r="I165" s="117"/>
    </row>
    <row r="166" spans="1:9" ht="25.5" x14ac:dyDescent="0.2">
      <c r="A166" s="17" t="s">
        <v>297</v>
      </c>
      <c r="B166" s="19" t="s">
        <v>31</v>
      </c>
      <c r="C166" s="19" t="s">
        <v>14</v>
      </c>
      <c r="D166" s="19" t="s">
        <v>393</v>
      </c>
      <c r="E166" s="19"/>
      <c r="F166" s="20">
        <v>775</v>
      </c>
      <c r="G166" s="20">
        <v>0</v>
      </c>
      <c r="H166" s="20">
        <v>0</v>
      </c>
      <c r="I166" s="237"/>
    </row>
    <row r="167" spans="1:9" ht="25.5" x14ac:dyDescent="0.2">
      <c r="A167" s="28" t="s">
        <v>76</v>
      </c>
      <c r="B167" s="24" t="s">
        <v>31</v>
      </c>
      <c r="C167" s="24" t="s">
        <v>14</v>
      </c>
      <c r="D167" s="24" t="s">
        <v>393</v>
      </c>
      <c r="E167" s="24" t="s">
        <v>68</v>
      </c>
      <c r="F167" s="20">
        <v>775</v>
      </c>
      <c r="G167" s="20">
        <v>0</v>
      </c>
      <c r="H167" s="20">
        <v>0</v>
      </c>
      <c r="I167" s="237"/>
    </row>
    <row r="168" spans="1:9" ht="25.5" x14ac:dyDescent="0.2">
      <c r="A168" s="17" t="s">
        <v>689</v>
      </c>
      <c r="B168" s="19" t="s">
        <v>31</v>
      </c>
      <c r="C168" s="19" t="s">
        <v>14</v>
      </c>
      <c r="D168" s="19" t="s">
        <v>688</v>
      </c>
      <c r="E168" s="19"/>
      <c r="F168" s="20">
        <v>375</v>
      </c>
      <c r="G168" s="20">
        <v>0</v>
      </c>
      <c r="H168" s="20">
        <v>0</v>
      </c>
      <c r="I168" s="237"/>
    </row>
    <row r="169" spans="1:9" ht="25.5" x14ac:dyDescent="0.2">
      <c r="A169" s="28" t="s">
        <v>76</v>
      </c>
      <c r="B169" s="24" t="s">
        <v>31</v>
      </c>
      <c r="C169" s="24" t="s">
        <v>14</v>
      </c>
      <c r="D169" s="24" t="s">
        <v>688</v>
      </c>
      <c r="E169" s="24" t="s">
        <v>68</v>
      </c>
      <c r="F169" s="25">
        <v>375</v>
      </c>
      <c r="G169" s="25">
        <v>0</v>
      </c>
      <c r="H169" s="25">
        <v>0</v>
      </c>
      <c r="I169" s="237"/>
    </row>
    <row r="170" spans="1:9" s="79" customFormat="1" ht="25.5" x14ac:dyDescent="0.2">
      <c r="A170" s="89" t="s">
        <v>297</v>
      </c>
      <c r="B170" s="77" t="s">
        <v>31</v>
      </c>
      <c r="C170" s="77" t="s">
        <v>14</v>
      </c>
      <c r="D170" s="77" t="s">
        <v>296</v>
      </c>
      <c r="E170" s="77"/>
      <c r="F170" s="78">
        <v>2536</v>
      </c>
      <c r="G170" s="78">
        <v>5844</v>
      </c>
      <c r="H170" s="78">
        <v>3000</v>
      </c>
    </row>
    <row r="171" spans="1:9" ht="25.5" x14ac:dyDescent="0.2">
      <c r="A171" s="28" t="s">
        <v>76</v>
      </c>
      <c r="B171" s="24" t="s">
        <v>31</v>
      </c>
      <c r="C171" s="24" t="s">
        <v>14</v>
      </c>
      <c r="D171" s="24" t="s">
        <v>296</v>
      </c>
      <c r="E171" s="24" t="s">
        <v>68</v>
      </c>
      <c r="F171" s="25">
        <v>2536</v>
      </c>
      <c r="G171" s="25">
        <v>5844</v>
      </c>
      <c r="H171" s="25">
        <v>3000</v>
      </c>
      <c r="I171" s="25">
        <f>'изменения июль вед стр-ра'!J578</f>
        <v>0</v>
      </c>
    </row>
    <row r="172" spans="1:9" s="88" customFormat="1" ht="18" customHeight="1" x14ac:dyDescent="0.2">
      <c r="A172" s="89" t="s">
        <v>356</v>
      </c>
      <c r="B172" s="77" t="s">
        <v>31</v>
      </c>
      <c r="C172" s="77" t="s">
        <v>14</v>
      </c>
      <c r="D172" s="77" t="s">
        <v>355</v>
      </c>
      <c r="E172" s="77"/>
      <c r="F172" s="78">
        <v>1487.2999999999997</v>
      </c>
      <c r="G172" s="78">
        <v>0</v>
      </c>
      <c r="H172" s="78">
        <v>0</v>
      </c>
    </row>
    <row r="173" spans="1:9" s="88" customFormat="1" ht="25.5" x14ac:dyDescent="0.2">
      <c r="A173" s="87" t="s">
        <v>76</v>
      </c>
      <c r="B173" s="82" t="s">
        <v>31</v>
      </c>
      <c r="C173" s="82" t="s">
        <v>14</v>
      </c>
      <c r="D173" s="82" t="s">
        <v>355</v>
      </c>
      <c r="E173" s="82" t="s">
        <v>68</v>
      </c>
      <c r="F173" s="62">
        <v>1487.2999999999997</v>
      </c>
      <c r="G173" s="62">
        <v>0</v>
      </c>
      <c r="H173" s="62">
        <v>0</v>
      </c>
    </row>
    <row r="174" spans="1:9" ht="54.75" customHeight="1" x14ac:dyDescent="0.2">
      <c r="A174" s="18" t="s">
        <v>520</v>
      </c>
      <c r="B174" s="19" t="s">
        <v>31</v>
      </c>
      <c r="C174" s="19" t="s">
        <v>14</v>
      </c>
      <c r="D174" s="19" t="s">
        <v>302</v>
      </c>
      <c r="E174" s="19"/>
      <c r="F174" s="20">
        <v>74230.400000000009</v>
      </c>
      <c r="G174" s="20">
        <v>0</v>
      </c>
      <c r="H174" s="20">
        <v>0</v>
      </c>
      <c r="I174" s="237"/>
    </row>
    <row r="175" spans="1:9" s="79" customFormat="1" x14ac:dyDescent="0.2">
      <c r="A175" s="87" t="s">
        <v>72</v>
      </c>
      <c r="B175" s="82" t="s">
        <v>31</v>
      </c>
      <c r="C175" s="82" t="s">
        <v>14</v>
      </c>
      <c r="D175" s="82" t="s">
        <v>302</v>
      </c>
      <c r="E175" s="82" t="s">
        <v>73</v>
      </c>
      <c r="F175" s="62">
        <v>74230.400000000009</v>
      </c>
      <c r="G175" s="62">
        <v>0</v>
      </c>
      <c r="H175" s="62">
        <v>0</v>
      </c>
    </row>
    <row r="176" spans="1:9" ht="63.75" x14ac:dyDescent="0.2">
      <c r="A176" s="17" t="s">
        <v>518</v>
      </c>
      <c r="B176" s="19" t="s">
        <v>31</v>
      </c>
      <c r="C176" s="19" t="s">
        <v>14</v>
      </c>
      <c r="D176" s="19" t="s">
        <v>304</v>
      </c>
      <c r="E176" s="19"/>
      <c r="F176" s="20">
        <v>14244.7</v>
      </c>
      <c r="G176" s="20">
        <v>0</v>
      </c>
      <c r="H176" s="20">
        <v>0</v>
      </c>
      <c r="I176" s="237"/>
    </row>
    <row r="177" spans="1:9" x14ac:dyDescent="0.2">
      <c r="A177" s="28" t="s">
        <v>72</v>
      </c>
      <c r="B177" s="24" t="s">
        <v>31</v>
      </c>
      <c r="C177" s="24" t="s">
        <v>14</v>
      </c>
      <c r="D177" s="24" t="s">
        <v>304</v>
      </c>
      <c r="E177" s="24" t="s">
        <v>73</v>
      </c>
      <c r="F177" s="25">
        <v>14244.7</v>
      </c>
      <c r="G177" s="25">
        <v>0</v>
      </c>
      <c r="H177" s="25">
        <v>0</v>
      </c>
      <c r="I177" s="237"/>
    </row>
    <row r="178" spans="1:9" ht="38.25" x14ac:dyDescent="0.2">
      <c r="A178" s="18" t="s">
        <v>307</v>
      </c>
      <c r="B178" s="19" t="s">
        <v>31</v>
      </c>
      <c r="C178" s="19" t="s">
        <v>14</v>
      </c>
      <c r="D178" s="19" t="s">
        <v>306</v>
      </c>
      <c r="E178" s="19"/>
      <c r="F178" s="20">
        <v>2657.7</v>
      </c>
      <c r="G178" s="20">
        <v>0</v>
      </c>
      <c r="H178" s="20">
        <v>0</v>
      </c>
      <c r="I178" s="237"/>
    </row>
    <row r="179" spans="1:9" x14ac:dyDescent="0.2">
      <c r="A179" s="28" t="s">
        <v>72</v>
      </c>
      <c r="B179" s="24" t="s">
        <v>31</v>
      </c>
      <c r="C179" s="24" t="s">
        <v>14</v>
      </c>
      <c r="D179" s="24" t="s">
        <v>306</v>
      </c>
      <c r="E179" s="24" t="s">
        <v>73</v>
      </c>
      <c r="F179" s="25">
        <v>2657.7</v>
      </c>
      <c r="G179" s="25">
        <v>0</v>
      </c>
      <c r="H179" s="25">
        <v>0</v>
      </c>
      <c r="I179" s="237"/>
    </row>
    <row r="180" spans="1:9" s="79" customFormat="1" x14ac:dyDescent="0.2">
      <c r="A180" s="70" t="s">
        <v>35</v>
      </c>
      <c r="B180" s="72" t="s">
        <v>31</v>
      </c>
      <c r="C180" s="72" t="s">
        <v>16</v>
      </c>
      <c r="D180" s="72"/>
      <c r="E180" s="72"/>
      <c r="F180" s="73">
        <v>26487.608990000004</v>
      </c>
      <c r="G180" s="73">
        <v>0</v>
      </c>
      <c r="H180" s="73">
        <v>0</v>
      </c>
    </row>
    <row r="181" spans="1:9" s="7" customFormat="1" ht="25.5" x14ac:dyDescent="0.2">
      <c r="A181" s="89" t="s">
        <v>441</v>
      </c>
      <c r="B181" s="19" t="s">
        <v>31</v>
      </c>
      <c r="C181" s="19" t="s">
        <v>16</v>
      </c>
      <c r="D181" s="77" t="s">
        <v>438</v>
      </c>
      <c r="E181" s="19"/>
      <c r="F181" s="20">
        <v>8654.7682000000023</v>
      </c>
      <c r="G181" s="20">
        <v>0</v>
      </c>
      <c r="H181" s="20">
        <v>0</v>
      </c>
      <c r="I181" s="119"/>
    </row>
    <row r="182" spans="1:9" s="7" customFormat="1" ht="25.5" x14ac:dyDescent="0.2">
      <c r="A182" s="28" t="s">
        <v>76</v>
      </c>
      <c r="B182" s="24" t="s">
        <v>31</v>
      </c>
      <c r="C182" s="24" t="s">
        <v>16</v>
      </c>
      <c r="D182" s="77" t="s">
        <v>438</v>
      </c>
      <c r="E182" s="24" t="s">
        <v>68</v>
      </c>
      <c r="F182" s="62">
        <v>3451.1749500000028</v>
      </c>
      <c r="G182" s="62">
        <v>0</v>
      </c>
      <c r="H182" s="62">
        <v>0</v>
      </c>
      <c r="I182" s="119"/>
    </row>
    <row r="183" spans="1:9" s="7" customFormat="1" ht="25.5" x14ac:dyDescent="0.2">
      <c r="A183" s="28" t="s">
        <v>141</v>
      </c>
      <c r="B183" s="24" t="s">
        <v>31</v>
      </c>
      <c r="C183" s="24" t="s">
        <v>16</v>
      </c>
      <c r="D183" s="77" t="s">
        <v>438</v>
      </c>
      <c r="E183" s="24" t="s">
        <v>65</v>
      </c>
      <c r="F183" s="62">
        <v>5203.5932499999999</v>
      </c>
      <c r="G183" s="62">
        <v>0</v>
      </c>
      <c r="H183" s="62">
        <v>0</v>
      </c>
      <c r="I183" s="119"/>
    </row>
    <row r="184" spans="1:9" s="7" customFormat="1" ht="25.5" x14ac:dyDescent="0.2">
      <c r="A184" s="17" t="s">
        <v>369</v>
      </c>
      <c r="B184" s="19" t="s">
        <v>31</v>
      </c>
      <c r="C184" s="19" t="s">
        <v>16</v>
      </c>
      <c r="D184" s="19" t="s">
        <v>368</v>
      </c>
      <c r="E184" s="19"/>
      <c r="F184" s="20">
        <v>150</v>
      </c>
      <c r="G184" s="20">
        <v>0</v>
      </c>
      <c r="H184" s="20">
        <v>0</v>
      </c>
    </row>
    <row r="185" spans="1:9" s="7" customFormat="1" ht="25.5" x14ac:dyDescent="0.2">
      <c r="A185" s="28" t="s">
        <v>76</v>
      </c>
      <c r="B185" s="24" t="s">
        <v>31</v>
      </c>
      <c r="C185" s="24" t="s">
        <v>16</v>
      </c>
      <c r="D185" s="19" t="s">
        <v>368</v>
      </c>
      <c r="E185" s="24" t="s">
        <v>68</v>
      </c>
      <c r="F185" s="25">
        <v>150</v>
      </c>
      <c r="G185" s="25">
        <v>0</v>
      </c>
      <c r="H185" s="25">
        <v>0</v>
      </c>
    </row>
    <row r="186" spans="1:9" s="7" customFormat="1" ht="25.5" x14ac:dyDescent="0.2">
      <c r="A186" s="17" t="s">
        <v>409</v>
      </c>
      <c r="B186" s="19" t="s">
        <v>31</v>
      </c>
      <c r="C186" s="19" t="s">
        <v>16</v>
      </c>
      <c r="D186" s="19" t="s">
        <v>407</v>
      </c>
      <c r="E186" s="19"/>
      <c r="F186" s="20">
        <v>181.64079000000004</v>
      </c>
      <c r="G186" s="20">
        <v>0</v>
      </c>
      <c r="H186" s="20">
        <v>0</v>
      </c>
      <c r="I186" s="119"/>
    </row>
    <row r="187" spans="1:9" s="7" customFormat="1" ht="25.5" x14ac:dyDescent="0.2">
      <c r="A187" s="28" t="s">
        <v>76</v>
      </c>
      <c r="B187" s="24" t="s">
        <v>31</v>
      </c>
      <c r="C187" s="24" t="s">
        <v>16</v>
      </c>
      <c r="D187" s="24" t="s">
        <v>408</v>
      </c>
      <c r="E187" s="24" t="s">
        <v>68</v>
      </c>
      <c r="F187" s="25">
        <v>181.64079000000004</v>
      </c>
      <c r="G187" s="25">
        <v>0</v>
      </c>
      <c r="H187" s="25">
        <v>0</v>
      </c>
      <c r="I187" s="119"/>
    </row>
    <row r="188" spans="1:9" s="79" customFormat="1" x14ac:dyDescent="0.2">
      <c r="A188" s="75" t="s">
        <v>309</v>
      </c>
      <c r="B188" s="77" t="s">
        <v>31</v>
      </c>
      <c r="C188" s="77" t="s">
        <v>16</v>
      </c>
      <c r="D188" s="77" t="s">
        <v>308</v>
      </c>
      <c r="E188" s="77"/>
      <c r="F188" s="78">
        <v>650</v>
      </c>
      <c r="G188" s="78">
        <v>0</v>
      </c>
      <c r="H188" s="78">
        <v>0</v>
      </c>
    </row>
    <row r="189" spans="1:9" s="79" customFormat="1" ht="25.5" x14ac:dyDescent="0.2">
      <c r="A189" s="87" t="s">
        <v>141</v>
      </c>
      <c r="B189" s="82" t="s">
        <v>31</v>
      </c>
      <c r="C189" s="82" t="s">
        <v>16</v>
      </c>
      <c r="D189" s="82" t="s">
        <v>308</v>
      </c>
      <c r="E189" s="82" t="s">
        <v>65</v>
      </c>
      <c r="F189" s="62">
        <v>650</v>
      </c>
      <c r="G189" s="62">
        <v>0</v>
      </c>
      <c r="H189" s="62">
        <v>0</v>
      </c>
    </row>
    <row r="190" spans="1:9" ht="25.5" x14ac:dyDescent="0.2">
      <c r="A190" s="18" t="s">
        <v>310</v>
      </c>
      <c r="B190" s="19" t="s">
        <v>31</v>
      </c>
      <c r="C190" s="19" t="s">
        <v>16</v>
      </c>
      <c r="D190" s="19" t="s">
        <v>663</v>
      </c>
      <c r="E190" s="19"/>
      <c r="F190" s="20">
        <v>3500</v>
      </c>
      <c r="G190" s="20">
        <v>0</v>
      </c>
      <c r="H190" s="20">
        <v>0</v>
      </c>
      <c r="I190" s="237"/>
    </row>
    <row r="191" spans="1:9" ht="25.5" x14ac:dyDescent="0.2">
      <c r="A191" s="28" t="s">
        <v>141</v>
      </c>
      <c r="B191" s="24" t="s">
        <v>31</v>
      </c>
      <c r="C191" s="24" t="s">
        <v>16</v>
      </c>
      <c r="D191" s="24" t="s">
        <v>311</v>
      </c>
      <c r="E191" s="24" t="s">
        <v>65</v>
      </c>
      <c r="F191" s="25">
        <v>3500</v>
      </c>
      <c r="G191" s="25">
        <v>0</v>
      </c>
      <c r="H191" s="25">
        <v>0</v>
      </c>
      <c r="I191" s="237"/>
    </row>
    <row r="192" spans="1:9" x14ac:dyDescent="0.2">
      <c r="A192" s="18" t="s">
        <v>313</v>
      </c>
      <c r="B192" s="24" t="s">
        <v>31</v>
      </c>
      <c r="C192" s="24" t="s">
        <v>16</v>
      </c>
      <c r="D192" s="19" t="s">
        <v>312</v>
      </c>
      <c r="E192" s="24"/>
      <c r="F192" s="25">
        <v>1000</v>
      </c>
      <c r="G192" s="25">
        <v>0</v>
      </c>
      <c r="H192" s="25">
        <v>0</v>
      </c>
      <c r="I192" s="237"/>
    </row>
    <row r="193" spans="1:9" ht="25.5" x14ac:dyDescent="0.2">
      <c r="A193" s="28" t="s">
        <v>141</v>
      </c>
      <c r="B193" s="24" t="s">
        <v>31</v>
      </c>
      <c r="C193" s="24" t="s">
        <v>16</v>
      </c>
      <c r="D193" s="24" t="s">
        <v>312</v>
      </c>
      <c r="E193" s="24" t="s">
        <v>65</v>
      </c>
      <c r="F193" s="25">
        <v>1000</v>
      </c>
      <c r="G193" s="25">
        <v>0</v>
      </c>
      <c r="H193" s="25">
        <v>0</v>
      </c>
      <c r="I193" s="237"/>
    </row>
    <row r="194" spans="1:9" s="79" customFormat="1" ht="25.5" x14ac:dyDescent="0.2">
      <c r="A194" s="75" t="s">
        <v>315</v>
      </c>
      <c r="B194" s="77" t="s">
        <v>31</v>
      </c>
      <c r="C194" s="77" t="s">
        <v>16</v>
      </c>
      <c r="D194" s="111" t="s">
        <v>314</v>
      </c>
      <c r="E194" s="77"/>
      <c r="F194" s="78">
        <v>8351.1999999999989</v>
      </c>
      <c r="G194" s="78">
        <v>0</v>
      </c>
      <c r="H194" s="78">
        <v>0</v>
      </c>
    </row>
    <row r="195" spans="1:9" s="79" customFormat="1" ht="25.5" x14ac:dyDescent="0.2">
      <c r="A195" s="28" t="s">
        <v>76</v>
      </c>
      <c r="B195" s="24" t="s">
        <v>31</v>
      </c>
      <c r="C195" s="24" t="s">
        <v>16</v>
      </c>
      <c r="D195" s="16" t="s">
        <v>314</v>
      </c>
      <c r="E195" s="77" t="s">
        <v>68</v>
      </c>
      <c r="F195" s="78">
        <v>87.8</v>
      </c>
      <c r="G195" s="78">
        <v>0</v>
      </c>
      <c r="H195" s="78">
        <v>0</v>
      </c>
    </row>
    <row r="196" spans="1:9" ht="25.5" x14ac:dyDescent="0.2">
      <c r="A196" s="28" t="s">
        <v>141</v>
      </c>
      <c r="B196" s="24" t="s">
        <v>31</v>
      </c>
      <c r="C196" s="24" t="s">
        <v>16</v>
      </c>
      <c r="D196" s="16" t="s">
        <v>314</v>
      </c>
      <c r="E196" s="24" t="s">
        <v>65</v>
      </c>
      <c r="F196" s="25">
        <v>8263.4</v>
      </c>
      <c r="G196" s="25">
        <v>0</v>
      </c>
      <c r="H196" s="25">
        <v>0</v>
      </c>
    </row>
    <row r="197" spans="1:9" x14ac:dyDescent="0.2">
      <c r="A197" s="18" t="s">
        <v>389</v>
      </c>
      <c r="B197" s="19" t="s">
        <v>31</v>
      </c>
      <c r="C197" s="19" t="s">
        <v>16</v>
      </c>
      <c r="D197" s="16" t="s">
        <v>390</v>
      </c>
      <c r="E197" s="19"/>
      <c r="F197" s="20">
        <v>4000</v>
      </c>
      <c r="G197" s="20">
        <v>0</v>
      </c>
      <c r="H197" s="20">
        <v>0</v>
      </c>
      <c r="I197" s="237"/>
    </row>
    <row r="198" spans="1:9" ht="25.5" x14ac:dyDescent="0.2">
      <c r="A198" s="28" t="s">
        <v>141</v>
      </c>
      <c r="B198" s="24" t="s">
        <v>31</v>
      </c>
      <c r="C198" s="24" t="s">
        <v>16</v>
      </c>
      <c r="D198" s="16" t="s">
        <v>390</v>
      </c>
      <c r="E198" s="24" t="s">
        <v>65</v>
      </c>
      <c r="F198" s="25">
        <v>4000</v>
      </c>
      <c r="G198" s="25">
        <v>0</v>
      </c>
      <c r="H198" s="25">
        <v>0</v>
      </c>
      <c r="I198" s="237"/>
    </row>
    <row r="199" spans="1:9" s="79" customFormat="1" ht="15.75" customHeight="1" x14ac:dyDescent="0.2">
      <c r="A199" s="70" t="s">
        <v>36</v>
      </c>
      <c r="B199" s="72" t="s">
        <v>31</v>
      </c>
      <c r="C199" s="72" t="s">
        <v>31</v>
      </c>
      <c r="D199" s="72"/>
      <c r="E199" s="72"/>
      <c r="F199" s="73">
        <v>27467.5</v>
      </c>
      <c r="G199" s="73">
        <v>18451.8</v>
      </c>
      <c r="H199" s="73">
        <v>18272.599999999999</v>
      </c>
    </row>
    <row r="200" spans="1:9" ht="38.25" x14ac:dyDescent="0.2">
      <c r="A200" s="18" t="s">
        <v>317</v>
      </c>
      <c r="B200" s="19" t="s">
        <v>31</v>
      </c>
      <c r="C200" s="19" t="s">
        <v>31</v>
      </c>
      <c r="D200" s="19" t="s">
        <v>316</v>
      </c>
      <c r="E200" s="19"/>
      <c r="F200" s="20">
        <v>5099.4000000000005</v>
      </c>
      <c r="G200" s="20">
        <v>0</v>
      </c>
      <c r="H200" s="20">
        <v>0</v>
      </c>
      <c r="I200" s="237"/>
    </row>
    <row r="201" spans="1:9" ht="25.5" x14ac:dyDescent="0.2">
      <c r="A201" s="28" t="s">
        <v>141</v>
      </c>
      <c r="B201" s="24" t="s">
        <v>31</v>
      </c>
      <c r="C201" s="24" t="s">
        <v>31</v>
      </c>
      <c r="D201" s="24" t="s">
        <v>316</v>
      </c>
      <c r="E201" s="24" t="s">
        <v>65</v>
      </c>
      <c r="F201" s="25">
        <v>5099.4000000000005</v>
      </c>
      <c r="G201" s="25">
        <v>0</v>
      </c>
      <c r="H201" s="25">
        <v>0</v>
      </c>
      <c r="I201" s="237"/>
    </row>
    <row r="202" spans="1:9" ht="25.5" x14ac:dyDescent="0.2">
      <c r="A202" s="18" t="s">
        <v>319</v>
      </c>
      <c r="B202" s="19" t="s">
        <v>31</v>
      </c>
      <c r="C202" s="19" t="s">
        <v>31</v>
      </c>
      <c r="D202" s="19" t="s">
        <v>318</v>
      </c>
      <c r="E202" s="19"/>
      <c r="F202" s="20">
        <v>6303.5</v>
      </c>
      <c r="G202" s="20">
        <v>4769</v>
      </c>
      <c r="H202" s="20">
        <v>4769</v>
      </c>
      <c r="I202" s="117"/>
    </row>
    <row r="203" spans="1:9" ht="51" x14ac:dyDescent="0.2">
      <c r="A203" s="30" t="s">
        <v>66</v>
      </c>
      <c r="B203" s="24" t="s">
        <v>31</v>
      </c>
      <c r="C203" s="24" t="s">
        <v>31</v>
      </c>
      <c r="D203" s="24" t="s">
        <v>318</v>
      </c>
      <c r="E203" s="24" t="s">
        <v>67</v>
      </c>
      <c r="F203" s="25">
        <v>5860.9</v>
      </c>
      <c r="G203" s="25">
        <v>4351.3999999999996</v>
      </c>
      <c r="H203" s="25">
        <v>4351.3999999999996</v>
      </c>
      <c r="I203" s="117"/>
    </row>
    <row r="204" spans="1:9" ht="25.5" x14ac:dyDescent="0.2">
      <c r="A204" s="28" t="s">
        <v>76</v>
      </c>
      <c r="B204" s="24" t="s">
        <v>31</v>
      </c>
      <c r="C204" s="24" t="s">
        <v>31</v>
      </c>
      <c r="D204" s="24" t="s">
        <v>318</v>
      </c>
      <c r="E204" s="24" t="s">
        <v>68</v>
      </c>
      <c r="F204" s="25">
        <v>442.6</v>
      </c>
      <c r="G204" s="25">
        <v>417.6</v>
      </c>
      <c r="H204" s="25">
        <v>417.6</v>
      </c>
      <c r="I204" s="117"/>
    </row>
    <row r="205" spans="1:9" ht="38.25" x14ac:dyDescent="0.2">
      <c r="A205" s="18" t="s">
        <v>321</v>
      </c>
      <c r="B205" s="24" t="s">
        <v>31</v>
      </c>
      <c r="C205" s="24" t="s">
        <v>31</v>
      </c>
      <c r="D205" s="19" t="s">
        <v>320</v>
      </c>
      <c r="E205" s="5"/>
      <c r="F205" s="6">
        <v>16064.599999999999</v>
      </c>
      <c r="G205" s="6">
        <v>13682.8</v>
      </c>
      <c r="H205" s="6">
        <v>13503.6</v>
      </c>
      <c r="I205" s="117"/>
    </row>
    <row r="206" spans="1:9" ht="25.5" x14ac:dyDescent="0.2">
      <c r="A206" s="28" t="s">
        <v>141</v>
      </c>
      <c r="B206" s="24" t="s">
        <v>31</v>
      </c>
      <c r="C206" s="24" t="s">
        <v>31</v>
      </c>
      <c r="D206" s="24" t="s">
        <v>320</v>
      </c>
      <c r="E206" s="24" t="s">
        <v>65</v>
      </c>
      <c r="F206" s="25">
        <v>16064.599999999999</v>
      </c>
      <c r="G206" s="25">
        <v>13682.8</v>
      </c>
      <c r="H206" s="25">
        <v>13503.6</v>
      </c>
      <c r="I206" s="117"/>
    </row>
    <row r="207" spans="1:9" ht="15.75" x14ac:dyDescent="0.25">
      <c r="A207" s="144" t="s">
        <v>37</v>
      </c>
      <c r="B207" s="143" t="s">
        <v>19</v>
      </c>
      <c r="C207" s="143" t="s">
        <v>463</v>
      </c>
      <c r="D207" s="143"/>
      <c r="E207" s="143"/>
      <c r="F207" s="206">
        <v>1395625.0375000003</v>
      </c>
      <c r="G207" s="206">
        <v>1195483</v>
      </c>
      <c r="H207" s="206">
        <v>1151410.5</v>
      </c>
      <c r="I207" s="237"/>
    </row>
    <row r="208" spans="1:9" s="79" customFormat="1" x14ac:dyDescent="0.2">
      <c r="A208" s="70" t="s">
        <v>38</v>
      </c>
      <c r="B208" s="72" t="s">
        <v>19</v>
      </c>
      <c r="C208" s="72" t="s">
        <v>12</v>
      </c>
      <c r="D208" s="72"/>
      <c r="E208" s="72"/>
      <c r="F208" s="73">
        <v>460052.4</v>
      </c>
      <c r="G208" s="73">
        <v>439750.1</v>
      </c>
      <c r="H208" s="73">
        <v>431938.5</v>
      </c>
    </row>
    <row r="209" spans="1:9" s="79" customFormat="1" ht="25.5" x14ac:dyDescent="0.2">
      <c r="A209" s="89" t="s">
        <v>163</v>
      </c>
      <c r="B209" s="77" t="s">
        <v>19</v>
      </c>
      <c r="C209" s="77" t="s">
        <v>12</v>
      </c>
      <c r="D209" s="77" t="s">
        <v>162</v>
      </c>
      <c r="E209" s="90"/>
      <c r="F209" s="91">
        <v>8853.5</v>
      </c>
      <c r="G209" s="91">
        <v>6701.7999999999993</v>
      </c>
      <c r="H209" s="91">
        <v>6701.7999999999993</v>
      </c>
    </row>
    <row r="210" spans="1:9" s="79" customFormat="1" ht="25.5" x14ac:dyDescent="0.2">
      <c r="A210" s="28" t="s">
        <v>76</v>
      </c>
      <c r="B210" s="82" t="s">
        <v>19</v>
      </c>
      <c r="C210" s="82" t="s">
        <v>12</v>
      </c>
      <c r="D210" s="82" t="s">
        <v>162</v>
      </c>
      <c r="E210" s="82" t="s">
        <v>68</v>
      </c>
      <c r="F210" s="62">
        <v>2038.6</v>
      </c>
      <c r="G210" s="62">
        <v>1177</v>
      </c>
      <c r="H210" s="62">
        <v>1177</v>
      </c>
      <c r="I210" s="62">
        <f>'изменения июль вед стр-ра'!J232</f>
        <v>0</v>
      </c>
    </row>
    <row r="211" spans="1:9" s="79" customFormat="1" ht="25.5" x14ac:dyDescent="0.2">
      <c r="A211" s="87" t="s">
        <v>141</v>
      </c>
      <c r="B211" s="82" t="s">
        <v>19</v>
      </c>
      <c r="C211" s="82" t="s">
        <v>12</v>
      </c>
      <c r="D211" s="82" t="s">
        <v>162</v>
      </c>
      <c r="E211" s="82" t="s">
        <v>65</v>
      </c>
      <c r="F211" s="62">
        <v>6814.9</v>
      </c>
      <c r="G211" s="62">
        <v>5524.7999999999993</v>
      </c>
      <c r="H211" s="62">
        <v>5524.7999999999993</v>
      </c>
      <c r="I211" s="62">
        <f>'изменения июль вед стр-ра'!J233</f>
        <v>0</v>
      </c>
    </row>
    <row r="212" spans="1:9" x14ac:dyDescent="0.2">
      <c r="A212" s="18" t="s">
        <v>174</v>
      </c>
      <c r="B212" s="19" t="s">
        <v>19</v>
      </c>
      <c r="C212" s="19" t="s">
        <v>12</v>
      </c>
      <c r="D212" s="24" t="s">
        <v>173</v>
      </c>
      <c r="E212" s="19"/>
      <c r="F212" s="20">
        <v>4135.5</v>
      </c>
      <c r="G212" s="20">
        <v>0</v>
      </c>
      <c r="H212" s="20">
        <v>0</v>
      </c>
      <c r="I212" s="237"/>
    </row>
    <row r="213" spans="1:9" ht="25.5" x14ac:dyDescent="0.2">
      <c r="A213" s="28" t="s">
        <v>83</v>
      </c>
      <c r="B213" s="19" t="s">
        <v>19</v>
      </c>
      <c r="C213" s="19" t="s">
        <v>12</v>
      </c>
      <c r="D213" s="24" t="s">
        <v>173</v>
      </c>
      <c r="E213" s="24" t="s">
        <v>71</v>
      </c>
      <c r="F213" s="25">
        <v>4135.5</v>
      </c>
      <c r="G213" s="25">
        <v>0</v>
      </c>
      <c r="H213" s="25">
        <v>0</v>
      </c>
      <c r="I213" s="237"/>
    </row>
    <row r="214" spans="1:9" ht="51" x14ac:dyDescent="0.2">
      <c r="A214" s="60" t="s">
        <v>360</v>
      </c>
      <c r="B214" s="19" t="s">
        <v>19</v>
      </c>
      <c r="C214" s="19" t="s">
        <v>12</v>
      </c>
      <c r="D214" s="19" t="s">
        <v>123</v>
      </c>
      <c r="E214" s="19"/>
      <c r="F214" s="20">
        <v>245466.7</v>
      </c>
      <c r="G214" s="20">
        <v>256466.7</v>
      </c>
      <c r="H214" s="20">
        <v>256466.7</v>
      </c>
      <c r="I214" s="237"/>
    </row>
    <row r="215" spans="1:9" s="79" customFormat="1" ht="51" x14ac:dyDescent="0.2">
      <c r="A215" s="80" t="s">
        <v>66</v>
      </c>
      <c r="B215" s="82" t="s">
        <v>19</v>
      </c>
      <c r="C215" s="82" t="s">
        <v>12</v>
      </c>
      <c r="D215" s="82" t="s">
        <v>123</v>
      </c>
      <c r="E215" s="83" t="s">
        <v>67</v>
      </c>
      <c r="F215" s="62">
        <v>40850.5</v>
      </c>
      <c r="G215" s="62">
        <v>41527.5</v>
      </c>
      <c r="H215" s="62">
        <v>41527.5</v>
      </c>
    </row>
    <row r="216" spans="1:9" ht="25.5" x14ac:dyDescent="0.2">
      <c r="A216" s="28" t="s">
        <v>76</v>
      </c>
      <c r="B216" s="24" t="s">
        <v>19</v>
      </c>
      <c r="C216" s="24" t="s">
        <v>12</v>
      </c>
      <c r="D216" s="24" t="s">
        <v>123</v>
      </c>
      <c r="E216" s="27" t="s">
        <v>68</v>
      </c>
      <c r="F216" s="62">
        <v>148.4</v>
      </c>
      <c r="G216" s="62">
        <v>148.4</v>
      </c>
      <c r="H216" s="62">
        <v>148.4</v>
      </c>
      <c r="I216" s="237"/>
    </row>
    <row r="217" spans="1:9" s="79" customFormat="1" ht="25.5" x14ac:dyDescent="0.2">
      <c r="A217" s="87" t="s">
        <v>141</v>
      </c>
      <c r="B217" s="82" t="s">
        <v>19</v>
      </c>
      <c r="C217" s="82" t="s">
        <v>12</v>
      </c>
      <c r="D217" s="82" t="s">
        <v>123</v>
      </c>
      <c r="E217" s="82" t="s">
        <v>65</v>
      </c>
      <c r="F217" s="62">
        <v>204467.80000000002</v>
      </c>
      <c r="G217" s="62">
        <v>214790.80000000002</v>
      </c>
      <c r="H217" s="62">
        <v>214790.80000000002</v>
      </c>
    </row>
    <row r="218" spans="1:9" s="79" customFormat="1" ht="53.25" customHeight="1" x14ac:dyDescent="0.2">
      <c r="A218" s="75" t="s">
        <v>344</v>
      </c>
      <c r="B218" s="77" t="s">
        <v>19</v>
      </c>
      <c r="C218" s="77" t="s">
        <v>12</v>
      </c>
      <c r="D218" s="77" t="s">
        <v>237</v>
      </c>
      <c r="E218" s="77"/>
      <c r="F218" s="78">
        <v>201332.69999999998</v>
      </c>
      <c r="G218" s="78">
        <v>176581.59999999998</v>
      </c>
      <c r="H218" s="78">
        <v>168770</v>
      </c>
    </row>
    <row r="219" spans="1:9" s="79" customFormat="1" ht="39.75" customHeight="1" x14ac:dyDescent="0.2">
      <c r="A219" s="80" t="s">
        <v>66</v>
      </c>
      <c r="B219" s="82" t="s">
        <v>19</v>
      </c>
      <c r="C219" s="82" t="s">
        <v>12</v>
      </c>
      <c r="D219" s="82" t="s">
        <v>237</v>
      </c>
      <c r="E219" s="83" t="s">
        <v>67</v>
      </c>
      <c r="F219" s="78">
        <v>24355.5</v>
      </c>
      <c r="G219" s="78">
        <v>22781.9</v>
      </c>
      <c r="H219" s="78">
        <v>22781.9</v>
      </c>
    </row>
    <row r="220" spans="1:9" ht="25.5" x14ac:dyDescent="0.2">
      <c r="A220" s="28" t="s">
        <v>76</v>
      </c>
      <c r="B220" s="24" t="s">
        <v>19</v>
      </c>
      <c r="C220" s="24" t="s">
        <v>12</v>
      </c>
      <c r="D220" s="24" t="s">
        <v>237</v>
      </c>
      <c r="E220" s="27" t="s">
        <v>68</v>
      </c>
      <c r="F220" s="78">
        <v>11641.2</v>
      </c>
      <c r="G220" s="78">
        <v>9706.3000000000011</v>
      </c>
      <c r="H220" s="78">
        <v>8796.7000000000007</v>
      </c>
      <c r="I220" s="117"/>
    </row>
    <row r="221" spans="1:9" ht="25.5" x14ac:dyDescent="0.2">
      <c r="A221" s="28" t="s">
        <v>141</v>
      </c>
      <c r="B221" s="24" t="s">
        <v>19</v>
      </c>
      <c r="C221" s="24" t="s">
        <v>12</v>
      </c>
      <c r="D221" s="24" t="s">
        <v>237</v>
      </c>
      <c r="E221" s="24" t="s">
        <v>65</v>
      </c>
      <c r="F221" s="78">
        <v>164966.19999999998</v>
      </c>
      <c r="G221" s="78">
        <v>143502.9</v>
      </c>
      <c r="H221" s="78">
        <v>136600.9</v>
      </c>
      <c r="I221" s="117"/>
    </row>
    <row r="222" spans="1:9" s="79" customFormat="1" x14ac:dyDescent="0.2">
      <c r="A222" s="87" t="s">
        <v>72</v>
      </c>
      <c r="B222" s="82" t="s">
        <v>19</v>
      </c>
      <c r="C222" s="82" t="s">
        <v>12</v>
      </c>
      <c r="D222" s="82" t="s">
        <v>237</v>
      </c>
      <c r="E222" s="82" t="s">
        <v>73</v>
      </c>
      <c r="F222" s="78">
        <v>369.79999999999995</v>
      </c>
      <c r="G222" s="78">
        <v>590.5</v>
      </c>
      <c r="H222" s="78">
        <v>590.5</v>
      </c>
    </row>
    <row r="223" spans="1:9" s="79" customFormat="1" ht="25.5" x14ac:dyDescent="0.2">
      <c r="A223" s="18" t="s">
        <v>699</v>
      </c>
      <c r="B223" s="19" t="s">
        <v>19</v>
      </c>
      <c r="C223" s="19" t="s">
        <v>12</v>
      </c>
      <c r="D223" s="19" t="s">
        <v>717</v>
      </c>
      <c r="E223" s="19"/>
      <c r="F223" s="78">
        <v>264</v>
      </c>
      <c r="G223" s="78">
        <v>0</v>
      </c>
      <c r="H223" s="78">
        <v>0</v>
      </c>
      <c r="I223" s="78">
        <f t="shared" ref="I223" si="1">I224</f>
        <v>0</v>
      </c>
    </row>
    <row r="224" spans="1:9" s="79" customFormat="1" ht="25.5" x14ac:dyDescent="0.2">
      <c r="A224" s="28" t="s">
        <v>141</v>
      </c>
      <c r="B224" s="24" t="s">
        <v>19</v>
      </c>
      <c r="C224" s="24" t="s">
        <v>12</v>
      </c>
      <c r="D224" s="24" t="s">
        <v>717</v>
      </c>
      <c r="E224" s="24" t="s">
        <v>65</v>
      </c>
      <c r="F224" s="78">
        <v>264</v>
      </c>
      <c r="G224" s="78">
        <v>0</v>
      </c>
      <c r="H224" s="78">
        <v>0</v>
      </c>
    </row>
    <row r="225" spans="1:9" s="79" customFormat="1" x14ac:dyDescent="0.2">
      <c r="A225" s="70" t="s">
        <v>39</v>
      </c>
      <c r="B225" s="72" t="s">
        <v>19</v>
      </c>
      <c r="C225" s="72" t="s">
        <v>14</v>
      </c>
      <c r="D225" s="72"/>
      <c r="E225" s="72"/>
      <c r="F225" s="73">
        <v>675145.23750000005</v>
      </c>
      <c r="G225" s="73">
        <v>517636.20000000007</v>
      </c>
      <c r="H225" s="73">
        <v>484731.7</v>
      </c>
    </row>
    <row r="226" spans="1:9" s="79" customFormat="1" ht="25.5" x14ac:dyDescent="0.2">
      <c r="A226" s="89" t="s">
        <v>163</v>
      </c>
      <c r="B226" s="77" t="s">
        <v>19</v>
      </c>
      <c r="C226" s="77" t="s">
        <v>14</v>
      </c>
      <c r="D226" s="77" t="s">
        <v>162</v>
      </c>
      <c r="E226" s="90"/>
      <c r="F226" s="91">
        <v>12421.895</v>
      </c>
      <c r="G226" s="91">
        <v>6744.9</v>
      </c>
      <c r="H226" s="91">
        <v>6744.9</v>
      </c>
    </row>
    <row r="227" spans="1:9" s="79" customFormat="1" ht="25.5" x14ac:dyDescent="0.2">
      <c r="A227" s="28" t="s">
        <v>76</v>
      </c>
      <c r="B227" s="82" t="s">
        <v>19</v>
      </c>
      <c r="C227" s="82" t="s">
        <v>14</v>
      </c>
      <c r="D227" s="82" t="s">
        <v>162</v>
      </c>
      <c r="E227" s="82" t="s">
        <v>68</v>
      </c>
      <c r="F227" s="62">
        <v>2968.8950000000004</v>
      </c>
      <c r="G227" s="62">
        <v>2002.1</v>
      </c>
      <c r="H227" s="62">
        <v>2002.1</v>
      </c>
    </row>
    <row r="228" spans="1:9" s="79" customFormat="1" ht="25.5" x14ac:dyDescent="0.2">
      <c r="A228" s="87" t="s">
        <v>141</v>
      </c>
      <c r="B228" s="82" t="s">
        <v>19</v>
      </c>
      <c r="C228" s="82" t="s">
        <v>14</v>
      </c>
      <c r="D228" s="82" t="s">
        <v>162</v>
      </c>
      <c r="E228" s="82" t="s">
        <v>65</v>
      </c>
      <c r="F228" s="62">
        <v>9453</v>
      </c>
      <c r="G228" s="62">
        <v>4742.7999999999993</v>
      </c>
      <c r="H228" s="62">
        <v>4742.7999999999993</v>
      </c>
    </row>
    <row r="229" spans="1:9" s="9" customFormat="1" ht="25.5" x14ac:dyDescent="0.2">
      <c r="A229" s="18" t="s">
        <v>443</v>
      </c>
      <c r="B229" s="19" t="s">
        <v>19</v>
      </c>
      <c r="C229" s="19" t="s">
        <v>14</v>
      </c>
      <c r="D229" s="19" t="s">
        <v>691</v>
      </c>
      <c r="E229" s="19"/>
      <c r="F229" s="20">
        <v>1321.6100000000001</v>
      </c>
      <c r="G229" s="20">
        <v>0</v>
      </c>
      <c r="H229" s="20">
        <v>0</v>
      </c>
    </row>
    <row r="230" spans="1:9" s="9" customFormat="1" ht="25.5" x14ac:dyDescent="0.2">
      <c r="A230" s="28" t="s">
        <v>141</v>
      </c>
      <c r="B230" s="24" t="s">
        <v>19</v>
      </c>
      <c r="C230" s="24" t="s">
        <v>14</v>
      </c>
      <c r="D230" s="24" t="s">
        <v>691</v>
      </c>
      <c r="E230" s="24" t="s">
        <v>65</v>
      </c>
      <c r="F230" s="25">
        <v>1321.6100000000001</v>
      </c>
      <c r="G230" s="25">
        <v>0</v>
      </c>
      <c r="H230" s="25">
        <v>0</v>
      </c>
    </row>
    <row r="231" spans="1:9" s="9" customFormat="1" ht="25.5" x14ac:dyDescent="0.2">
      <c r="A231" s="18" t="s">
        <v>443</v>
      </c>
      <c r="B231" s="19" t="s">
        <v>19</v>
      </c>
      <c r="C231" s="19" t="s">
        <v>14</v>
      </c>
      <c r="D231" s="19" t="s">
        <v>721</v>
      </c>
      <c r="E231" s="19"/>
      <c r="F231" s="25">
        <v>1250</v>
      </c>
      <c r="G231" s="25">
        <v>0</v>
      </c>
      <c r="H231" s="25">
        <v>0</v>
      </c>
    </row>
    <row r="232" spans="1:9" s="9" customFormat="1" ht="25.5" x14ac:dyDescent="0.2">
      <c r="A232" s="28" t="s">
        <v>141</v>
      </c>
      <c r="B232" s="24" t="s">
        <v>19</v>
      </c>
      <c r="C232" s="24" t="s">
        <v>14</v>
      </c>
      <c r="D232" s="24" t="s">
        <v>721</v>
      </c>
      <c r="E232" s="24" t="s">
        <v>65</v>
      </c>
      <c r="F232" s="25">
        <v>1250</v>
      </c>
      <c r="G232" s="25">
        <v>0</v>
      </c>
      <c r="H232" s="25">
        <v>0</v>
      </c>
    </row>
    <row r="233" spans="1:9" ht="38.25" x14ac:dyDescent="0.2">
      <c r="A233" s="18" t="s">
        <v>685</v>
      </c>
      <c r="B233" s="19" t="s">
        <v>19</v>
      </c>
      <c r="C233" s="19" t="s">
        <v>14</v>
      </c>
      <c r="D233" s="19" t="s">
        <v>686</v>
      </c>
      <c r="E233" s="20"/>
      <c r="F233" s="20">
        <v>126558.6425</v>
      </c>
      <c r="G233" s="20">
        <v>0</v>
      </c>
      <c r="H233" s="20">
        <v>0</v>
      </c>
      <c r="I233" s="237"/>
    </row>
    <row r="234" spans="1:9" ht="25.5" x14ac:dyDescent="0.2">
      <c r="A234" s="28" t="s">
        <v>141</v>
      </c>
      <c r="B234" s="24" t="s">
        <v>19</v>
      </c>
      <c r="C234" s="24" t="s">
        <v>14</v>
      </c>
      <c r="D234" s="24" t="s">
        <v>686</v>
      </c>
      <c r="E234" s="25" t="s">
        <v>65</v>
      </c>
      <c r="F234" s="25">
        <v>126558.6425</v>
      </c>
      <c r="G234" s="25">
        <v>0</v>
      </c>
      <c r="H234" s="25">
        <v>0</v>
      </c>
      <c r="I234" s="237"/>
    </row>
    <row r="235" spans="1:9" s="26" customFormat="1" ht="38.25" x14ac:dyDescent="0.2">
      <c r="A235" s="18" t="s">
        <v>685</v>
      </c>
      <c r="B235" s="19" t="s">
        <v>19</v>
      </c>
      <c r="C235" s="19" t="s">
        <v>14</v>
      </c>
      <c r="D235" s="19" t="s">
        <v>692</v>
      </c>
      <c r="E235" s="19"/>
      <c r="F235" s="20">
        <v>12187.400000000001</v>
      </c>
      <c r="G235" s="20">
        <v>0</v>
      </c>
      <c r="H235" s="20">
        <v>0</v>
      </c>
    </row>
    <row r="236" spans="1:9" s="26" customFormat="1" ht="25.5" x14ac:dyDescent="0.2">
      <c r="A236" s="28" t="s">
        <v>141</v>
      </c>
      <c r="B236" s="24" t="s">
        <v>19</v>
      </c>
      <c r="C236" s="24" t="s">
        <v>14</v>
      </c>
      <c r="D236" s="24" t="s">
        <v>692</v>
      </c>
      <c r="E236" s="24" t="s">
        <v>65</v>
      </c>
      <c r="F236" s="25">
        <v>12187.400000000001</v>
      </c>
      <c r="G236" s="25">
        <v>0</v>
      </c>
      <c r="H236" s="25">
        <v>0</v>
      </c>
    </row>
    <row r="237" spans="1:9" ht="25.5" x14ac:dyDescent="0.2">
      <c r="A237" s="18" t="s">
        <v>228</v>
      </c>
      <c r="B237" s="19" t="s">
        <v>19</v>
      </c>
      <c r="C237" s="19" t="s">
        <v>14</v>
      </c>
      <c r="D237" s="19" t="s">
        <v>121</v>
      </c>
      <c r="E237" s="19"/>
      <c r="F237" s="20">
        <v>48898.299999999996</v>
      </c>
      <c r="G237" s="20">
        <v>46674.7</v>
      </c>
      <c r="H237" s="20">
        <v>46674.7</v>
      </c>
      <c r="I237" s="237"/>
    </row>
    <row r="238" spans="1:9" s="79" customFormat="1" ht="51" x14ac:dyDescent="0.2">
      <c r="A238" s="80" t="s">
        <v>66</v>
      </c>
      <c r="B238" s="82" t="s">
        <v>19</v>
      </c>
      <c r="C238" s="82" t="s">
        <v>14</v>
      </c>
      <c r="D238" s="82" t="s">
        <v>121</v>
      </c>
      <c r="E238" s="83" t="s">
        <v>67</v>
      </c>
      <c r="F238" s="62">
        <v>34833.299999999996</v>
      </c>
      <c r="G238" s="62">
        <v>34853.199999999997</v>
      </c>
      <c r="H238" s="62">
        <v>34853.199999999997</v>
      </c>
    </row>
    <row r="239" spans="1:9" s="79" customFormat="1" ht="25.5" x14ac:dyDescent="0.2">
      <c r="A239" s="87" t="s">
        <v>76</v>
      </c>
      <c r="B239" s="82" t="s">
        <v>19</v>
      </c>
      <c r="C239" s="82" t="s">
        <v>14</v>
      </c>
      <c r="D239" s="82" t="s">
        <v>121</v>
      </c>
      <c r="E239" s="83" t="s">
        <v>68</v>
      </c>
      <c r="F239" s="62">
        <v>12979.1</v>
      </c>
      <c r="G239" s="62">
        <v>11046.2</v>
      </c>
      <c r="H239" s="62">
        <v>11046.2</v>
      </c>
    </row>
    <row r="240" spans="1:9" x14ac:dyDescent="0.2">
      <c r="A240" s="28" t="s">
        <v>72</v>
      </c>
      <c r="B240" s="24" t="s">
        <v>19</v>
      </c>
      <c r="C240" s="24" t="s">
        <v>14</v>
      </c>
      <c r="D240" s="24" t="s">
        <v>121</v>
      </c>
      <c r="E240" s="24" t="s">
        <v>73</v>
      </c>
      <c r="F240" s="62">
        <v>1085.9000000000001</v>
      </c>
      <c r="G240" s="62">
        <v>775.3</v>
      </c>
      <c r="H240" s="62">
        <v>775.3</v>
      </c>
      <c r="I240" s="237"/>
    </row>
    <row r="241" spans="1:9" ht="63.75" x14ac:dyDescent="0.2">
      <c r="A241" s="18" t="s">
        <v>579</v>
      </c>
      <c r="B241" s="19" t="s">
        <v>19</v>
      </c>
      <c r="C241" s="19" t="s">
        <v>14</v>
      </c>
      <c r="D241" s="19" t="s">
        <v>119</v>
      </c>
      <c r="E241" s="19"/>
      <c r="F241" s="20">
        <v>391631.4</v>
      </c>
      <c r="G241" s="20">
        <v>400168.9</v>
      </c>
      <c r="H241" s="20">
        <v>400168.9</v>
      </c>
      <c r="I241" s="237"/>
    </row>
    <row r="242" spans="1:9" s="79" customFormat="1" ht="51" x14ac:dyDescent="0.2">
      <c r="A242" s="80" t="s">
        <v>66</v>
      </c>
      <c r="B242" s="82" t="s">
        <v>19</v>
      </c>
      <c r="C242" s="82" t="s">
        <v>14</v>
      </c>
      <c r="D242" s="82" t="s">
        <v>119</v>
      </c>
      <c r="E242" s="83" t="s">
        <v>67</v>
      </c>
      <c r="F242" s="62">
        <v>67627.399999999994</v>
      </c>
      <c r="G242" s="62">
        <v>70933.8</v>
      </c>
      <c r="H242" s="62">
        <v>70933.8</v>
      </c>
    </row>
    <row r="243" spans="1:9" s="79" customFormat="1" ht="25.5" x14ac:dyDescent="0.2">
      <c r="A243" s="87" t="s">
        <v>76</v>
      </c>
      <c r="B243" s="82" t="s">
        <v>19</v>
      </c>
      <c r="C243" s="82" t="s">
        <v>14</v>
      </c>
      <c r="D243" s="82" t="s">
        <v>119</v>
      </c>
      <c r="E243" s="83" t="s">
        <v>68</v>
      </c>
      <c r="F243" s="62">
        <v>1777.3</v>
      </c>
      <c r="G243" s="62">
        <v>1869.2</v>
      </c>
      <c r="H243" s="62">
        <v>1869.2</v>
      </c>
    </row>
    <row r="244" spans="1:9" s="79" customFormat="1" ht="25.5" x14ac:dyDescent="0.2">
      <c r="A244" s="87" t="s">
        <v>141</v>
      </c>
      <c r="B244" s="82" t="s">
        <v>19</v>
      </c>
      <c r="C244" s="82" t="s">
        <v>14</v>
      </c>
      <c r="D244" s="82" t="s">
        <v>119</v>
      </c>
      <c r="E244" s="82" t="s">
        <v>65</v>
      </c>
      <c r="F244" s="62">
        <v>322226.7</v>
      </c>
      <c r="G244" s="62">
        <v>327365.90000000002</v>
      </c>
      <c r="H244" s="62">
        <v>327365.90000000002</v>
      </c>
    </row>
    <row r="245" spans="1:9" ht="38.25" x14ac:dyDescent="0.2">
      <c r="A245" s="18" t="s">
        <v>230</v>
      </c>
      <c r="B245" s="19" t="s">
        <v>19</v>
      </c>
      <c r="C245" s="19" t="s">
        <v>14</v>
      </c>
      <c r="D245" s="19" t="s">
        <v>120</v>
      </c>
      <c r="E245" s="19"/>
      <c r="F245" s="20">
        <v>3738</v>
      </c>
      <c r="G245" s="20">
        <v>3738</v>
      </c>
      <c r="H245" s="20">
        <v>3738</v>
      </c>
      <c r="I245" s="237"/>
    </row>
    <row r="246" spans="1:9" ht="25.5" x14ac:dyDescent="0.2">
      <c r="A246" s="28" t="s">
        <v>76</v>
      </c>
      <c r="B246" s="24" t="s">
        <v>19</v>
      </c>
      <c r="C246" s="24" t="s">
        <v>14</v>
      </c>
      <c r="D246" s="24" t="s">
        <v>120</v>
      </c>
      <c r="E246" s="27" t="s">
        <v>68</v>
      </c>
      <c r="F246" s="25">
        <v>3738</v>
      </c>
      <c r="G246" s="25">
        <v>3738</v>
      </c>
      <c r="H246" s="25">
        <v>3738</v>
      </c>
      <c r="I246" s="237"/>
    </row>
    <row r="247" spans="1:9" ht="51" x14ac:dyDescent="0.2">
      <c r="A247" s="18" t="s">
        <v>344</v>
      </c>
      <c r="B247" s="19" t="s">
        <v>19</v>
      </c>
      <c r="C247" s="19" t="s">
        <v>14</v>
      </c>
      <c r="D247" s="19" t="s">
        <v>232</v>
      </c>
      <c r="E247" s="19"/>
      <c r="F247" s="20">
        <v>68271.09</v>
      </c>
      <c r="G247" s="20">
        <v>51697.999999999993</v>
      </c>
      <c r="H247" s="20">
        <v>19586.399999999994</v>
      </c>
      <c r="I247" s="117"/>
    </row>
    <row r="248" spans="1:9" ht="25.5" x14ac:dyDescent="0.2">
      <c r="A248" s="28" t="s">
        <v>141</v>
      </c>
      <c r="B248" s="24" t="s">
        <v>19</v>
      </c>
      <c r="C248" s="24" t="s">
        <v>14</v>
      </c>
      <c r="D248" s="24" t="s">
        <v>232</v>
      </c>
      <c r="E248" s="24" t="s">
        <v>65</v>
      </c>
      <c r="F248" s="25">
        <v>68271.09</v>
      </c>
      <c r="G248" s="25">
        <v>51697.999999999993</v>
      </c>
      <c r="H248" s="25">
        <v>19586.399999999994</v>
      </c>
      <c r="I248" s="117"/>
    </row>
    <row r="249" spans="1:9" s="79" customFormat="1" ht="51" x14ac:dyDescent="0.2">
      <c r="A249" s="75" t="s">
        <v>235</v>
      </c>
      <c r="B249" s="77" t="s">
        <v>19</v>
      </c>
      <c r="C249" s="77" t="s">
        <v>14</v>
      </c>
      <c r="D249" s="77" t="s">
        <v>234</v>
      </c>
      <c r="E249" s="77"/>
      <c r="F249" s="78">
        <v>6248.4000000000005</v>
      </c>
      <c r="G249" s="78">
        <v>6143.2000000000007</v>
      </c>
      <c r="H249" s="78">
        <v>5402.6</v>
      </c>
    </row>
    <row r="250" spans="1:9" s="79" customFormat="1" ht="51" x14ac:dyDescent="0.2">
      <c r="A250" s="80" t="s">
        <v>66</v>
      </c>
      <c r="B250" s="82" t="s">
        <v>19</v>
      </c>
      <c r="C250" s="82" t="s">
        <v>14</v>
      </c>
      <c r="D250" s="82" t="s">
        <v>234</v>
      </c>
      <c r="E250" s="83" t="s">
        <v>67</v>
      </c>
      <c r="F250" s="62">
        <v>3.3</v>
      </c>
      <c r="G250" s="62">
        <v>3.3</v>
      </c>
      <c r="H250" s="62">
        <v>3.3</v>
      </c>
    </row>
    <row r="251" spans="1:9" ht="25.5" x14ac:dyDescent="0.2">
      <c r="A251" s="28" t="s">
        <v>76</v>
      </c>
      <c r="B251" s="24" t="s">
        <v>19</v>
      </c>
      <c r="C251" s="24" t="s">
        <v>14</v>
      </c>
      <c r="D251" s="24" t="s">
        <v>234</v>
      </c>
      <c r="E251" s="27" t="s">
        <v>68</v>
      </c>
      <c r="F251" s="62">
        <v>5775.3</v>
      </c>
      <c r="G251" s="62">
        <v>4930.1000000000004</v>
      </c>
      <c r="H251" s="62">
        <v>4189.5</v>
      </c>
      <c r="I251" s="117"/>
    </row>
    <row r="252" spans="1:9" x14ac:dyDescent="0.2">
      <c r="A252" s="28" t="s">
        <v>72</v>
      </c>
      <c r="B252" s="24" t="s">
        <v>19</v>
      </c>
      <c r="C252" s="24" t="s">
        <v>14</v>
      </c>
      <c r="D252" s="24" t="s">
        <v>234</v>
      </c>
      <c r="E252" s="24" t="s">
        <v>73</v>
      </c>
      <c r="F252" s="62">
        <v>469.79999999999995</v>
      </c>
      <c r="G252" s="62">
        <v>1209.8</v>
      </c>
      <c r="H252" s="62">
        <v>1209.8</v>
      </c>
      <c r="I252" s="117"/>
    </row>
    <row r="253" spans="1:9" ht="51" x14ac:dyDescent="0.2">
      <c r="A253" s="18" t="s">
        <v>235</v>
      </c>
      <c r="B253" s="19" t="s">
        <v>19</v>
      </c>
      <c r="C253" s="19" t="s">
        <v>14</v>
      </c>
      <c r="D253" s="19" t="s">
        <v>238</v>
      </c>
      <c r="E253" s="19"/>
      <c r="F253" s="20">
        <v>759.8</v>
      </c>
      <c r="G253" s="20">
        <v>759.8</v>
      </c>
      <c r="H253" s="20">
        <v>707.5</v>
      </c>
      <c r="I253" s="237"/>
    </row>
    <row r="254" spans="1:9" ht="25.5" x14ac:dyDescent="0.2">
      <c r="A254" s="28" t="s">
        <v>76</v>
      </c>
      <c r="B254" s="24" t="s">
        <v>19</v>
      </c>
      <c r="C254" s="24" t="s">
        <v>14</v>
      </c>
      <c r="D254" s="24" t="s">
        <v>238</v>
      </c>
      <c r="E254" s="27" t="s">
        <v>68</v>
      </c>
      <c r="F254" s="25">
        <v>747.8</v>
      </c>
      <c r="G254" s="25">
        <v>759.8</v>
      </c>
      <c r="H254" s="25">
        <v>707.5</v>
      </c>
      <c r="I254" s="237"/>
    </row>
    <row r="255" spans="1:9" s="26" customFormat="1" ht="12" customHeight="1" x14ac:dyDescent="0.2">
      <c r="A255" s="28" t="s">
        <v>72</v>
      </c>
      <c r="B255" s="24" t="s">
        <v>19</v>
      </c>
      <c r="C255" s="24" t="s">
        <v>14</v>
      </c>
      <c r="D255" s="24" t="s">
        <v>238</v>
      </c>
      <c r="E255" s="27" t="s">
        <v>73</v>
      </c>
      <c r="F255" s="25">
        <v>12</v>
      </c>
      <c r="G255" s="25">
        <v>0</v>
      </c>
      <c r="H255" s="25">
        <v>0</v>
      </c>
    </row>
    <row r="256" spans="1:9" ht="25.5" x14ac:dyDescent="0.2">
      <c r="A256" s="18" t="s">
        <v>231</v>
      </c>
      <c r="B256" s="19" t="s">
        <v>19</v>
      </c>
      <c r="C256" s="19" t="s">
        <v>14</v>
      </c>
      <c r="D256" s="19" t="s">
        <v>137</v>
      </c>
      <c r="E256" s="19"/>
      <c r="F256" s="20">
        <v>249.7</v>
      </c>
      <c r="G256" s="20">
        <v>249.7</v>
      </c>
      <c r="H256" s="20">
        <v>249.7</v>
      </c>
      <c r="I256" s="237"/>
    </row>
    <row r="257" spans="1:9" s="26" customFormat="1" ht="25.5" x14ac:dyDescent="0.2">
      <c r="A257" s="28" t="s">
        <v>76</v>
      </c>
      <c r="B257" s="24" t="s">
        <v>19</v>
      </c>
      <c r="C257" s="24" t="s">
        <v>14</v>
      </c>
      <c r="D257" s="24" t="s">
        <v>137</v>
      </c>
      <c r="E257" s="27" t="s">
        <v>68</v>
      </c>
      <c r="F257" s="25">
        <v>57.7</v>
      </c>
      <c r="G257" s="25">
        <v>57.7</v>
      </c>
      <c r="H257" s="25">
        <v>57.7</v>
      </c>
      <c r="I257" s="25">
        <f>'изменения июль вед стр-ра'!J279</f>
        <v>0</v>
      </c>
    </row>
    <row r="258" spans="1:9" ht="25.5" x14ac:dyDescent="0.2">
      <c r="A258" s="28" t="s">
        <v>141</v>
      </c>
      <c r="B258" s="24" t="s">
        <v>19</v>
      </c>
      <c r="C258" s="24" t="s">
        <v>14</v>
      </c>
      <c r="D258" s="24" t="s">
        <v>137</v>
      </c>
      <c r="E258" s="24" t="s">
        <v>65</v>
      </c>
      <c r="F258" s="25">
        <v>192</v>
      </c>
      <c r="G258" s="25">
        <v>192</v>
      </c>
      <c r="H258" s="25">
        <v>192</v>
      </c>
      <c r="I258" s="25">
        <f>'изменения июль вед стр-ра'!J280</f>
        <v>0</v>
      </c>
    </row>
    <row r="259" spans="1:9" ht="25.5" x14ac:dyDescent="0.2">
      <c r="A259" s="18" t="s">
        <v>236</v>
      </c>
      <c r="B259" s="19" t="s">
        <v>19</v>
      </c>
      <c r="C259" s="19" t="s">
        <v>14</v>
      </c>
      <c r="D259" s="19" t="s">
        <v>138</v>
      </c>
      <c r="E259" s="19"/>
      <c r="F259" s="20">
        <v>1209</v>
      </c>
      <c r="G259" s="20">
        <v>1209</v>
      </c>
      <c r="H259" s="20">
        <v>1209</v>
      </c>
      <c r="I259" s="237"/>
    </row>
    <row r="260" spans="1:9" s="9" customFormat="1" x14ac:dyDescent="0.2">
      <c r="A260" s="28" t="s">
        <v>69</v>
      </c>
      <c r="B260" s="24" t="s">
        <v>19</v>
      </c>
      <c r="C260" s="24" t="s">
        <v>14</v>
      </c>
      <c r="D260" s="19" t="s">
        <v>138</v>
      </c>
      <c r="E260" s="24" t="s">
        <v>70</v>
      </c>
      <c r="F260" s="25">
        <v>30</v>
      </c>
      <c r="G260" s="25">
        <v>30</v>
      </c>
      <c r="H260" s="25">
        <v>30</v>
      </c>
    </row>
    <row r="261" spans="1:9" ht="25.5" x14ac:dyDescent="0.2">
      <c r="A261" s="28" t="s">
        <v>141</v>
      </c>
      <c r="B261" s="24" t="s">
        <v>19</v>
      </c>
      <c r="C261" s="24" t="s">
        <v>14</v>
      </c>
      <c r="D261" s="19" t="s">
        <v>138</v>
      </c>
      <c r="E261" s="24" t="s">
        <v>65</v>
      </c>
      <c r="F261" s="25">
        <v>1179</v>
      </c>
      <c r="G261" s="25">
        <v>1179</v>
      </c>
      <c r="H261" s="25">
        <v>1179</v>
      </c>
      <c r="I261" s="237"/>
    </row>
    <row r="262" spans="1:9" s="79" customFormat="1" x14ac:dyDescent="0.2">
      <c r="A262" s="75" t="s">
        <v>347</v>
      </c>
      <c r="B262" s="77" t="s">
        <v>19</v>
      </c>
      <c r="C262" s="77" t="s">
        <v>14</v>
      </c>
      <c r="D262" s="77" t="s">
        <v>330</v>
      </c>
      <c r="E262" s="77"/>
      <c r="F262" s="78">
        <v>400</v>
      </c>
      <c r="G262" s="78">
        <v>250</v>
      </c>
      <c r="H262" s="78">
        <v>250</v>
      </c>
    </row>
    <row r="263" spans="1:9" x14ac:dyDescent="0.2">
      <c r="A263" s="28" t="s">
        <v>69</v>
      </c>
      <c r="B263" s="24" t="s">
        <v>19</v>
      </c>
      <c r="C263" s="24" t="s">
        <v>14</v>
      </c>
      <c r="D263" s="19" t="s">
        <v>330</v>
      </c>
      <c r="E263" s="24" t="s">
        <v>70</v>
      </c>
      <c r="F263" s="25">
        <v>12</v>
      </c>
      <c r="G263" s="25">
        <v>2</v>
      </c>
      <c r="H263" s="25">
        <v>2</v>
      </c>
      <c r="I263" s="237"/>
    </row>
    <row r="264" spans="1:9" s="79" customFormat="1" ht="25.5" x14ac:dyDescent="0.2">
      <c r="A264" s="87" t="s">
        <v>141</v>
      </c>
      <c r="B264" s="82" t="s">
        <v>19</v>
      </c>
      <c r="C264" s="82" t="s">
        <v>14</v>
      </c>
      <c r="D264" s="77" t="s">
        <v>330</v>
      </c>
      <c r="E264" s="82" t="s">
        <v>65</v>
      </c>
      <c r="F264" s="25">
        <v>388</v>
      </c>
      <c r="G264" s="25">
        <v>248</v>
      </c>
      <c r="H264" s="25">
        <v>248</v>
      </c>
    </row>
    <row r="265" spans="1:9" x14ac:dyDescent="0.2">
      <c r="A265" s="11" t="s">
        <v>331</v>
      </c>
      <c r="B265" s="8" t="s">
        <v>19</v>
      </c>
      <c r="C265" s="8" t="s">
        <v>16</v>
      </c>
      <c r="D265" s="8"/>
      <c r="E265" s="8"/>
      <c r="F265" s="4">
        <v>178335</v>
      </c>
      <c r="G265" s="4">
        <v>163279.4</v>
      </c>
      <c r="H265" s="4">
        <v>161130.6</v>
      </c>
      <c r="I265" s="117"/>
    </row>
    <row r="266" spans="1:9" ht="25.5" x14ac:dyDescent="0.2">
      <c r="A266" s="17" t="s">
        <v>163</v>
      </c>
      <c r="B266" s="19" t="s">
        <v>19</v>
      </c>
      <c r="C266" s="19" t="s">
        <v>16</v>
      </c>
      <c r="D266" s="19" t="s">
        <v>162</v>
      </c>
      <c r="E266" s="5"/>
      <c r="F266" s="6">
        <v>4135</v>
      </c>
      <c r="G266" s="6">
        <v>2375.6999999999998</v>
      </c>
      <c r="H266" s="6">
        <v>2375.6999999999998</v>
      </c>
      <c r="I266" s="117"/>
    </row>
    <row r="267" spans="1:9" ht="25.5" x14ac:dyDescent="0.2">
      <c r="A267" s="28" t="s">
        <v>141</v>
      </c>
      <c r="B267" s="24" t="s">
        <v>19</v>
      </c>
      <c r="C267" s="24" t="s">
        <v>16</v>
      </c>
      <c r="D267" s="24" t="s">
        <v>162</v>
      </c>
      <c r="E267" s="24" t="s">
        <v>65</v>
      </c>
      <c r="F267" s="25">
        <v>4135</v>
      </c>
      <c r="G267" s="25">
        <v>2375.6999999999998</v>
      </c>
      <c r="H267" s="25">
        <v>2375.6999999999998</v>
      </c>
      <c r="I267" s="117"/>
    </row>
    <row r="268" spans="1:9" x14ac:dyDescent="0.2">
      <c r="A268" s="18" t="s">
        <v>172</v>
      </c>
      <c r="B268" s="19" t="s">
        <v>19</v>
      </c>
      <c r="C268" s="19" t="s">
        <v>16</v>
      </c>
      <c r="D268" s="19" t="s">
        <v>171</v>
      </c>
      <c r="E268" s="19"/>
      <c r="F268" s="20">
        <v>0</v>
      </c>
      <c r="G268" s="20">
        <v>8000</v>
      </c>
      <c r="H268" s="20">
        <v>8812.6</v>
      </c>
      <c r="I268" s="117"/>
    </row>
    <row r="269" spans="1:9" s="26" customFormat="1" ht="23.25" customHeight="1" x14ac:dyDescent="0.2">
      <c r="A269" s="28" t="s">
        <v>83</v>
      </c>
      <c r="B269" s="24" t="s">
        <v>19</v>
      </c>
      <c r="C269" s="24" t="s">
        <v>16</v>
      </c>
      <c r="D269" s="24" t="s">
        <v>171</v>
      </c>
      <c r="E269" s="24" t="s">
        <v>71</v>
      </c>
      <c r="F269" s="25">
        <v>0</v>
      </c>
      <c r="G269" s="25">
        <v>8000</v>
      </c>
      <c r="H269" s="25">
        <v>8812.6</v>
      </c>
      <c r="I269" s="118"/>
    </row>
    <row r="270" spans="1:9" ht="25.5" x14ac:dyDescent="0.2">
      <c r="A270" s="18" t="s">
        <v>231</v>
      </c>
      <c r="B270" s="19" t="s">
        <v>19</v>
      </c>
      <c r="C270" s="19" t="s">
        <v>16</v>
      </c>
      <c r="D270" s="19" t="s">
        <v>137</v>
      </c>
      <c r="E270" s="19"/>
      <c r="F270" s="20">
        <v>115.3</v>
      </c>
      <c r="G270" s="20">
        <v>115.3</v>
      </c>
      <c r="H270" s="20">
        <v>115.3</v>
      </c>
      <c r="I270" s="237"/>
    </row>
    <row r="271" spans="1:9" ht="25.5" x14ac:dyDescent="0.2">
      <c r="A271" s="28" t="s">
        <v>141</v>
      </c>
      <c r="B271" s="24" t="s">
        <v>19</v>
      </c>
      <c r="C271" s="24" t="s">
        <v>16</v>
      </c>
      <c r="D271" s="24" t="s">
        <v>137</v>
      </c>
      <c r="E271" s="24" t="s">
        <v>65</v>
      </c>
      <c r="F271" s="25">
        <v>115.3</v>
      </c>
      <c r="G271" s="25">
        <v>115.3</v>
      </c>
      <c r="H271" s="25">
        <v>115.3</v>
      </c>
      <c r="I271" s="237"/>
    </row>
    <row r="272" spans="1:9" ht="52.5" customHeight="1" x14ac:dyDescent="0.2">
      <c r="A272" s="18" t="s">
        <v>344</v>
      </c>
      <c r="B272" s="19" t="s">
        <v>19</v>
      </c>
      <c r="C272" s="19" t="s">
        <v>16</v>
      </c>
      <c r="D272" s="19" t="s">
        <v>233</v>
      </c>
      <c r="E272" s="19"/>
      <c r="F272" s="20">
        <v>168005.5</v>
      </c>
      <c r="G272" s="20">
        <v>152788.4</v>
      </c>
      <c r="H272" s="20">
        <v>149827</v>
      </c>
      <c r="I272" s="117"/>
    </row>
    <row r="273" spans="1:9" s="26" customFormat="1" x14ac:dyDescent="0.2">
      <c r="A273" s="28" t="s">
        <v>69</v>
      </c>
      <c r="B273" s="24" t="s">
        <v>19</v>
      </c>
      <c r="C273" s="24" t="s">
        <v>16</v>
      </c>
      <c r="D273" s="24" t="s">
        <v>233</v>
      </c>
      <c r="E273" s="27" t="s">
        <v>70</v>
      </c>
      <c r="F273" s="25">
        <v>30</v>
      </c>
      <c r="G273" s="25">
        <v>30</v>
      </c>
      <c r="H273" s="25">
        <v>30</v>
      </c>
    </row>
    <row r="274" spans="1:9" ht="25.5" x14ac:dyDescent="0.2">
      <c r="A274" s="28" t="s">
        <v>141</v>
      </c>
      <c r="B274" s="24" t="s">
        <v>19</v>
      </c>
      <c r="C274" s="24" t="s">
        <v>16</v>
      </c>
      <c r="D274" s="24" t="s">
        <v>233</v>
      </c>
      <c r="E274" s="24" t="s">
        <v>65</v>
      </c>
      <c r="F274" s="62">
        <v>167975.5</v>
      </c>
      <c r="G274" s="62">
        <v>152758.39999999999</v>
      </c>
      <c r="H274" s="62">
        <v>149797</v>
      </c>
      <c r="I274" s="117"/>
    </row>
    <row r="275" spans="1:9" ht="25.5" x14ac:dyDescent="0.2">
      <c r="A275" s="18" t="s">
        <v>701</v>
      </c>
      <c r="B275" s="19" t="s">
        <v>19</v>
      </c>
      <c r="C275" s="19" t="s">
        <v>16</v>
      </c>
      <c r="D275" s="19" t="s">
        <v>702</v>
      </c>
      <c r="E275" s="19"/>
      <c r="F275" s="62">
        <v>6079.2</v>
      </c>
      <c r="G275" s="62">
        <v>0</v>
      </c>
      <c r="H275" s="62">
        <v>0</v>
      </c>
      <c r="I275" s="237"/>
    </row>
    <row r="276" spans="1:9" ht="25.5" x14ac:dyDescent="0.2">
      <c r="A276" s="28" t="s">
        <v>141</v>
      </c>
      <c r="B276" s="24" t="s">
        <v>19</v>
      </c>
      <c r="C276" s="24" t="s">
        <v>16</v>
      </c>
      <c r="D276" s="24" t="s">
        <v>702</v>
      </c>
      <c r="E276" s="24" t="s">
        <v>65</v>
      </c>
      <c r="F276" s="62">
        <v>6079.2</v>
      </c>
      <c r="G276" s="62">
        <v>0</v>
      </c>
      <c r="H276" s="62">
        <v>0</v>
      </c>
      <c r="I276" s="237"/>
    </row>
    <row r="277" spans="1:9" x14ac:dyDescent="0.2">
      <c r="A277" s="11" t="s">
        <v>40</v>
      </c>
      <c r="B277" s="8" t="s">
        <v>19</v>
      </c>
      <c r="C277" s="8" t="s">
        <v>19</v>
      </c>
      <c r="D277" s="8"/>
      <c r="E277" s="8"/>
      <c r="F277" s="4">
        <v>468.29999999999995</v>
      </c>
      <c r="G277" s="4">
        <v>341.7</v>
      </c>
      <c r="H277" s="4">
        <v>341.7</v>
      </c>
      <c r="I277" s="4">
        <f t="shared" ref="I277" si="2">I280+I278+I282</f>
        <v>0</v>
      </c>
    </row>
    <row r="278" spans="1:9" x14ac:dyDescent="0.2">
      <c r="A278" s="18" t="s">
        <v>262</v>
      </c>
      <c r="B278" s="19" t="s">
        <v>19</v>
      </c>
      <c r="C278" s="19" t="s">
        <v>19</v>
      </c>
      <c r="D278" s="19" t="s">
        <v>139</v>
      </c>
      <c r="E278" s="19"/>
      <c r="F278" s="20">
        <v>219.6</v>
      </c>
      <c r="G278" s="20">
        <v>193</v>
      </c>
      <c r="H278" s="20">
        <v>193</v>
      </c>
      <c r="I278" s="237"/>
    </row>
    <row r="279" spans="1:9" ht="51" x14ac:dyDescent="0.2">
      <c r="A279" s="23" t="s">
        <v>66</v>
      </c>
      <c r="B279" s="24" t="s">
        <v>19</v>
      </c>
      <c r="C279" s="24" t="s">
        <v>19</v>
      </c>
      <c r="D279" s="24" t="s">
        <v>139</v>
      </c>
      <c r="E279" s="27" t="s">
        <v>67</v>
      </c>
      <c r="F279" s="25">
        <v>219.6</v>
      </c>
      <c r="G279" s="25">
        <v>193</v>
      </c>
      <c r="H279" s="25">
        <v>193</v>
      </c>
      <c r="I279" s="237"/>
    </row>
    <row r="280" spans="1:9" ht="25.5" x14ac:dyDescent="0.2">
      <c r="A280" s="18" t="s">
        <v>176</v>
      </c>
      <c r="B280" s="19" t="s">
        <v>19</v>
      </c>
      <c r="C280" s="19" t="s">
        <v>19</v>
      </c>
      <c r="D280" s="19" t="s">
        <v>175</v>
      </c>
      <c r="E280" s="19"/>
      <c r="F280" s="20">
        <v>216.7</v>
      </c>
      <c r="G280" s="20">
        <v>116.7</v>
      </c>
      <c r="H280" s="20">
        <v>116.7</v>
      </c>
      <c r="I280" s="237"/>
    </row>
    <row r="281" spans="1:9" ht="25.5" x14ac:dyDescent="0.2">
      <c r="A281" s="28" t="s">
        <v>76</v>
      </c>
      <c r="B281" s="24" t="s">
        <v>19</v>
      </c>
      <c r="C281" s="24" t="s">
        <v>19</v>
      </c>
      <c r="D281" s="24" t="s">
        <v>175</v>
      </c>
      <c r="E281" s="27" t="s">
        <v>68</v>
      </c>
      <c r="F281" s="25">
        <v>216.7</v>
      </c>
      <c r="G281" s="25">
        <v>116.7</v>
      </c>
      <c r="H281" s="25">
        <v>116.7</v>
      </c>
      <c r="I281" s="237"/>
    </row>
    <row r="282" spans="1:9" ht="25.5" x14ac:dyDescent="0.2">
      <c r="A282" s="18" t="s">
        <v>734</v>
      </c>
      <c r="B282" s="19" t="s">
        <v>19</v>
      </c>
      <c r="C282" s="19" t="s">
        <v>19</v>
      </c>
      <c r="D282" s="19" t="s">
        <v>733</v>
      </c>
      <c r="E282" s="19"/>
      <c r="F282" s="20">
        <v>32</v>
      </c>
      <c r="G282" s="20">
        <v>32</v>
      </c>
      <c r="H282" s="20">
        <v>32</v>
      </c>
      <c r="I282" s="237"/>
    </row>
    <row r="283" spans="1:9" ht="51" x14ac:dyDescent="0.2">
      <c r="A283" s="23" t="s">
        <v>66</v>
      </c>
      <c r="B283" s="24" t="s">
        <v>19</v>
      </c>
      <c r="C283" s="24" t="s">
        <v>19</v>
      </c>
      <c r="D283" s="24" t="s">
        <v>733</v>
      </c>
      <c r="E283" s="27" t="s">
        <v>67</v>
      </c>
      <c r="F283" s="25">
        <v>19.34</v>
      </c>
      <c r="G283" s="25">
        <v>16.899999999999999</v>
      </c>
      <c r="H283" s="25">
        <v>16.899999999999999</v>
      </c>
      <c r="I283" s="237"/>
    </row>
    <row r="284" spans="1:9" ht="25.5" x14ac:dyDescent="0.2">
      <c r="A284" s="28" t="s">
        <v>76</v>
      </c>
      <c r="B284" s="24" t="s">
        <v>19</v>
      </c>
      <c r="C284" s="24" t="s">
        <v>19</v>
      </c>
      <c r="D284" s="24" t="s">
        <v>733</v>
      </c>
      <c r="E284" s="27" t="s">
        <v>68</v>
      </c>
      <c r="F284" s="25">
        <v>12.66</v>
      </c>
      <c r="G284" s="25">
        <v>15.1</v>
      </c>
      <c r="H284" s="25">
        <v>15.1</v>
      </c>
      <c r="I284" s="237"/>
    </row>
    <row r="285" spans="1:9" s="79" customFormat="1" x14ac:dyDescent="0.2">
      <c r="A285" s="70" t="s">
        <v>41</v>
      </c>
      <c r="B285" s="72" t="s">
        <v>19</v>
      </c>
      <c r="C285" s="72" t="s">
        <v>26</v>
      </c>
      <c r="D285" s="72"/>
      <c r="E285" s="72"/>
      <c r="F285" s="73">
        <v>81624.100000000006</v>
      </c>
      <c r="G285" s="73">
        <v>74475.599999999991</v>
      </c>
      <c r="H285" s="73">
        <v>73268</v>
      </c>
      <c r="I285" s="73">
        <f t="shared" ref="I285" si="3">I294+I297+I299+I302+I305+I309+I312+I314+I291+I286</f>
        <v>0</v>
      </c>
    </row>
    <row r="286" spans="1:9" s="79" customFormat="1" ht="25.5" x14ac:dyDescent="0.2">
      <c r="A286" s="89" t="s">
        <v>163</v>
      </c>
      <c r="B286" s="77" t="s">
        <v>19</v>
      </c>
      <c r="C286" s="77" t="s">
        <v>26</v>
      </c>
      <c r="D286" s="77" t="s">
        <v>162</v>
      </c>
      <c r="E286" s="90"/>
      <c r="F286" s="91">
        <v>173.7</v>
      </c>
      <c r="G286" s="91">
        <v>173.7</v>
      </c>
      <c r="H286" s="91">
        <v>173.7</v>
      </c>
    </row>
    <row r="287" spans="1:9" s="79" customFormat="1" ht="25.5" x14ac:dyDescent="0.2">
      <c r="A287" s="28" t="s">
        <v>76</v>
      </c>
      <c r="B287" s="82" t="s">
        <v>19</v>
      </c>
      <c r="C287" s="82" t="s">
        <v>26</v>
      </c>
      <c r="D287" s="82" t="s">
        <v>162</v>
      </c>
      <c r="E287" s="82" t="s">
        <v>68</v>
      </c>
      <c r="F287" s="62">
        <v>110</v>
      </c>
      <c r="G287" s="62">
        <v>110</v>
      </c>
      <c r="H287" s="62">
        <v>110</v>
      </c>
    </row>
    <row r="288" spans="1:9" s="79" customFormat="1" ht="25.5" x14ac:dyDescent="0.2">
      <c r="A288" s="87" t="s">
        <v>141</v>
      </c>
      <c r="B288" s="82" t="s">
        <v>19</v>
      </c>
      <c r="C288" s="82" t="s">
        <v>26</v>
      </c>
      <c r="D288" s="82" t="s">
        <v>162</v>
      </c>
      <c r="E288" s="82" t="s">
        <v>65</v>
      </c>
      <c r="F288" s="62">
        <v>63.7</v>
      </c>
      <c r="G288" s="62">
        <v>63.7</v>
      </c>
      <c r="H288" s="62">
        <v>63.7</v>
      </c>
    </row>
    <row r="289" spans="1:9" ht="25.5" x14ac:dyDescent="0.2">
      <c r="A289" s="18" t="s">
        <v>231</v>
      </c>
      <c r="B289" s="19" t="s">
        <v>19</v>
      </c>
      <c r="C289" s="19" t="s">
        <v>14</v>
      </c>
      <c r="D289" s="19" t="s">
        <v>137</v>
      </c>
      <c r="E289" s="19"/>
      <c r="F289" s="20">
        <v>100</v>
      </c>
      <c r="G289" s="20">
        <v>0</v>
      </c>
      <c r="H289" s="20">
        <v>0</v>
      </c>
      <c r="I289" s="237"/>
    </row>
    <row r="290" spans="1:9" ht="25.5" x14ac:dyDescent="0.2">
      <c r="A290" s="28" t="s">
        <v>141</v>
      </c>
      <c r="B290" s="24" t="s">
        <v>19</v>
      </c>
      <c r="C290" s="24" t="s">
        <v>14</v>
      </c>
      <c r="D290" s="24" t="s">
        <v>137</v>
      </c>
      <c r="E290" s="24" t="s">
        <v>65</v>
      </c>
      <c r="F290" s="25">
        <v>100</v>
      </c>
      <c r="G290" s="25">
        <v>0</v>
      </c>
      <c r="H290" s="25">
        <v>0</v>
      </c>
      <c r="I290" s="25">
        <f>'изменения июль вед стр-ра'!J301</f>
        <v>0</v>
      </c>
    </row>
    <row r="291" spans="1:9" ht="25.5" x14ac:dyDescent="0.2">
      <c r="A291" s="18" t="s">
        <v>188</v>
      </c>
      <c r="B291" s="19" t="s">
        <v>19</v>
      </c>
      <c r="C291" s="19" t="s">
        <v>26</v>
      </c>
      <c r="D291" s="19" t="s">
        <v>136</v>
      </c>
      <c r="E291" s="19"/>
      <c r="F291" s="20">
        <v>4445</v>
      </c>
      <c r="G291" s="20">
        <v>4445</v>
      </c>
      <c r="H291" s="20">
        <v>4445</v>
      </c>
      <c r="I291" s="237"/>
    </row>
    <row r="292" spans="1:9" ht="25.5" x14ac:dyDescent="0.2">
      <c r="A292" s="28" t="s">
        <v>76</v>
      </c>
      <c r="B292" s="24" t="s">
        <v>19</v>
      </c>
      <c r="C292" s="24" t="s">
        <v>26</v>
      </c>
      <c r="D292" s="24" t="s">
        <v>136</v>
      </c>
      <c r="E292" s="24" t="s">
        <v>68</v>
      </c>
      <c r="F292" s="25">
        <v>113.8</v>
      </c>
      <c r="G292" s="25">
        <v>80</v>
      </c>
      <c r="H292" s="25">
        <v>80</v>
      </c>
      <c r="I292" s="237"/>
    </row>
    <row r="293" spans="1:9" s="79" customFormat="1" ht="25.5" x14ac:dyDescent="0.2">
      <c r="A293" s="87" t="s">
        <v>141</v>
      </c>
      <c r="B293" s="82" t="s">
        <v>19</v>
      </c>
      <c r="C293" s="82" t="s">
        <v>26</v>
      </c>
      <c r="D293" s="82" t="s">
        <v>136</v>
      </c>
      <c r="E293" s="82" t="s">
        <v>65</v>
      </c>
      <c r="F293" s="62">
        <v>4331.2</v>
      </c>
      <c r="G293" s="62">
        <v>4365</v>
      </c>
      <c r="H293" s="62">
        <v>4365</v>
      </c>
    </row>
    <row r="294" spans="1:9" ht="102" x14ac:dyDescent="0.2">
      <c r="A294" s="18" t="s">
        <v>435</v>
      </c>
      <c r="B294" s="5" t="s">
        <v>19</v>
      </c>
      <c r="C294" s="5" t="s">
        <v>26</v>
      </c>
      <c r="D294" s="5" t="s">
        <v>122</v>
      </c>
      <c r="E294" s="19"/>
      <c r="F294" s="20">
        <v>3115.1</v>
      </c>
      <c r="G294" s="20">
        <v>3115.1</v>
      </c>
      <c r="H294" s="20">
        <v>3115.1</v>
      </c>
      <c r="I294" s="237"/>
    </row>
    <row r="295" spans="1:9" ht="51" x14ac:dyDescent="0.2">
      <c r="A295" s="23" t="s">
        <v>66</v>
      </c>
      <c r="B295" s="24" t="s">
        <v>19</v>
      </c>
      <c r="C295" s="24" t="s">
        <v>26</v>
      </c>
      <c r="D295" s="24" t="s">
        <v>122</v>
      </c>
      <c r="E295" s="27" t="s">
        <v>67</v>
      </c>
      <c r="F295" s="25">
        <v>2764.5</v>
      </c>
      <c r="G295" s="25">
        <v>2764.5</v>
      </c>
      <c r="H295" s="25">
        <v>2764.5</v>
      </c>
      <c r="I295" s="237"/>
    </row>
    <row r="296" spans="1:9" ht="25.5" x14ac:dyDescent="0.2">
      <c r="A296" s="28" t="s">
        <v>76</v>
      </c>
      <c r="B296" s="24" t="s">
        <v>19</v>
      </c>
      <c r="C296" s="24" t="s">
        <v>26</v>
      </c>
      <c r="D296" s="24" t="s">
        <v>122</v>
      </c>
      <c r="E296" s="27" t="s">
        <v>68</v>
      </c>
      <c r="F296" s="25">
        <v>350.6</v>
      </c>
      <c r="G296" s="25">
        <v>350.6</v>
      </c>
      <c r="H296" s="25">
        <v>350.6</v>
      </c>
      <c r="I296" s="237"/>
    </row>
    <row r="297" spans="1:9" ht="25.5" x14ac:dyDescent="0.2">
      <c r="A297" s="18" t="s">
        <v>345</v>
      </c>
      <c r="B297" s="19" t="s">
        <v>19</v>
      </c>
      <c r="C297" s="19" t="s">
        <v>26</v>
      </c>
      <c r="D297" s="19" t="s">
        <v>240</v>
      </c>
      <c r="E297" s="19"/>
      <c r="F297" s="20">
        <v>0</v>
      </c>
      <c r="G297" s="20">
        <v>100</v>
      </c>
      <c r="H297" s="20">
        <v>100</v>
      </c>
      <c r="I297" s="237"/>
    </row>
    <row r="298" spans="1:9" s="26" customFormat="1" ht="25.5" x14ac:dyDescent="0.2">
      <c r="A298" s="28" t="s">
        <v>141</v>
      </c>
      <c r="B298" s="24" t="s">
        <v>19</v>
      </c>
      <c r="C298" s="24" t="s">
        <v>26</v>
      </c>
      <c r="D298" s="24" t="s">
        <v>240</v>
      </c>
      <c r="E298" s="24" t="s">
        <v>65</v>
      </c>
      <c r="F298" s="25">
        <v>0</v>
      </c>
      <c r="G298" s="25">
        <v>100</v>
      </c>
      <c r="H298" s="25">
        <v>100</v>
      </c>
    </row>
    <row r="299" spans="1:9" s="79" customFormat="1" ht="25.5" x14ac:dyDescent="0.2">
      <c r="A299" s="75" t="s">
        <v>345</v>
      </c>
      <c r="B299" s="77" t="s">
        <v>19</v>
      </c>
      <c r="C299" s="77" t="s">
        <v>26</v>
      </c>
      <c r="D299" s="77" t="s">
        <v>189</v>
      </c>
      <c r="E299" s="77"/>
      <c r="F299" s="78">
        <v>403.7</v>
      </c>
      <c r="G299" s="78">
        <v>403.7</v>
      </c>
      <c r="H299" s="78">
        <v>403.7</v>
      </c>
    </row>
    <row r="300" spans="1:9" ht="25.5" x14ac:dyDescent="0.2">
      <c r="A300" s="28" t="s">
        <v>76</v>
      </c>
      <c r="B300" s="24" t="s">
        <v>19</v>
      </c>
      <c r="C300" s="24" t="s">
        <v>26</v>
      </c>
      <c r="D300" s="24" t="s">
        <v>189</v>
      </c>
      <c r="E300" s="24" t="s">
        <v>68</v>
      </c>
      <c r="F300" s="25">
        <v>4</v>
      </c>
      <c r="G300" s="25">
        <v>4</v>
      </c>
      <c r="H300" s="25">
        <v>4</v>
      </c>
      <c r="I300" s="237"/>
    </row>
    <row r="301" spans="1:9" s="79" customFormat="1" ht="25.5" x14ac:dyDescent="0.2">
      <c r="A301" s="87" t="s">
        <v>141</v>
      </c>
      <c r="B301" s="82" t="s">
        <v>19</v>
      </c>
      <c r="C301" s="82" t="s">
        <v>26</v>
      </c>
      <c r="D301" s="82" t="s">
        <v>189</v>
      </c>
      <c r="E301" s="82" t="s">
        <v>65</v>
      </c>
      <c r="F301" s="62">
        <v>399.7</v>
      </c>
      <c r="G301" s="62">
        <v>399.7</v>
      </c>
      <c r="H301" s="62">
        <v>399.7</v>
      </c>
    </row>
    <row r="302" spans="1:9" ht="38.25" x14ac:dyDescent="0.2">
      <c r="A302" s="18" t="s">
        <v>346</v>
      </c>
      <c r="B302" s="19" t="s">
        <v>19</v>
      </c>
      <c r="C302" s="19" t="s">
        <v>26</v>
      </c>
      <c r="D302" s="19" t="s">
        <v>241</v>
      </c>
      <c r="E302" s="19"/>
      <c r="F302" s="20">
        <v>784.19999999999993</v>
      </c>
      <c r="G302" s="20">
        <v>714.19999999999993</v>
      </c>
      <c r="H302" s="20">
        <v>714.19999999999993</v>
      </c>
      <c r="I302" s="237"/>
    </row>
    <row r="303" spans="1:9" ht="51" x14ac:dyDescent="0.2">
      <c r="A303" s="30" t="s">
        <v>66</v>
      </c>
      <c r="B303" s="24" t="s">
        <v>19</v>
      </c>
      <c r="C303" s="24" t="s">
        <v>26</v>
      </c>
      <c r="D303" s="24" t="s">
        <v>241</v>
      </c>
      <c r="E303" s="27" t="s">
        <v>67</v>
      </c>
      <c r="F303" s="25">
        <v>64.8</v>
      </c>
      <c r="G303" s="25">
        <v>54.4</v>
      </c>
      <c r="H303" s="25">
        <v>54.4</v>
      </c>
      <c r="I303" s="237"/>
    </row>
    <row r="304" spans="1:9" ht="25.5" x14ac:dyDescent="0.2">
      <c r="A304" s="28" t="s">
        <v>141</v>
      </c>
      <c r="B304" s="24" t="s">
        <v>19</v>
      </c>
      <c r="C304" s="24" t="s">
        <v>26</v>
      </c>
      <c r="D304" s="24" t="s">
        <v>241</v>
      </c>
      <c r="E304" s="24" t="s">
        <v>65</v>
      </c>
      <c r="F304" s="25">
        <v>719.4</v>
      </c>
      <c r="G304" s="25">
        <v>659.8</v>
      </c>
      <c r="H304" s="25">
        <v>659.8</v>
      </c>
      <c r="I304" s="237"/>
    </row>
    <row r="305" spans="1:9" s="79" customFormat="1" ht="25.5" x14ac:dyDescent="0.2">
      <c r="A305" s="75" t="s">
        <v>243</v>
      </c>
      <c r="B305" s="77" t="s">
        <v>19</v>
      </c>
      <c r="C305" s="77" t="s">
        <v>26</v>
      </c>
      <c r="D305" s="77" t="s">
        <v>242</v>
      </c>
      <c r="E305" s="77"/>
      <c r="F305" s="78">
        <v>643.4</v>
      </c>
      <c r="G305" s="78">
        <v>643.4</v>
      </c>
      <c r="H305" s="78">
        <v>643.4</v>
      </c>
    </row>
    <row r="306" spans="1:9" s="26" customFormat="1" ht="51" x14ac:dyDescent="0.2">
      <c r="A306" s="30" t="s">
        <v>66</v>
      </c>
      <c r="B306" s="24" t="s">
        <v>19</v>
      </c>
      <c r="C306" s="24" t="s">
        <v>26</v>
      </c>
      <c r="D306" s="24" t="s">
        <v>242</v>
      </c>
      <c r="E306" s="24" t="s">
        <v>67</v>
      </c>
      <c r="F306" s="25">
        <v>22.6</v>
      </c>
      <c r="G306" s="25">
        <v>22.6</v>
      </c>
      <c r="H306" s="25">
        <v>22.6</v>
      </c>
      <c r="I306" s="118"/>
    </row>
    <row r="307" spans="1:9" s="84" customFormat="1" ht="25.5" x14ac:dyDescent="0.2">
      <c r="A307" s="87" t="s">
        <v>76</v>
      </c>
      <c r="B307" s="82" t="s">
        <v>19</v>
      </c>
      <c r="C307" s="82" t="s">
        <v>26</v>
      </c>
      <c r="D307" s="82" t="s">
        <v>242</v>
      </c>
      <c r="E307" s="82" t="s">
        <v>68</v>
      </c>
      <c r="F307" s="25">
        <v>105</v>
      </c>
      <c r="G307" s="25">
        <v>105</v>
      </c>
      <c r="H307" s="25">
        <v>105</v>
      </c>
    </row>
    <row r="308" spans="1:9" ht="25.5" x14ac:dyDescent="0.2">
      <c r="A308" s="28" t="s">
        <v>141</v>
      </c>
      <c r="B308" s="24" t="s">
        <v>19</v>
      </c>
      <c r="C308" s="24" t="s">
        <v>26</v>
      </c>
      <c r="D308" s="24" t="s">
        <v>242</v>
      </c>
      <c r="E308" s="24" t="s">
        <v>65</v>
      </c>
      <c r="F308" s="25">
        <v>515.79999999999995</v>
      </c>
      <c r="G308" s="25">
        <v>515.79999999999995</v>
      </c>
      <c r="H308" s="25">
        <v>515.79999999999995</v>
      </c>
      <c r="I308" s="117"/>
    </row>
    <row r="309" spans="1:9" s="79" customFormat="1" ht="25.5" x14ac:dyDescent="0.2">
      <c r="A309" s="75" t="s">
        <v>348</v>
      </c>
      <c r="B309" s="77" t="s">
        <v>19</v>
      </c>
      <c r="C309" s="77" t="s">
        <v>26</v>
      </c>
      <c r="D309" s="77" t="s">
        <v>244</v>
      </c>
      <c r="E309" s="77"/>
      <c r="F309" s="78">
        <v>4894.2</v>
      </c>
      <c r="G309" s="78">
        <v>3681.4</v>
      </c>
      <c r="H309" s="78">
        <v>3681.4</v>
      </c>
    </row>
    <row r="310" spans="1:9" ht="51" x14ac:dyDescent="0.2">
      <c r="A310" s="30" t="s">
        <v>66</v>
      </c>
      <c r="B310" s="24" t="s">
        <v>19</v>
      </c>
      <c r="C310" s="24" t="s">
        <v>26</v>
      </c>
      <c r="D310" s="24" t="s">
        <v>244</v>
      </c>
      <c r="E310" s="27" t="s">
        <v>67</v>
      </c>
      <c r="F310" s="25">
        <v>4864.2</v>
      </c>
      <c r="G310" s="25">
        <v>3641.4</v>
      </c>
      <c r="H310" s="25">
        <v>3641.4</v>
      </c>
      <c r="I310" s="237"/>
    </row>
    <row r="311" spans="1:9" s="79" customFormat="1" ht="25.5" x14ac:dyDescent="0.2">
      <c r="A311" s="87" t="s">
        <v>76</v>
      </c>
      <c r="B311" s="82" t="s">
        <v>19</v>
      </c>
      <c r="C311" s="82" t="s">
        <v>26</v>
      </c>
      <c r="D311" s="82" t="s">
        <v>244</v>
      </c>
      <c r="E311" s="83" t="s">
        <v>68</v>
      </c>
      <c r="F311" s="25">
        <v>30</v>
      </c>
      <c r="G311" s="25">
        <v>40</v>
      </c>
      <c r="H311" s="25">
        <v>40</v>
      </c>
    </row>
    <row r="312" spans="1:9" s="79" customFormat="1" ht="25.5" x14ac:dyDescent="0.2">
      <c r="A312" s="75" t="s">
        <v>348</v>
      </c>
      <c r="B312" s="77" t="s">
        <v>19</v>
      </c>
      <c r="C312" s="77" t="s">
        <v>26</v>
      </c>
      <c r="D312" s="77" t="s">
        <v>245</v>
      </c>
      <c r="E312" s="77"/>
      <c r="F312" s="78">
        <v>22445.200000000001</v>
      </c>
      <c r="G312" s="78">
        <v>20310.8</v>
      </c>
      <c r="H312" s="78">
        <v>19969.7</v>
      </c>
    </row>
    <row r="313" spans="1:9" ht="25.5" x14ac:dyDescent="0.2">
      <c r="A313" s="28" t="s">
        <v>141</v>
      </c>
      <c r="B313" s="24" t="s">
        <v>19</v>
      </c>
      <c r="C313" s="24" t="s">
        <v>26</v>
      </c>
      <c r="D313" s="24" t="s">
        <v>245</v>
      </c>
      <c r="E313" s="24" t="s">
        <v>65</v>
      </c>
      <c r="F313" s="25">
        <v>22445.200000000001</v>
      </c>
      <c r="G313" s="25">
        <v>20310.8</v>
      </c>
      <c r="H313" s="25">
        <v>19969.7</v>
      </c>
      <c r="I313" s="117"/>
    </row>
    <row r="314" spans="1:9" s="79" customFormat="1" ht="25.5" x14ac:dyDescent="0.2">
      <c r="A314" s="75" t="s">
        <v>348</v>
      </c>
      <c r="B314" s="77" t="s">
        <v>19</v>
      </c>
      <c r="C314" s="77" t="s">
        <v>26</v>
      </c>
      <c r="D314" s="77" t="s">
        <v>246</v>
      </c>
      <c r="E314" s="77"/>
      <c r="F314" s="78">
        <v>44619.600000000006</v>
      </c>
      <c r="G314" s="78">
        <v>40888.300000000003</v>
      </c>
      <c r="H314" s="78">
        <v>40021.800000000003</v>
      </c>
    </row>
    <row r="315" spans="1:9" ht="51" x14ac:dyDescent="0.2">
      <c r="A315" s="30" t="s">
        <v>66</v>
      </c>
      <c r="B315" s="24" t="s">
        <v>19</v>
      </c>
      <c r="C315" s="24" t="s">
        <v>26</v>
      </c>
      <c r="D315" s="24" t="s">
        <v>246</v>
      </c>
      <c r="E315" s="27" t="s">
        <v>67</v>
      </c>
      <c r="F315" s="25">
        <v>22446</v>
      </c>
      <c r="G315" s="25">
        <v>20676.400000000001</v>
      </c>
      <c r="H315" s="25">
        <v>20676.400000000001</v>
      </c>
      <c r="I315" s="237"/>
    </row>
    <row r="316" spans="1:9" s="79" customFormat="1" ht="25.5" x14ac:dyDescent="0.2">
      <c r="A316" s="87" t="s">
        <v>76</v>
      </c>
      <c r="B316" s="82" t="s">
        <v>19</v>
      </c>
      <c r="C316" s="82" t="s">
        <v>26</v>
      </c>
      <c r="D316" s="82" t="s">
        <v>246</v>
      </c>
      <c r="E316" s="83" t="s">
        <v>68</v>
      </c>
      <c r="F316" s="25">
        <v>3618</v>
      </c>
      <c r="G316" s="25">
        <v>2835.6</v>
      </c>
      <c r="H316" s="25">
        <v>2240.8000000000002</v>
      </c>
    </row>
    <row r="317" spans="1:9" s="79" customFormat="1" ht="25.5" x14ac:dyDescent="0.2">
      <c r="A317" s="87" t="s">
        <v>141</v>
      </c>
      <c r="B317" s="82" t="s">
        <v>19</v>
      </c>
      <c r="C317" s="82" t="s">
        <v>26</v>
      </c>
      <c r="D317" s="82" t="s">
        <v>246</v>
      </c>
      <c r="E317" s="82" t="s">
        <v>65</v>
      </c>
      <c r="F317" s="25">
        <v>18484.100000000002</v>
      </c>
      <c r="G317" s="25">
        <v>17304.800000000003</v>
      </c>
      <c r="H317" s="25">
        <v>17033.099999999999</v>
      </c>
    </row>
    <row r="318" spans="1:9" s="79" customFormat="1" x14ac:dyDescent="0.2">
      <c r="A318" s="87" t="s">
        <v>72</v>
      </c>
      <c r="B318" s="82" t="s">
        <v>19</v>
      </c>
      <c r="C318" s="82" t="s">
        <v>26</v>
      </c>
      <c r="D318" s="82" t="s">
        <v>246</v>
      </c>
      <c r="E318" s="82" t="s">
        <v>73</v>
      </c>
      <c r="F318" s="25">
        <v>71.5</v>
      </c>
      <c r="G318" s="25">
        <v>71.5</v>
      </c>
      <c r="H318" s="25">
        <v>71.5</v>
      </c>
    </row>
    <row r="319" spans="1:9" ht="15.75" x14ac:dyDescent="0.25">
      <c r="A319" s="144" t="s">
        <v>664</v>
      </c>
      <c r="B319" s="143" t="s">
        <v>43</v>
      </c>
      <c r="C319" s="143" t="s">
        <v>463</v>
      </c>
      <c r="D319" s="143"/>
      <c r="E319" s="143"/>
      <c r="F319" s="206">
        <v>130609.5</v>
      </c>
      <c r="G319" s="206">
        <v>89213.7</v>
      </c>
      <c r="H319" s="206">
        <v>86997.3</v>
      </c>
      <c r="I319" s="237"/>
    </row>
    <row r="320" spans="1:9" s="74" customFormat="1" x14ac:dyDescent="0.2">
      <c r="A320" s="70" t="s">
        <v>44</v>
      </c>
      <c r="B320" s="72" t="s">
        <v>43</v>
      </c>
      <c r="C320" s="72" t="s">
        <v>12</v>
      </c>
      <c r="D320" s="72"/>
      <c r="E320" s="72"/>
      <c r="F320" s="73">
        <v>107091.2</v>
      </c>
      <c r="G320" s="73">
        <v>69362.3</v>
      </c>
      <c r="H320" s="73">
        <v>67145.900000000009</v>
      </c>
      <c r="I320" s="73" t="e">
        <f>I331+I334+I336+I323+I327+#REF!+I321</f>
        <v>#REF!</v>
      </c>
    </row>
    <row r="321" spans="1:9" s="12" customFormat="1" ht="25.5" x14ac:dyDescent="0.2">
      <c r="A321" s="17" t="s">
        <v>163</v>
      </c>
      <c r="B321" s="19" t="s">
        <v>43</v>
      </c>
      <c r="C321" s="19" t="s">
        <v>12</v>
      </c>
      <c r="D321" s="19" t="s">
        <v>162</v>
      </c>
      <c r="E321" s="5"/>
      <c r="F321" s="6">
        <v>2258.3000000000002</v>
      </c>
      <c r="G321" s="6">
        <v>2295.8000000000002</v>
      </c>
      <c r="H321" s="6">
        <v>2295.8000000000002</v>
      </c>
    </row>
    <row r="322" spans="1:9" s="26" customFormat="1" ht="25.5" x14ac:dyDescent="0.2">
      <c r="A322" s="28" t="s">
        <v>141</v>
      </c>
      <c r="B322" s="24" t="s">
        <v>43</v>
      </c>
      <c r="C322" s="24" t="s">
        <v>12</v>
      </c>
      <c r="D322" s="24" t="s">
        <v>162</v>
      </c>
      <c r="E322" s="24" t="s">
        <v>65</v>
      </c>
      <c r="F322" s="25">
        <v>2258.3000000000002</v>
      </c>
      <c r="G322" s="25">
        <v>2295.8000000000002</v>
      </c>
      <c r="H322" s="25">
        <v>2295.8000000000002</v>
      </c>
    </row>
    <row r="323" spans="1:9" s="79" customFormat="1" x14ac:dyDescent="0.2">
      <c r="A323" s="75" t="s">
        <v>174</v>
      </c>
      <c r="B323" s="77" t="s">
        <v>43</v>
      </c>
      <c r="C323" s="77" t="s">
        <v>12</v>
      </c>
      <c r="D323" s="82" t="s">
        <v>173</v>
      </c>
      <c r="E323" s="77"/>
      <c r="F323" s="78">
        <v>7111.2999999999993</v>
      </c>
      <c r="G323" s="78">
        <v>0</v>
      </c>
      <c r="H323" s="78">
        <v>0</v>
      </c>
    </row>
    <row r="324" spans="1:9" s="84" customFormat="1" ht="25.5" x14ac:dyDescent="0.2">
      <c r="A324" s="87" t="s">
        <v>76</v>
      </c>
      <c r="B324" s="82" t="s">
        <v>43</v>
      </c>
      <c r="C324" s="82" t="s">
        <v>12</v>
      </c>
      <c r="D324" s="82" t="s">
        <v>173</v>
      </c>
      <c r="E324" s="82" t="s">
        <v>68</v>
      </c>
      <c r="F324" s="62">
        <v>7111.2999999999993</v>
      </c>
      <c r="G324" s="62">
        <v>0</v>
      </c>
      <c r="H324" s="62">
        <v>0</v>
      </c>
      <c r="I324" s="62">
        <f>'изменения июль вед стр-ра'!J387</f>
        <v>0</v>
      </c>
    </row>
    <row r="325" spans="1:9" x14ac:dyDescent="0.2">
      <c r="A325" s="18" t="s">
        <v>723</v>
      </c>
      <c r="B325" s="19" t="s">
        <v>43</v>
      </c>
      <c r="C325" s="19" t="s">
        <v>12</v>
      </c>
      <c r="D325" s="19" t="s">
        <v>724</v>
      </c>
      <c r="E325" s="19"/>
      <c r="F325" s="20">
        <v>5600</v>
      </c>
      <c r="G325" s="20">
        <v>0</v>
      </c>
      <c r="H325" s="20">
        <v>0</v>
      </c>
      <c r="I325" s="237"/>
    </row>
    <row r="326" spans="1:9" ht="25.5" x14ac:dyDescent="0.2">
      <c r="A326" s="28" t="s">
        <v>141</v>
      </c>
      <c r="B326" s="24" t="s">
        <v>43</v>
      </c>
      <c r="C326" s="24" t="s">
        <v>12</v>
      </c>
      <c r="D326" s="24" t="s">
        <v>724</v>
      </c>
      <c r="E326" s="24" t="s">
        <v>65</v>
      </c>
      <c r="F326" s="25">
        <v>5600</v>
      </c>
      <c r="G326" s="25">
        <v>0</v>
      </c>
      <c r="H326" s="25">
        <v>0</v>
      </c>
      <c r="I326" s="237"/>
    </row>
    <row r="327" spans="1:9" ht="38.25" x14ac:dyDescent="0.2">
      <c r="A327" s="18" t="s">
        <v>370</v>
      </c>
      <c r="B327" s="19" t="s">
        <v>43</v>
      </c>
      <c r="C327" s="19" t="s">
        <v>12</v>
      </c>
      <c r="D327" s="19" t="s">
        <v>371</v>
      </c>
      <c r="E327" s="19"/>
      <c r="F327" s="20">
        <v>4464</v>
      </c>
      <c r="G327" s="20">
        <v>4564</v>
      </c>
      <c r="H327" s="20">
        <v>4564</v>
      </c>
      <c r="I327" s="237"/>
    </row>
    <row r="328" spans="1:9" ht="25.5" x14ac:dyDescent="0.2">
      <c r="A328" s="28" t="s">
        <v>141</v>
      </c>
      <c r="B328" s="24" t="s">
        <v>43</v>
      </c>
      <c r="C328" s="24" t="s">
        <v>12</v>
      </c>
      <c r="D328" s="24" t="s">
        <v>371</v>
      </c>
      <c r="E328" s="24" t="s">
        <v>65</v>
      </c>
      <c r="F328" s="25">
        <v>4464</v>
      </c>
      <c r="G328" s="25">
        <v>4564</v>
      </c>
      <c r="H328" s="25">
        <v>4564</v>
      </c>
      <c r="I328" s="237"/>
    </row>
    <row r="329" spans="1:9" ht="25.5" x14ac:dyDescent="0.2">
      <c r="A329" s="28" t="s">
        <v>380</v>
      </c>
      <c r="B329" s="24" t="s">
        <v>43</v>
      </c>
      <c r="C329" s="24" t="s">
        <v>12</v>
      </c>
      <c r="D329" s="24" t="s">
        <v>379</v>
      </c>
      <c r="E329" s="25"/>
      <c r="F329" s="25">
        <v>140</v>
      </c>
      <c r="G329" s="25">
        <v>0</v>
      </c>
      <c r="H329" s="25">
        <v>0</v>
      </c>
      <c r="I329" s="25">
        <f t="shared" ref="I329" si="4">I330</f>
        <v>0</v>
      </c>
    </row>
    <row r="330" spans="1:9" ht="25.5" x14ac:dyDescent="0.2">
      <c r="A330" s="28" t="s">
        <v>141</v>
      </c>
      <c r="B330" s="24" t="s">
        <v>43</v>
      </c>
      <c r="C330" s="24" t="s">
        <v>12</v>
      </c>
      <c r="D330" s="24" t="s">
        <v>379</v>
      </c>
      <c r="E330" s="25" t="s">
        <v>65</v>
      </c>
      <c r="F330" s="25">
        <v>140</v>
      </c>
      <c r="G330" s="25">
        <v>0</v>
      </c>
      <c r="H330" s="25">
        <v>0</v>
      </c>
      <c r="I330" s="237"/>
    </row>
    <row r="331" spans="1:9" x14ac:dyDescent="0.2">
      <c r="A331" s="18" t="s">
        <v>256</v>
      </c>
      <c r="B331" s="19" t="s">
        <v>43</v>
      </c>
      <c r="C331" s="19" t="s">
        <v>12</v>
      </c>
      <c r="D331" s="19" t="s">
        <v>255</v>
      </c>
      <c r="E331" s="19"/>
      <c r="F331" s="20">
        <v>62258.399999999994</v>
      </c>
      <c r="G331" s="20">
        <v>41649.699999999997</v>
      </c>
      <c r="H331" s="20">
        <v>39724.700000000004</v>
      </c>
      <c r="I331" s="117"/>
    </row>
    <row r="332" spans="1:9" s="26" customFormat="1" x14ac:dyDescent="0.2">
      <c r="A332" s="28" t="s">
        <v>69</v>
      </c>
      <c r="B332" s="24" t="s">
        <v>43</v>
      </c>
      <c r="C332" s="24" t="s">
        <v>12</v>
      </c>
      <c r="D332" s="24" t="s">
        <v>255</v>
      </c>
      <c r="E332" s="27" t="s">
        <v>70</v>
      </c>
      <c r="F332" s="25">
        <v>15</v>
      </c>
      <c r="G332" s="25">
        <v>15</v>
      </c>
      <c r="H332" s="25">
        <v>15</v>
      </c>
    </row>
    <row r="333" spans="1:9" s="26" customFormat="1" ht="25.5" x14ac:dyDescent="0.2">
      <c r="A333" s="28" t="s">
        <v>141</v>
      </c>
      <c r="B333" s="24" t="s">
        <v>43</v>
      </c>
      <c r="C333" s="24" t="s">
        <v>12</v>
      </c>
      <c r="D333" s="24" t="s">
        <v>255</v>
      </c>
      <c r="E333" s="24" t="s">
        <v>65</v>
      </c>
      <c r="F333" s="25">
        <v>62243.399999999994</v>
      </c>
      <c r="G333" s="25">
        <v>41634.699999999997</v>
      </c>
      <c r="H333" s="25">
        <v>39709.700000000004</v>
      </c>
      <c r="I333" s="118"/>
    </row>
    <row r="334" spans="1:9" x14ac:dyDescent="0.2">
      <c r="A334" s="18" t="s">
        <v>258</v>
      </c>
      <c r="B334" s="19" t="s">
        <v>43</v>
      </c>
      <c r="C334" s="19" t="s">
        <v>12</v>
      </c>
      <c r="D334" s="19" t="s">
        <v>257</v>
      </c>
      <c r="E334" s="19"/>
      <c r="F334" s="20">
        <v>4567.9000000000005</v>
      </c>
      <c r="G334" s="20">
        <v>3721.4</v>
      </c>
      <c r="H334" s="20">
        <v>3673.4</v>
      </c>
      <c r="I334" s="117"/>
    </row>
    <row r="335" spans="1:9" s="26" customFormat="1" ht="25.5" x14ac:dyDescent="0.2">
      <c r="A335" s="28" t="s">
        <v>141</v>
      </c>
      <c r="B335" s="24" t="s">
        <v>43</v>
      </c>
      <c r="C335" s="24" t="s">
        <v>12</v>
      </c>
      <c r="D335" s="24" t="s">
        <v>257</v>
      </c>
      <c r="E335" s="24" t="s">
        <v>65</v>
      </c>
      <c r="F335" s="25">
        <v>4567.9000000000005</v>
      </c>
      <c r="G335" s="25">
        <v>3721.4</v>
      </c>
      <c r="H335" s="25">
        <v>3673.4</v>
      </c>
      <c r="I335" s="118"/>
    </row>
    <row r="336" spans="1:9" x14ac:dyDescent="0.2">
      <c r="A336" s="18" t="s">
        <v>260</v>
      </c>
      <c r="B336" s="19" t="s">
        <v>43</v>
      </c>
      <c r="C336" s="19" t="s">
        <v>12</v>
      </c>
      <c r="D336" s="19" t="s">
        <v>259</v>
      </c>
      <c r="E336" s="19"/>
      <c r="F336" s="20">
        <v>20691.3</v>
      </c>
      <c r="G336" s="20">
        <v>17131.400000000001</v>
      </c>
      <c r="H336" s="20">
        <v>16888</v>
      </c>
      <c r="I336" s="117"/>
    </row>
    <row r="337" spans="1:9" s="26" customFormat="1" x14ac:dyDescent="0.2">
      <c r="A337" s="28" t="s">
        <v>69</v>
      </c>
      <c r="B337" s="24" t="s">
        <v>43</v>
      </c>
      <c r="C337" s="24" t="s">
        <v>12</v>
      </c>
      <c r="D337" s="24" t="s">
        <v>259</v>
      </c>
      <c r="E337" s="27" t="s">
        <v>70</v>
      </c>
      <c r="F337" s="25">
        <v>15</v>
      </c>
      <c r="G337" s="25">
        <v>15</v>
      </c>
      <c r="H337" s="25">
        <v>15</v>
      </c>
    </row>
    <row r="338" spans="1:9" s="26" customFormat="1" ht="25.5" x14ac:dyDescent="0.2">
      <c r="A338" s="28" t="s">
        <v>141</v>
      </c>
      <c r="B338" s="24" t="s">
        <v>43</v>
      </c>
      <c r="C338" s="24" t="s">
        <v>12</v>
      </c>
      <c r="D338" s="24" t="s">
        <v>259</v>
      </c>
      <c r="E338" s="24" t="s">
        <v>65</v>
      </c>
      <c r="F338" s="25">
        <v>20676.3</v>
      </c>
      <c r="G338" s="25">
        <v>17116.400000000001</v>
      </c>
      <c r="H338" s="25">
        <v>16873</v>
      </c>
      <c r="I338" s="118"/>
    </row>
    <row r="339" spans="1:9" s="74" customFormat="1" ht="16.5" customHeight="1" x14ac:dyDescent="0.2">
      <c r="A339" s="70" t="s">
        <v>25</v>
      </c>
      <c r="B339" s="72" t="s">
        <v>43</v>
      </c>
      <c r="C339" s="72" t="s">
        <v>18</v>
      </c>
      <c r="D339" s="72"/>
      <c r="E339" s="72"/>
      <c r="F339" s="73">
        <v>23518.3</v>
      </c>
      <c r="G339" s="73">
        <v>19851.399999999998</v>
      </c>
      <c r="H339" s="73">
        <v>19851.399999999998</v>
      </c>
    </row>
    <row r="340" spans="1:9" s="79" customFormat="1" x14ac:dyDescent="0.2">
      <c r="A340" s="75" t="s">
        <v>349</v>
      </c>
      <c r="B340" s="77" t="s">
        <v>43</v>
      </c>
      <c r="C340" s="77" t="s">
        <v>18</v>
      </c>
      <c r="D340" s="77" t="s">
        <v>261</v>
      </c>
      <c r="E340" s="77"/>
      <c r="F340" s="78">
        <v>1398.5</v>
      </c>
      <c r="G340" s="78">
        <v>1057.5</v>
      </c>
      <c r="H340" s="78">
        <v>1057.5</v>
      </c>
    </row>
    <row r="341" spans="1:9" s="84" customFormat="1" ht="51.75" customHeight="1" x14ac:dyDescent="0.2">
      <c r="A341" s="85" t="s">
        <v>66</v>
      </c>
      <c r="B341" s="82" t="s">
        <v>43</v>
      </c>
      <c r="C341" s="82" t="s">
        <v>18</v>
      </c>
      <c r="D341" s="82" t="s">
        <v>261</v>
      </c>
      <c r="E341" s="83" t="s">
        <v>67</v>
      </c>
      <c r="F341" s="62">
        <v>1303.8</v>
      </c>
      <c r="G341" s="62">
        <v>968.5</v>
      </c>
      <c r="H341" s="62">
        <v>968.5</v>
      </c>
    </row>
    <row r="342" spans="1:9" s="84" customFormat="1" ht="25.5" x14ac:dyDescent="0.2">
      <c r="A342" s="87" t="s">
        <v>76</v>
      </c>
      <c r="B342" s="82" t="s">
        <v>43</v>
      </c>
      <c r="C342" s="82" t="s">
        <v>18</v>
      </c>
      <c r="D342" s="82" t="s">
        <v>261</v>
      </c>
      <c r="E342" s="83" t="s">
        <v>68</v>
      </c>
      <c r="F342" s="62">
        <v>83.3</v>
      </c>
      <c r="G342" s="62">
        <v>80.5</v>
      </c>
      <c r="H342" s="62">
        <v>80.5</v>
      </c>
    </row>
    <row r="343" spans="1:9" s="26" customFormat="1" x14ac:dyDescent="0.2">
      <c r="A343" s="28" t="s">
        <v>72</v>
      </c>
      <c r="B343" s="24" t="s">
        <v>43</v>
      </c>
      <c r="C343" s="24" t="s">
        <v>18</v>
      </c>
      <c r="D343" s="24" t="s">
        <v>261</v>
      </c>
      <c r="E343" s="24" t="s">
        <v>73</v>
      </c>
      <c r="F343" s="62">
        <v>11.4</v>
      </c>
      <c r="G343" s="62">
        <v>8.5</v>
      </c>
      <c r="H343" s="62">
        <v>8.5</v>
      </c>
    </row>
    <row r="344" spans="1:9" s="79" customFormat="1" x14ac:dyDescent="0.2">
      <c r="A344" s="75" t="s">
        <v>349</v>
      </c>
      <c r="B344" s="77" t="s">
        <v>43</v>
      </c>
      <c r="C344" s="77" t="s">
        <v>18</v>
      </c>
      <c r="D344" s="77" t="s">
        <v>426</v>
      </c>
      <c r="E344" s="77"/>
      <c r="F344" s="78">
        <v>22119.8</v>
      </c>
      <c r="G344" s="78">
        <v>18793.899999999998</v>
      </c>
      <c r="H344" s="78">
        <v>18793.899999999998</v>
      </c>
    </row>
    <row r="345" spans="1:9" s="84" customFormat="1" ht="52.5" customHeight="1" x14ac:dyDescent="0.2">
      <c r="A345" s="85" t="s">
        <v>66</v>
      </c>
      <c r="B345" s="82" t="s">
        <v>43</v>
      </c>
      <c r="C345" s="82" t="s">
        <v>18</v>
      </c>
      <c r="D345" s="82" t="s">
        <v>426</v>
      </c>
      <c r="E345" s="83" t="s">
        <v>67</v>
      </c>
      <c r="F345" s="62">
        <v>21630.1</v>
      </c>
      <c r="G345" s="62">
        <v>18319.599999999999</v>
      </c>
      <c r="H345" s="62">
        <v>18319.599999999999</v>
      </c>
    </row>
    <row r="346" spans="1:9" s="84" customFormat="1" ht="25.5" x14ac:dyDescent="0.2">
      <c r="A346" s="87" t="s">
        <v>76</v>
      </c>
      <c r="B346" s="82" t="s">
        <v>43</v>
      </c>
      <c r="C346" s="82" t="s">
        <v>18</v>
      </c>
      <c r="D346" s="82" t="s">
        <v>426</v>
      </c>
      <c r="E346" s="83" t="s">
        <v>68</v>
      </c>
      <c r="F346" s="62">
        <v>489.7</v>
      </c>
      <c r="G346" s="62">
        <v>474.3</v>
      </c>
      <c r="H346" s="62">
        <v>474.3</v>
      </c>
    </row>
    <row r="347" spans="1:9" ht="15.75" x14ac:dyDescent="0.25">
      <c r="A347" s="144" t="s">
        <v>52</v>
      </c>
      <c r="B347" s="143" t="s">
        <v>51</v>
      </c>
      <c r="C347" s="143" t="s">
        <v>463</v>
      </c>
      <c r="D347" s="143"/>
      <c r="E347" s="143"/>
      <c r="F347" s="206">
        <v>1153523.6949</v>
      </c>
      <c r="G347" s="206">
        <v>1158778.7000000002</v>
      </c>
      <c r="H347" s="206">
        <v>1091415.2</v>
      </c>
      <c r="I347" s="237"/>
    </row>
    <row r="348" spans="1:9" s="79" customFormat="1" x14ac:dyDescent="0.2">
      <c r="A348" s="70" t="s">
        <v>53</v>
      </c>
      <c r="B348" s="72" t="s">
        <v>51</v>
      </c>
      <c r="C348" s="72" t="s">
        <v>12</v>
      </c>
      <c r="D348" s="72"/>
      <c r="E348" s="72"/>
      <c r="F348" s="73">
        <v>7375.7</v>
      </c>
      <c r="G348" s="73">
        <v>7375.7</v>
      </c>
      <c r="H348" s="73">
        <v>7375.7</v>
      </c>
    </row>
    <row r="349" spans="1:9" s="79" customFormat="1" ht="76.5" x14ac:dyDescent="0.2">
      <c r="A349" s="75" t="s">
        <v>263</v>
      </c>
      <c r="B349" s="77" t="s">
        <v>51</v>
      </c>
      <c r="C349" s="77" t="s">
        <v>12</v>
      </c>
      <c r="D349" s="77" t="s">
        <v>264</v>
      </c>
      <c r="E349" s="77"/>
      <c r="F349" s="78">
        <v>7375.7</v>
      </c>
      <c r="G349" s="78">
        <v>7375.7</v>
      </c>
      <c r="H349" s="78">
        <v>7375.7</v>
      </c>
    </row>
    <row r="350" spans="1:9" s="79" customFormat="1" ht="25.5" x14ac:dyDescent="0.2">
      <c r="A350" s="87" t="s">
        <v>76</v>
      </c>
      <c r="B350" s="82" t="s">
        <v>51</v>
      </c>
      <c r="C350" s="82" t="s">
        <v>12</v>
      </c>
      <c r="D350" s="82" t="s">
        <v>264</v>
      </c>
      <c r="E350" s="83" t="s">
        <v>68</v>
      </c>
      <c r="F350" s="62">
        <v>36.700000000000003</v>
      </c>
      <c r="G350" s="62">
        <v>36.700000000000003</v>
      </c>
      <c r="H350" s="62">
        <v>36.700000000000003</v>
      </c>
    </row>
    <row r="351" spans="1:9" s="79" customFormat="1" x14ac:dyDescent="0.2">
      <c r="A351" s="87" t="s">
        <v>69</v>
      </c>
      <c r="B351" s="82" t="s">
        <v>51</v>
      </c>
      <c r="C351" s="82" t="s">
        <v>12</v>
      </c>
      <c r="D351" s="82" t="s">
        <v>264</v>
      </c>
      <c r="E351" s="82" t="s">
        <v>70</v>
      </c>
      <c r="F351" s="62">
        <v>7339</v>
      </c>
      <c r="G351" s="62">
        <v>7339</v>
      </c>
      <c r="H351" s="62">
        <v>7339</v>
      </c>
    </row>
    <row r="352" spans="1:9" s="79" customFormat="1" x14ac:dyDescent="0.2">
      <c r="A352" s="70" t="s">
        <v>54</v>
      </c>
      <c r="B352" s="72" t="s">
        <v>51</v>
      </c>
      <c r="C352" s="72" t="s">
        <v>14</v>
      </c>
      <c r="D352" s="72"/>
      <c r="E352" s="72"/>
      <c r="F352" s="73">
        <v>172416.59999999998</v>
      </c>
      <c r="G352" s="73">
        <v>170188.5</v>
      </c>
      <c r="H352" s="73">
        <v>170188.5</v>
      </c>
    </row>
    <row r="353" spans="1:9" s="79" customFormat="1" ht="51" x14ac:dyDescent="0.2">
      <c r="A353" s="75" t="s">
        <v>265</v>
      </c>
      <c r="B353" s="77" t="s">
        <v>51</v>
      </c>
      <c r="C353" s="77" t="s">
        <v>14</v>
      </c>
      <c r="D353" s="77" t="s">
        <v>97</v>
      </c>
      <c r="E353" s="77"/>
      <c r="F353" s="78">
        <v>121813.3</v>
      </c>
      <c r="G353" s="78">
        <v>121742.5</v>
      </c>
      <c r="H353" s="78">
        <v>121742.5</v>
      </c>
    </row>
    <row r="354" spans="1:9" s="79" customFormat="1" ht="25.5" x14ac:dyDescent="0.2">
      <c r="A354" s="87" t="s">
        <v>141</v>
      </c>
      <c r="B354" s="82" t="s">
        <v>51</v>
      </c>
      <c r="C354" s="82" t="s">
        <v>14</v>
      </c>
      <c r="D354" s="82" t="s">
        <v>98</v>
      </c>
      <c r="E354" s="82" t="s">
        <v>65</v>
      </c>
      <c r="F354" s="62">
        <v>121813.3</v>
      </c>
      <c r="G354" s="62">
        <v>121742.5</v>
      </c>
      <c r="H354" s="62">
        <v>121742.5</v>
      </c>
    </row>
    <row r="355" spans="1:9" s="79" customFormat="1" ht="63.75" x14ac:dyDescent="0.2">
      <c r="A355" s="75" t="s">
        <v>266</v>
      </c>
      <c r="B355" s="77" t="s">
        <v>51</v>
      </c>
      <c r="C355" s="77" t="s">
        <v>14</v>
      </c>
      <c r="D355" s="77" t="s">
        <v>100</v>
      </c>
      <c r="E355" s="77"/>
      <c r="F355" s="78">
        <v>50550</v>
      </c>
      <c r="G355" s="78">
        <v>48414</v>
      </c>
      <c r="H355" s="78">
        <v>48414</v>
      </c>
    </row>
    <row r="356" spans="1:9" s="79" customFormat="1" ht="51" x14ac:dyDescent="0.2">
      <c r="A356" s="80" t="s">
        <v>66</v>
      </c>
      <c r="B356" s="82" t="s">
        <v>51</v>
      </c>
      <c r="C356" s="82" t="s">
        <v>14</v>
      </c>
      <c r="D356" s="82" t="s">
        <v>100</v>
      </c>
      <c r="E356" s="83" t="s">
        <v>67</v>
      </c>
      <c r="F356" s="62">
        <v>42333.894260000001</v>
      </c>
      <c r="G356" s="62">
        <v>42333.5</v>
      </c>
      <c r="H356" s="62">
        <v>42333.5</v>
      </c>
    </row>
    <row r="357" spans="1:9" s="79" customFormat="1" ht="25.5" x14ac:dyDescent="0.2">
      <c r="A357" s="87" t="s">
        <v>76</v>
      </c>
      <c r="B357" s="82" t="s">
        <v>51</v>
      </c>
      <c r="C357" s="82" t="s">
        <v>14</v>
      </c>
      <c r="D357" s="82" t="s">
        <v>100</v>
      </c>
      <c r="E357" s="83" t="s">
        <v>68</v>
      </c>
      <c r="F357" s="62">
        <v>7921.10574</v>
      </c>
      <c r="G357" s="62">
        <v>5785.5</v>
      </c>
      <c r="H357" s="62">
        <v>5785.5</v>
      </c>
    </row>
    <row r="358" spans="1:9" s="79" customFormat="1" x14ac:dyDescent="0.2">
      <c r="A358" s="87" t="s">
        <v>72</v>
      </c>
      <c r="B358" s="82" t="s">
        <v>51</v>
      </c>
      <c r="C358" s="82" t="s">
        <v>14</v>
      </c>
      <c r="D358" s="82" t="s">
        <v>100</v>
      </c>
      <c r="E358" s="82" t="s">
        <v>73</v>
      </c>
      <c r="F358" s="62">
        <v>295</v>
      </c>
      <c r="G358" s="62">
        <v>295</v>
      </c>
      <c r="H358" s="62">
        <v>295</v>
      </c>
    </row>
    <row r="359" spans="1:9" s="79" customFormat="1" ht="25.5" x14ac:dyDescent="0.2">
      <c r="A359" s="18" t="s">
        <v>267</v>
      </c>
      <c r="B359" s="19" t="s">
        <v>51</v>
      </c>
      <c r="C359" s="19" t="s">
        <v>14</v>
      </c>
      <c r="D359" s="19" t="s">
        <v>340</v>
      </c>
      <c r="E359" s="19"/>
      <c r="F359" s="25">
        <v>21.3</v>
      </c>
      <c r="G359" s="25">
        <v>0</v>
      </c>
      <c r="H359" s="25">
        <v>0</v>
      </c>
    </row>
    <row r="360" spans="1:9" s="79" customFormat="1" ht="25.5" x14ac:dyDescent="0.2">
      <c r="A360" s="28" t="s">
        <v>76</v>
      </c>
      <c r="B360" s="24" t="s">
        <v>51</v>
      </c>
      <c r="C360" s="24" t="s">
        <v>14</v>
      </c>
      <c r="D360" s="24" t="s">
        <v>340</v>
      </c>
      <c r="E360" s="27" t="s">
        <v>68</v>
      </c>
      <c r="F360" s="25">
        <v>21.3</v>
      </c>
      <c r="G360" s="25">
        <v>0</v>
      </c>
      <c r="H360" s="25">
        <v>0</v>
      </c>
    </row>
    <row r="361" spans="1:9" ht="75" customHeight="1" x14ac:dyDescent="0.2">
      <c r="A361" s="18" t="s">
        <v>273</v>
      </c>
      <c r="B361" s="19" t="s">
        <v>51</v>
      </c>
      <c r="C361" s="19" t="s">
        <v>14</v>
      </c>
      <c r="D361" s="19" t="s">
        <v>118</v>
      </c>
      <c r="E361" s="19"/>
      <c r="F361" s="20">
        <v>32</v>
      </c>
      <c r="G361" s="20">
        <v>32</v>
      </c>
      <c r="H361" s="20">
        <v>32</v>
      </c>
      <c r="I361" s="237"/>
    </row>
    <row r="362" spans="1:9" s="84" customFormat="1" ht="51.75" customHeight="1" x14ac:dyDescent="0.2">
      <c r="A362" s="80" t="s">
        <v>66</v>
      </c>
      <c r="B362" s="82" t="s">
        <v>51</v>
      </c>
      <c r="C362" s="82" t="s">
        <v>14</v>
      </c>
      <c r="D362" s="82" t="s">
        <v>118</v>
      </c>
      <c r="E362" s="82" t="s">
        <v>67</v>
      </c>
      <c r="F362" s="62">
        <v>32</v>
      </c>
      <c r="G362" s="62">
        <v>32</v>
      </c>
      <c r="H362" s="62">
        <v>32</v>
      </c>
    </row>
    <row r="363" spans="1:9" s="79" customFormat="1" x14ac:dyDescent="0.2">
      <c r="A363" s="70" t="s">
        <v>55</v>
      </c>
      <c r="B363" s="72" t="s">
        <v>51</v>
      </c>
      <c r="C363" s="72" t="s">
        <v>16</v>
      </c>
      <c r="D363" s="72"/>
      <c r="E363" s="72"/>
      <c r="F363" s="73">
        <v>657059.6949</v>
      </c>
      <c r="G363" s="73">
        <v>718487.50000000012</v>
      </c>
      <c r="H363" s="73">
        <v>649228.10000000009</v>
      </c>
      <c r="I363" s="73" t="e">
        <f>I375+#REF!+I385+#REF!+I390+I388+I395+I400+I403+I406+I409+I412+I415+I364+I418+I421+I424+I427+I430+#REF!+I432+I435+I438+I441+I444+I447+I397+I392+I371+I379+I383+I377+I381+I373</f>
        <v>#REF!</v>
      </c>
    </row>
    <row r="364" spans="1:9" ht="51" x14ac:dyDescent="0.2">
      <c r="A364" s="18" t="s">
        <v>252</v>
      </c>
      <c r="B364" s="19" t="s">
        <v>51</v>
      </c>
      <c r="C364" s="19" t="s">
        <v>16</v>
      </c>
      <c r="D364" s="19" t="s">
        <v>454</v>
      </c>
      <c r="E364" s="19"/>
      <c r="F364" s="20">
        <v>20432</v>
      </c>
      <c r="G364" s="20">
        <v>20432</v>
      </c>
      <c r="H364" s="20">
        <v>20432</v>
      </c>
      <c r="I364" s="237"/>
    </row>
    <row r="365" spans="1:9" ht="25.5" x14ac:dyDescent="0.2">
      <c r="A365" s="28" t="s">
        <v>76</v>
      </c>
      <c r="B365" s="24" t="s">
        <v>51</v>
      </c>
      <c r="C365" s="24" t="s">
        <v>16</v>
      </c>
      <c r="D365" s="24" t="s">
        <v>454</v>
      </c>
      <c r="E365" s="27" t="s">
        <v>68</v>
      </c>
      <c r="F365" s="25">
        <v>63.9</v>
      </c>
      <c r="G365" s="25">
        <v>63.9</v>
      </c>
      <c r="H365" s="25">
        <v>63.9</v>
      </c>
      <c r="I365" s="237"/>
    </row>
    <row r="366" spans="1:9" x14ac:dyDescent="0.2">
      <c r="A366" s="28" t="s">
        <v>69</v>
      </c>
      <c r="B366" s="24" t="s">
        <v>51</v>
      </c>
      <c r="C366" s="24" t="s">
        <v>16</v>
      </c>
      <c r="D366" s="24" t="s">
        <v>454</v>
      </c>
      <c r="E366" s="24" t="s">
        <v>70</v>
      </c>
      <c r="F366" s="25">
        <v>12703.3</v>
      </c>
      <c r="G366" s="25">
        <v>12703.3</v>
      </c>
      <c r="H366" s="25">
        <v>12703.3</v>
      </c>
      <c r="I366" s="237"/>
    </row>
    <row r="367" spans="1:9" ht="25.5" x14ac:dyDescent="0.2">
      <c r="A367" s="28" t="s">
        <v>141</v>
      </c>
      <c r="B367" s="24" t="s">
        <v>51</v>
      </c>
      <c r="C367" s="24" t="s">
        <v>16</v>
      </c>
      <c r="D367" s="24" t="s">
        <v>454</v>
      </c>
      <c r="E367" s="24" t="s">
        <v>65</v>
      </c>
      <c r="F367" s="25">
        <v>7664.8</v>
      </c>
      <c r="G367" s="25">
        <v>7664.8</v>
      </c>
      <c r="H367" s="25">
        <v>7664.8</v>
      </c>
      <c r="I367" s="237"/>
    </row>
    <row r="368" spans="1:9" s="79" customFormat="1" ht="51" x14ac:dyDescent="0.2">
      <c r="A368" s="75" t="s">
        <v>274</v>
      </c>
      <c r="B368" s="77" t="s">
        <v>51</v>
      </c>
      <c r="C368" s="77" t="s">
        <v>16</v>
      </c>
      <c r="D368" s="77" t="s">
        <v>455</v>
      </c>
      <c r="E368" s="77"/>
      <c r="F368" s="78">
        <v>9129</v>
      </c>
      <c r="G368" s="78">
        <v>9129</v>
      </c>
      <c r="H368" s="78">
        <v>9129</v>
      </c>
    </row>
    <row r="369" spans="1:8" s="79" customFormat="1" ht="25.5" x14ac:dyDescent="0.2">
      <c r="A369" s="87" t="s">
        <v>76</v>
      </c>
      <c r="B369" s="82" t="s">
        <v>51</v>
      </c>
      <c r="C369" s="82" t="s">
        <v>16</v>
      </c>
      <c r="D369" s="82" t="s">
        <v>455</v>
      </c>
      <c r="E369" s="83" t="s">
        <v>68</v>
      </c>
      <c r="F369" s="62">
        <v>3.3</v>
      </c>
      <c r="G369" s="62">
        <v>3.3</v>
      </c>
      <c r="H369" s="62">
        <v>3.3</v>
      </c>
    </row>
    <row r="370" spans="1:8" s="79" customFormat="1" x14ac:dyDescent="0.2">
      <c r="A370" s="87" t="s">
        <v>69</v>
      </c>
      <c r="B370" s="82" t="s">
        <v>51</v>
      </c>
      <c r="C370" s="82" t="s">
        <v>16</v>
      </c>
      <c r="D370" s="82" t="s">
        <v>455</v>
      </c>
      <c r="E370" s="82" t="s">
        <v>70</v>
      </c>
      <c r="F370" s="62">
        <v>9125.7000000000007</v>
      </c>
      <c r="G370" s="62">
        <v>9125.7000000000007</v>
      </c>
      <c r="H370" s="62">
        <v>9125.7000000000007</v>
      </c>
    </row>
    <row r="371" spans="1:8" s="237" customFormat="1" ht="51" x14ac:dyDescent="0.2">
      <c r="A371" s="18" t="s">
        <v>373</v>
      </c>
      <c r="B371" s="19" t="s">
        <v>51</v>
      </c>
      <c r="C371" s="19" t="s">
        <v>16</v>
      </c>
      <c r="D371" s="19" t="s">
        <v>372</v>
      </c>
      <c r="E371" s="19"/>
      <c r="F371" s="20">
        <v>1329.3999999999999</v>
      </c>
      <c r="G371" s="20">
        <v>1330</v>
      </c>
      <c r="H371" s="20">
        <v>701.7</v>
      </c>
    </row>
    <row r="372" spans="1:8" s="237" customFormat="1" ht="25.5" x14ac:dyDescent="0.2">
      <c r="A372" s="28" t="s">
        <v>83</v>
      </c>
      <c r="B372" s="24" t="s">
        <v>51</v>
      </c>
      <c r="C372" s="24" t="s">
        <v>16</v>
      </c>
      <c r="D372" s="24" t="s">
        <v>372</v>
      </c>
      <c r="E372" s="24" t="s">
        <v>71</v>
      </c>
      <c r="F372" s="25">
        <v>1329.3999999999999</v>
      </c>
      <c r="G372" s="25">
        <v>1330</v>
      </c>
      <c r="H372" s="25">
        <v>701.7</v>
      </c>
    </row>
    <row r="373" spans="1:8" s="237" customFormat="1" ht="76.5" x14ac:dyDescent="0.2">
      <c r="A373" s="18" t="s">
        <v>414</v>
      </c>
      <c r="B373" s="19" t="s">
        <v>51</v>
      </c>
      <c r="C373" s="19" t="s">
        <v>16</v>
      </c>
      <c r="D373" s="19" t="s">
        <v>413</v>
      </c>
      <c r="E373" s="19"/>
      <c r="F373" s="20">
        <v>2515.8000000000002</v>
      </c>
      <c r="G373" s="20">
        <v>0</v>
      </c>
      <c r="H373" s="20">
        <v>0</v>
      </c>
    </row>
    <row r="374" spans="1:8" s="237" customFormat="1" x14ac:dyDescent="0.2">
      <c r="A374" s="59" t="s">
        <v>69</v>
      </c>
      <c r="B374" s="24" t="s">
        <v>51</v>
      </c>
      <c r="C374" s="24" t="s">
        <v>16</v>
      </c>
      <c r="D374" s="24" t="s">
        <v>413</v>
      </c>
      <c r="E374" s="24" t="s">
        <v>70</v>
      </c>
      <c r="F374" s="20">
        <v>2515.8000000000002</v>
      </c>
      <c r="G374" s="20">
        <v>0</v>
      </c>
      <c r="H374" s="20">
        <v>0</v>
      </c>
    </row>
    <row r="375" spans="1:8" s="237" customFormat="1" ht="63.75" x14ac:dyDescent="0.2">
      <c r="A375" s="18" t="s">
        <v>606</v>
      </c>
      <c r="B375" s="19" t="s">
        <v>51</v>
      </c>
      <c r="C375" s="19" t="s">
        <v>16</v>
      </c>
      <c r="D375" s="19" t="s">
        <v>89</v>
      </c>
      <c r="E375" s="19"/>
      <c r="F375" s="20">
        <v>3773.7</v>
      </c>
      <c r="G375" s="20">
        <v>2527.5</v>
      </c>
      <c r="H375" s="20">
        <v>1262.5</v>
      </c>
    </row>
    <row r="376" spans="1:8" s="237" customFormat="1" x14ac:dyDescent="0.2">
      <c r="A376" s="28" t="s">
        <v>69</v>
      </c>
      <c r="B376" s="19" t="s">
        <v>51</v>
      </c>
      <c r="C376" s="19" t="s">
        <v>16</v>
      </c>
      <c r="D376" s="19" t="s">
        <v>89</v>
      </c>
      <c r="E376" s="19" t="s">
        <v>70</v>
      </c>
      <c r="F376" s="20">
        <v>3773.7</v>
      </c>
      <c r="G376" s="20">
        <v>2527.5</v>
      </c>
      <c r="H376" s="20">
        <v>1262.5</v>
      </c>
    </row>
    <row r="377" spans="1:8" s="237" customFormat="1" ht="25.5" x14ac:dyDescent="0.2">
      <c r="A377" s="18" t="s">
        <v>351</v>
      </c>
      <c r="B377" s="19" t="s">
        <v>51</v>
      </c>
      <c r="C377" s="19" t="s">
        <v>16</v>
      </c>
      <c r="D377" s="19" t="s">
        <v>350</v>
      </c>
      <c r="E377" s="19"/>
      <c r="F377" s="20">
        <v>25414.9</v>
      </c>
      <c r="G377" s="20">
        <v>21142.799999999999</v>
      </c>
      <c r="H377" s="20">
        <v>21142.799999999999</v>
      </c>
    </row>
    <row r="378" spans="1:8" s="26" customFormat="1" ht="25.5" x14ac:dyDescent="0.2">
      <c r="A378" s="28" t="s">
        <v>83</v>
      </c>
      <c r="B378" s="24" t="s">
        <v>51</v>
      </c>
      <c r="C378" s="24" t="s">
        <v>16</v>
      </c>
      <c r="D378" s="24" t="s">
        <v>350</v>
      </c>
      <c r="E378" s="24" t="s">
        <v>71</v>
      </c>
      <c r="F378" s="25">
        <v>25414.9</v>
      </c>
      <c r="G378" s="25">
        <v>21142.799999999999</v>
      </c>
      <c r="H378" s="25">
        <v>21142.799999999999</v>
      </c>
    </row>
    <row r="379" spans="1:8" s="237" customFormat="1" ht="38.25" x14ac:dyDescent="0.2">
      <c r="A379" s="18" t="s">
        <v>341</v>
      </c>
      <c r="B379" s="19" t="s">
        <v>51</v>
      </c>
      <c r="C379" s="19" t="s">
        <v>16</v>
      </c>
      <c r="D379" s="19" t="s">
        <v>170</v>
      </c>
      <c r="E379" s="19"/>
      <c r="F379" s="20">
        <v>4158.1000000000004</v>
      </c>
      <c r="G379" s="20">
        <v>0</v>
      </c>
      <c r="H379" s="20">
        <v>0</v>
      </c>
    </row>
    <row r="380" spans="1:8" s="26" customFormat="1" ht="25.5" x14ac:dyDescent="0.2">
      <c r="A380" s="28" t="s">
        <v>83</v>
      </c>
      <c r="B380" s="24" t="s">
        <v>51</v>
      </c>
      <c r="C380" s="24" t="s">
        <v>16</v>
      </c>
      <c r="D380" s="24" t="s">
        <v>170</v>
      </c>
      <c r="E380" s="24" t="s">
        <v>71</v>
      </c>
      <c r="F380" s="25">
        <v>4158.1000000000004</v>
      </c>
      <c r="G380" s="25">
        <v>0</v>
      </c>
      <c r="H380" s="25">
        <v>0</v>
      </c>
    </row>
    <row r="381" spans="1:8" s="79" customFormat="1" x14ac:dyDescent="0.2">
      <c r="A381" s="75" t="s">
        <v>386</v>
      </c>
      <c r="B381" s="77" t="s">
        <v>51</v>
      </c>
      <c r="C381" s="77" t="s">
        <v>16</v>
      </c>
      <c r="D381" s="77" t="s">
        <v>385</v>
      </c>
      <c r="E381" s="77"/>
      <c r="F381" s="78">
        <v>5168.35563</v>
      </c>
      <c r="G381" s="78">
        <v>1966.3</v>
      </c>
      <c r="H381" s="78">
        <v>1966.3</v>
      </c>
    </row>
    <row r="382" spans="1:8" s="84" customFormat="1" x14ac:dyDescent="0.2">
      <c r="A382" s="104" t="s">
        <v>69</v>
      </c>
      <c r="B382" s="82" t="s">
        <v>51</v>
      </c>
      <c r="C382" s="82" t="s">
        <v>16</v>
      </c>
      <c r="D382" s="82" t="s">
        <v>385</v>
      </c>
      <c r="E382" s="105">
        <v>300</v>
      </c>
      <c r="F382" s="62">
        <v>5168.35563</v>
      </c>
      <c r="G382" s="62">
        <v>1966.3</v>
      </c>
      <c r="H382" s="62">
        <v>1966.3</v>
      </c>
    </row>
    <row r="383" spans="1:8" s="79" customFormat="1" ht="25.5" x14ac:dyDescent="0.2">
      <c r="A383" s="75" t="s">
        <v>169</v>
      </c>
      <c r="B383" s="77" t="s">
        <v>51</v>
      </c>
      <c r="C383" s="77" t="s">
        <v>16</v>
      </c>
      <c r="D383" s="77" t="s">
        <v>90</v>
      </c>
      <c r="E383" s="77"/>
      <c r="F383" s="78">
        <v>262958.3</v>
      </c>
      <c r="G383" s="78">
        <v>340671.4</v>
      </c>
      <c r="H383" s="78">
        <v>272908.5</v>
      </c>
    </row>
    <row r="384" spans="1:8" s="84" customFormat="1" x14ac:dyDescent="0.2">
      <c r="A384" s="87" t="s">
        <v>69</v>
      </c>
      <c r="B384" s="82" t="s">
        <v>51</v>
      </c>
      <c r="C384" s="82" t="s">
        <v>16</v>
      </c>
      <c r="D384" s="82" t="s">
        <v>90</v>
      </c>
      <c r="E384" s="82" t="s">
        <v>70</v>
      </c>
      <c r="F384" s="62">
        <v>262958.3</v>
      </c>
      <c r="G384" s="62">
        <v>340671.4</v>
      </c>
      <c r="H384" s="62">
        <v>272908.5</v>
      </c>
    </row>
    <row r="385" spans="1:9" ht="25.5" x14ac:dyDescent="0.2">
      <c r="A385" s="18" t="s">
        <v>359</v>
      </c>
      <c r="B385" s="19" t="s">
        <v>51</v>
      </c>
      <c r="C385" s="19" t="s">
        <v>16</v>
      </c>
      <c r="D385" s="19" t="s">
        <v>85</v>
      </c>
      <c r="E385" s="19"/>
      <c r="F385" s="20">
        <v>1600</v>
      </c>
      <c r="G385" s="20">
        <v>1600</v>
      </c>
      <c r="H385" s="20">
        <v>1600</v>
      </c>
      <c r="I385" s="237"/>
    </row>
    <row r="386" spans="1:9" x14ac:dyDescent="0.2">
      <c r="A386" s="59" t="s">
        <v>69</v>
      </c>
      <c r="B386" s="24" t="s">
        <v>51</v>
      </c>
      <c r="C386" s="24" t="s">
        <v>16</v>
      </c>
      <c r="D386" s="24" t="s">
        <v>85</v>
      </c>
      <c r="E386" s="24" t="s">
        <v>70</v>
      </c>
      <c r="F386" s="25">
        <v>230.7</v>
      </c>
      <c r="G386" s="25">
        <v>230.7</v>
      </c>
      <c r="H386" s="25">
        <v>230.7</v>
      </c>
      <c r="I386" s="237"/>
    </row>
    <row r="387" spans="1:9" ht="25.5" x14ac:dyDescent="0.2">
      <c r="A387" s="28" t="s">
        <v>141</v>
      </c>
      <c r="B387" s="24" t="s">
        <v>51</v>
      </c>
      <c r="C387" s="24" t="s">
        <v>16</v>
      </c>
      <c r="D387" s="24" t="s">
        <v>85</v>
      </c>
      <c r="E387" s="24" t="s">
        <v>65</v>
      </c>
      <c r="F387" s="25">
        <v>1369.3</v>
      </c>
      <c r="G387" s="25">
        <v>1369.3</v>
      </c>
      <c r="H387" s="25">
        <v>1369.3</v>
      </c>
      <c r="I387" s="237"/>
    </row>
    <row r="388" spans="1:9" ht="38.25" x14ac:dyDescent="0.2">
      <c r="A388" s="18" t="s">
        <v>247</v>
      </c>
      <c r="B388" s="19" t="s">
        <v>51</v>
      </c>
      <c r="C388" s="19" t="s">
        <v>16</v>
      </c>
      <c r="D388" s="19" t="s">
        <v>126</v>
      </c>
      <c r="E388" s="19"/>
      <c r="F388" s="20">
        <v>207</v>
      </c>
      <c r="G388" s="20">
        <v>207</v>
      </c>
      <c r="H388" s="20">
        <v>207</v>
      </c>
      <c r="I388" s="237"/>
    </row>
    <row r="389" spans="1:9" x14ac:dyDescent="0.2">
      <c r="A389" s="59" t="s">
        <v>69</v>
      </c>
      <c r="B389" s="24" t="s">
        <v>51</v>
      </c>
      <c r="C389" s="24" t="s">
        <v>16</v>
      </c>
      <c r="D389" s="24" t="s">
        <v>126</v>
      </c>
      <c r="E389" s="29">
        <v>300</v>
      </c>
      <c r="F389" s="25">
        <v>207</v>
      </c>
      <c r="G389" s="25">
        <v>207</v>
      </c>
      <c r="H389" s="25">
        <v>207</v>
      </c>
      <c r="I389" s="237"/>
    </row>
    <row r="390" spans="1:9" ht="38.25" x14ac:dyDescent="0.2">
      <c r="A390" s="47" t="s">
        <v>249</v>
      </c>
      <c r="B390" s="19" t="s">
        <v>51</v>
      </c>
      <c r="C390" s="19" t="s">
        <v>16</v>
      </c>
      <c r="D390" s="19" t="s">
        <v>124</v>
      </c>
      <c r="E390" s="19"/>
      <c r="F390" s="20">
        <v>570</v>
      </c>
      <c r="G390" s="20">
        <v>570</v>
      </c>
      <c r="H390" s="20">
        <v>570</v>
      </c>
      <c r="I390" s="237"/>
    </row>
    <row r="391" spans="1:9" x14ac:dyDescent="0.2">
      <c r="A391" s="59" t="s">
        <v>69</v>
      </c>
      <c r="B391" s="24" t="s">
        <v>51</v>
      </c>
      <c r="C391" s="24" t="s">
        <v>16</v>
      </c>
      <c r="D391" s="24" t="s">
        <v>124</v>
      </c>
      <c r="E391" s="24" t="s">
        <v>70</v>
      </c>
      <c r="F391" s="25">
        <v>570</v>
      </c>
      <c r="G391" s="25">
        <v>570</v>
      </c>
      <c r="H391" s="25">
        <v>570</v>
      </c>
      <c r="I391" s="237"/>
    </row>
    <row r="392" spans="1:9" s="79" customFormat="1" ht="25.5" x14ac:dyDescent="0.2">
      <c r="A392" s="106" t="s">
        <v>250</v>
      </c>
      <c r="B392" s="77" t="s">
        <v>51</v>
      </c>
      <c r="C392" s="77" t="s">
        <v>16</v>
      </c>
      <c r="D392" s="77" t="s">
        <v>132</v>
      </c>
      <c r="E392" s="77"/>
      <c r="F392" s="78">
        <v>2112.6</v>
      </c>
      <c r="G392" s="78">
        <v>636</v>
      </c>
      <c r="H392" s="78">
        <v>636</v>
      </c>
    </row>
    <row r="393" spans="1:9" s="79" customFormat="1" ht="25.5" x14ac:dyDescent="0.2">
      <c r="A393" s="87" t="s">
        <v>76</v>
      </c>
      <c r="B393" s="82" t="s">
        <v>51</v>
      </c>
      <c r="C393" s="82" t="s">
        <v>16</v>
      </c>
      <c r="D393" s="82" t="s">
        <v>132</v>
      </c>
      <c r="E393" s="83" t="s">
        <v>68</v>
      </c>
      <c r="F393" s="62">
        <v>476.59999999999997</v>
      </c>
      <c r="G393" s="62">
        <v>118.8</v>
      </c>
      <c r="H393" s="62">
        <v>118.8</v>
      </c>
      <c r="I393" s="62">
        <f>'изменения июль вед стр-ра'!J340</f>
        <v>0</v>
      </c>
    </row>
    <row r="394" spans="1:9" s="79" customFormat="1" ht="25.5" x14ac:dyDescent="0.2">
      <c r="A394" s="87" t="s">
        <v>141</v>
      </c>
      <c r="B394" s="82" t="s">
        <v>51</v>
      </c>
      <c r="C394" s="82" t="s">
        <v>16</v>
      </c>
      <c r="D394" s="82" t="s">
        <v>132</v>
      </c>
      <c r="E394" s="82" t="s">
        <v>65</v>
      </c>
      <c r="F394" s="62">
        <v>1636</v>
      </c>
      <c r="G394" s="62">
        <v>517.20000000000005</v>
      </c>
      <c r="H394" s="62">
        <v>517.20000000000005</v>
      </c>
      <c r="I394" s="62">
        <f>'изменения июль вед стр-ра'!J341</f>
        <v>0</v>
      </c>
    </row>
    <row r="395" spans="1:9" ht="63.75" x14ac:dyDescent="0.2">
      <c r="A395" s="18" t="s">
        <v>665</v>
      </c>
      <c r="B395" s="19" t="s">
        <v>51</v>
      </c>
      <c r="C395" s="19" t="s">
        <v>16</v>
      </c>
      <c r="D395" s="19" t="s">
        <v>127</v>
      </c>
      <c r="E395" s="19"/>
      <c r="F395" s="20">
        <v>600</v>
      </c>
      <c r="G395" s="20">
        <v>1000</v>
      </c>
      <c r="H395" s="20">
        <v>1000</v>
      </c>
      <c r="I395" s="237"/>
    </row>
    <row r="396" spans="1:9" s="79" customFormat="1" x14ac:dyDescent="0.2">
      <c r="A396" s="87" t="s">
        <v>69</v>
      </c>
      <c r="B396" s="82" t="s">
        <v>51</v>
      </c>
      <c r="C396" s="82" t="s">
        <v>16</v>
      </c>
      <c r="D396" s="82" t="s">
        <v>127</v>
      </c>
      <c r="E396" s="82" t="s">
        <v>70</v>
      </c>
      <c r="F396" s="62">
        <v>600</v>
      </c>
      <c r="G396" s="62">
        <v>1000</v>
      </c>
      <c r="H396" s="62">
        <v>1000</v>
      </c>
    </row>
    <row r="397" spans="1:9" ht="38.25" x14ac:dyDescent="0.2">
      <c r="A397" s="18" t="s">
        <v>268</v>
      </c>
      <c r="B397" s="19" t="s">
        <v>51</v>
      </c>
      <c r="C397" s="19" t="s">
        <v>16</v>
      </c>
      <c r="D397" s="19" t="s">
        <v>117</v>
      </c>
      <c r="E397" s="19"/>
      <c r="F397" s="20">
        <v>469.7</v>
      </c>
      <c r="G397" s="20">
        <v>548.90000000000009</v>
      </c>
      <c r="H397" s="20">
        <v>582.69999999999993</v>
      </c>
      <c r="I397" s="237"/>
    </row>
    <row r="398" spans="1:9" ht="25.5" x14ac:dyDescent="0.2">
      <c r="A398" s="28" t="s">
        <v>76</v>
      </c>
      <c r="B398" s="24" t="s">
        <v>51</v>
      </c>
      <c r="C398" s="24" t="s">
        <v>16</v>
      </c>
      <c r="D398" s="24" t="s">
        <v>117</v>
      </c>
      <c r="E398" s="27" t="s">
        <v>68</v>
      </c>
      <c r="F398" s="25">
        <v>2.5</v>
      </c>
      <c r="G398" s="25">
        <v>2.7</v>
      </c>
      <c r="H398" s="25">
        <v>2.9</v>
      </c>
      <c r="I398" s="237"/>
    </row>
    <row r="399" spans="1:9" s="79" customFormat="1" x14ac:dyDescent="0.2">
      <c r="A399" s="87" t="s">
        <v>69</v>
      </c>
      <c r="B399" s="82" t="s">
        <v>51</v>
      </c>
      <c r="C399" s="82" t="s">
        <v>16</v>
      </c>
      <c r="D399" s="82" t="s">
        <v>117</v>
      </c>
      <c r="E399" s="82" t="s">
        <v>70</v>
      </c>
      <c r="F399" s="25">
        <v>467.2</v>
      </c>
      <c r="G399" s="25">
        <v>546.20000000000005</v>
      </c>
      <c r="H399" s="25">
        <v>579.79999999999995</v>
      </c>
    </row>
    <row r="400" spans="1:9" s="79" customFormat="1" ht="38.25" x14ac:dyDescent="0.2">
      <c r="A400" s="75" t="s">
        <v>269</v>
      </c>
      <c r="B400" s="77" t="s">
        <v>51</v>
      </c>
      <c r="C400" s="77" t="s">
        <v>16</v>
      </c>
      <c r="D400" s="77" t="s">
        <v>102</v>
      </c>
      <c r="E400" s="77"/>
      <c r="F400" s="78">
        <v>9410.2392699999982</v>
      </c>
      <c r="G400" s="78">
        <v>9084</v>
      </c>
      <c r="H400" s="78">
        <v>9447</v>
      </c>
    </row>
    <row r="401" spans="1:8" s="79" customFormat="1" ht="25.5" x14ac:dyDescent="0.2">
      <c r="A401" s="87" t="s">
        <v>76</v>
      </c>
      <c r="B401" s="82" t="s">
        <v>51</v>
      </c>
      <c r="C401" s="82" t="s">
        <v>16</v>
      </c>
      <c r="D401" s="82" t="s">
        <v>102</v>
      </c>
      <c r="E401" s="83" t="s">
        <v>68</v>
      </c>
      <c r="F401" s="62">
        <v>46.183709999999998</v>
      </c>
      <c r="G401" s="62">
        <v>45.4</v>
      </c>
      <c r="H401" s="62">
        <v>47.2</v>
      </c>
    </row>
    <row r="402" spans="1:8" s="79" customFormat="1" x14ac:dyDescent="0.2">
      <c r="A402" s="87" t="s">
        <v>69</v>
      </c>
      <c r="B402" s="82" t="s">
        <v>51</v>
      </c>
      <c r="C402" s="82" t="s">
        <v>16</v>
      </c>
      <c r="D402" s="82" t="s">
        <v>102</v>
      </c>
      <c r="E402" s="82" t="s">
        <v>70</v>
      </c>
      <c r="F402" s="62">
        <v>9364.0555599999989</v>
      </c>
      <c r="G402" s="62">
        <v>9038.6</v>
      </c>
      <c r="H402" s="62">
        <v>9399.7999999999993</v>
      </c>
    </row>
    <row r="403" spans="1:8" s="237" customFormat="1" ht="25.5" x14ac:dyDescent="0.2">
      <c r="A403" s="18" t="s">
        <v>270</v>
      </c>
      <c r="B403" s="19" t="s">
        <v>51</v>
      </c>
      <c r="C403" s="19" t="s">
        <v>16</v>
      </c>
      <c r="D403" s="19" t="s">
        <v>104</v>
      </c>
      <c r="E403" s="19"/>
      <c r="F403" s="20">
        <v>53744</v>
      </c>
      <c r="G403" s="20">
        <v>53744</v>
      </c>
      <c r="H403" s="20">
        <v>53744</v>
      </c>
    </row>
    <row r="404" spans="1:8" s="237" customFormat="1" ht="25.5" x14ac:dyDescent="0.2">
      <c r="A404" s="28" t="s">
        <v>76</v>
      </c>
      <c r="B404" s="24" t="s">
        <v>51</v>
      </c>
      <c r="C404" s="24" t="s">
        <v>16</v>
      </c>
      <c r="D404" s="24" t="s">
        <v>104</v>
      </c>
      <c r="E404" s="27" t="s">
        <v>68</v>
      </c>
      <c r="F404" s="25">
        <v>711</v>
      </c>
      <c r="G404" s="25">
        <v>711</v>
      </c>
      <c r="H404" s="25">
        <v>711</v>
      </c>
    </row>
    <row r="405" spans="1:8" s="237" customFormat="1" x14ac:dyDescent="0.2">
      <c r="A405" s="28" t="s">
        <v>69</v>
      </c>
      <c r="B405" s="24" t="s">
        <v>51</v>
      </c>
      <c r="C405" s="24" t="s">
        <v>16</v>
      </c>
      <c r="D405" s="24" t="s">
        <v>104</v>
      </c>
      <c r="E405" s="24" t="s">
        <v>70</v>
      </c>
      <c r="F405" s="25">
        <v>53033</v>
      </c>
      <c r="G405" s="25">
        <v>53033</v>
      </c>
      <c r="H405" s="25">
        <v>53033</v>
      </c>
    </row>
    <row r="406" spans="1:8" s="237" customFormat="1" ht="76.5" x14ac:dyDescent="0.2">
      <c r="A406" s="18" t="s">
        <v>271</v>
      </c>
      <c r="B406" s="19" t="s">
        <v>51</v>
      </c>
      <c r="C406" s="19" t="s">
        <v>16</v>
      </c>
      <c r="D406" s="19" t="s">
        <v>103</v>
      </c>
      <c r="E406" s="19"/>
      <c r="F406" s="20">
        <v>1.0000000000000004</v>
      </c>
      <c r="G406" s="20">
        <v>6</v>
      </c>
      <c r="H406" s="20">
        <v>6</v>
      </c>
    </row>
    <row r="407" spans="1:8" s="79" customFormat="1" ht="25.5" x14ac:dyDescent="0.2">
      <c r="A407" s="87" t="s">
        <v>76</v>
      </c>
      <c r="B407" s="82" t="s">
        <v>51</v>
      </c>
      <c r="C407" s="82" t="s">
        <v>16</v>
      </c>
      <c r="D407" s="82" t="s">
        <v>103</v>
      </c>
      <c r="E407" s="83" t="s">
        <v>68</v>
      </c>
      <c r="F407" s="62">
        <v>0.1</v>
      </c>
      <c r="G407" s="62">
        <v>0.1</v>
      </c>
      <c r="H407" s="62">
        <v>0.1</v>
      </c>
    </row>
    <row r="408" spans="1:8" s="79" customFormat="1" x14ac:dyDescent="0.2">
      <c r="A408" s="87" t="s">
        <v>69</v>
      </c>
      <c r="B408" s="82" t="s">
        <v>51</v>
      </c>
      <c r="C408" s="82" t="s">
        <v>16</v>
      </c>
      <c r="D408" s="82" t="s">
        <v>103</v>
      </c>
      <c r="E408" s="82" t="s">
        <v>70</v>
      </c>
      <c r="F408" s="62">
        <v>0.90000000000000036</v>
      </c>
      <c r="G408" s="62">
        <v>5.9</v>
      </c>
      <c r="H408" s="62">
        <v>5.9</v>
      </c>
    </row>
    <row r="409" spans="1:8" s="237" customFormat="1" ht="63.75" x14ac:dyDescent="0.2">
      <c r="A409" s="18" t="s">
        <v>180</v>
      </c>
      <c r="B409" s="19" t="s">
        <v>51</v>
      </c>
      <c r="C409" s="19" t="s">
        <v>16</v>
      </c>
      <c r="D409" s="19" t="s">
        <v>92</v>
      </c>
      <c r="E409" s="19"/>
      <c r="F409" s="20">
        <v>26410</v>
      </c>
      <c r="G409" s="20">
        <v>26410</v>
      </c>
      <c r="H409" s="20">
        <v>26410</v>
      </c>
    </row>
    <row r="410" spans="1:8" s="237" customFormat="1" ht="25.5" x14ac:dyDescent="0.2">
      <c r="A410" s="28" t="s">
        <v>76</v>
      </c>
      <c r="B410" s="24" t="s">
        <v>51</v>
      </c>
      <c r="C410" s="24" t="s">
        <v>16</v>
      </c>
      <c r="D410" s="24" t="s">
        <v>92</v>
      </c>
      <c r="E410" s="27" t="s">
        <v>68</v>
      </c>
      <c r="F410" s="25">
        <v>260.3</v>
      </c>
      <c r="G410" s="25">
        <v>260.3</v>
      </c>
      <c r="H410" s="25">
        <v>260.3</v>
      </c>
    </row>
    <row r="411" spans="1:8" s="237" customFormat="1" x14ac:dyDescent="0.2">
      <c r="A411" s="28" t="s">
        <v>69</v>
      </c>
      <c r="B411" s="24" t="s">
        <v>51</v>
      </c>
      <c r="C411" s="24" t="s">
        <v>16</v>
      </c>
      <c r="D411" s="24" t="s">
        <v>92</v>
      </c>
      <c r="E411" s="24" t="s">
        <v>70</v>
      </c>
      <c r="F411" s="25">
        <v>26149.7</v>
      </c>
      <c r="G411" s="25">
        <v>26149.7</v>
      </c>
      <c r="H411" s="25">
        <v>26149.7</v>
      </c>
    </row>
    <row r="412" spans="1:8" s="237" customFormat="1" ht="127.5" x14ac:dyDescent="0.2">
      <c r="A412" s="18" t="s">
        <v>332</v>
      </c>
      <c r="B412" s="19" t="s">
        <v>51</v>
      </c>
      <c r="C412" s="19" t="s">
        <v>16</v>
      </c>
      <c r="D412" s="19" t="s">
        <v>93</v>
      </c>
      <c r="E412" s="19"/>
      <c r="F412" s="20">
        <v>1523</v>
      </c>
      <c r="G412" s="20">
        <v>1523</v>
      </c>
      <c r="H412" s="20">
        <v>1523</v>
      </c>
    </row>
    <row r="413" spans="1:8" s="237" customFormat="1" ht="26.25" customHeight="1" x14ac:dyDescent="0.2">
      <c r="A413" s="28" t="s">
        <v>76</v>
      </c>
      <c r="B413" s="24" t="s">
        <v>51</v>
      </c>
      <c r="C413" s="24" t="s">
        <v>16</v>
      </c>
      <c r="D413" s="24" t="s">
        <v>93</v>
      </c>
      <c r="E413" s="27" t="s">
        <v>68</v>
      </c>
      <c r="F413" s="25">
        <v>29.6</v>
      </c>
      <c r="G413" s="25">
        <v>29.6</v>
      </c>
      <c r="H413" s="25">
        <v>29.6</v>
      </c>
    </row>
    <row r="414" spans="1:8" s="79" customFormat="1" x14ac:dyDescent="0.2">
      <c r="A414" s="87" t="s">
        <v>69</v>
      </c>
      <c r="B414" s="82" t="s">
        <v>51</v>
      </c>
      <c r="C414" s="82" t="s">
        <v>16</v>
      </c>
      <c r="D414" s="82" t="s">
        <v>93</v>
      </c>
      <c r="E414" s="82" t="s">
        <v>70</v>
      </c>
      <c r="F414" s="25">
        <v>1493.4</v>
      </c>
      <c r="G414" s="25">
        <v>1493.4</v>
      </c>
      <c r="H414" s="25">
        <v>1493.4</v>
      </c>
    </row>
    <row r="415" spans="1:8" s="237" customFormat="1" ht="76.5" x14ac:dyDescent="0.2">
      <c r="A415" s="18" t="s">
        <v>456</v>
      </c>
      <c r="B415" s="19" t="s">
        <v>51</v>
      </c>
      <c r="C415" s="19" t="s">
        <v>16</v>
      </c>
      <c r="D415" s="19" t="s">
        <v>94</v>
      </c>
      <c r="E415" s="19"/>
      <c r="F415" s="62">
        <v>8604</v>
      </c>
      <c r="G415" s="62">
        <v>8604</v>
      </c>
      <c r="H415" s="62">
        <v>8604</v>
      </c>
    </row>
    <row r="416" spans="1:8" s="237" customFormat="1" ht="25.5" x14ac:dyDescent="0.2">
      <c r="A416" s="28" t="s">
        <v>76</v>
      </c>
      <c r="B416" s="24" t="s">
        <v>51</v>
      </c>
      <c r="C416" s="24" t="s">
        <v>16</v>
      </c>
      <c r="D416" s="24" t="s">
        <v>94</v>
      </c>
      <c r="E416" s="27" t="s">
        <v>68</v>
      </c>
      <c r="F416" s="25">
        <v>107.3</v>
      </c>
      <c r="G416" s="25">
        <v>107.3</v>
      </c>
      <c r="H416" s="25">
        <v>107.3</v>
      </c>
    </row>
    <row r="417" spans="1:8" s="79" customFormat="1" x14ac:dyDescent="0.2">
      <c r="A417" s="87" t="s">
        <v>69</v>
      </c>
      <c r="B417" s="82" t="s">
        <v>51</v>
      </c>
      <c r="C417" s="82" t="s">
        <v>16</v>
      </c>
      <c r="D417" s="82" t="s">
        <v>94</v>
      </c>
      <c r="E417" s="82" t="s">
        <v>70</v>
      </c>
      <c r="F417" s="25">
        <v>8496.7000000000007</v>
      </c>
      <c r="G417" s="25">
        <v>8496.7000000000007</v>
      </c>
      <c r="H417" s="25">
        <v>8496.7000000000007</v>
      </c>
    </row>
    <row r="418" spans="1:8" s="237" customFormat="1" ht="51" x14ac:dyDescent="0.2">
      <c r="A418" s="18" t="s">
        <v>182</v>
      </c>
      <c r="B418" s="19" t="s">
        <v>51</v>
      </c>
      <c r="C418" s="19" t="s">
        <v>16</v>
      </c>
      <c r="D418" s="19" t="s">
        <v>95</v>
      </c>
      <c r="E418" s="19"/>
      <c r="F418" s="20">
        <v>527.6</v>
      </c>
      <c r="G418" s="20">
        <v>502.59999999999997</v>
      </c>
      <c r="H418" s="20">
        <v>502.59999999999997</v>
      </c>
    </row>
    <row r="419" spans="1:8" s="237" customFormat="1" ht="25.5" x14ac:dyDescent="0.2">
      <c r="A419" s="28" t="s">
        <v>76</v>
      </c>
      <c r="B419" s="24" t="s">
        <v>51</v>
      </c>
      <c r="C419" s="24" t="s">
        <v>16</v>
      </c>
      <c r="D419" s="24" t="s">
        <v>95</v>
      </c>
      <c r="E419" s="27" t="s">
        <v>68</v>
      </c>
      <c r="F419" s="25">
        <v>5.4</v>
      </c>
      <c r="G419" s="25">
        <v>4.9000000000000004</v>
      </c>
      <c r="H419" s="25">
        <v>4.9000000000000004</v>
      </c>
    </row>
    <row r="420" spans="1:8" s="79" customFormat="1" x14ac:dyDescent="0.2">
      <c r="A420" s="87" t="s">
        <v>69</v>
      </c>
      <c r="B420" s="82" t="s">
        <v>51</v>
      </c>
      <c r="C420" s="82" t="s">
        <v>16</v>
      </c>
      <c r="D420" s="82" t="s">
        <v>95</v>
      </c>
      <c r="E420" s="82" t="s">
        <v>70</v>
      </c>
      <c r="F420" s="25">
        <v>522.20000000000005</v>
      </c>
      <c r="G420" s="25">
        <v>497.7</v>
      </c>
      <c r="H420" s="25">
        <v>497.7</v>
      </c>
    </row>
    <row r="421" spans="1:8" s="237" customFormat="1" ht="51" x14ac:dyDescent="0.2">
      <c r="A421" s="18" t="s">
        <v>333</v>
      </c>
      <c r="B421" s="19" t="s">
        <v>51</v>
      </c>
      <c r="C421" s="19" t="s">
        <v>16</v>
      </c>
      <c r="D421" s="19" t="s">
        <v>111</v>
      </c>
      <c r="E421" s="19"/>
      <c r="F421" s="20">
        <v>9.9</v>
      </c>
      <c r="G421" s="20">
        <v>9.9</v>
      </c>
      <c r="H421" s="20">
        <v>9.9</v>
      </c>
    </row>
    <row r="422" spans="1:8" s="237" customFormat="1" ht="25.5" x14ac:dyDescent="0.2">
      <c r="A422" s="28" t="s">
        <v>76</v>
      </c>
      <c r="B422" s="24" t="s">
        <v>51</v>
      </c>
      <c r="C422" s="24" t="s">
        <v>16</v>
      </c>
      <c r="D422" s="24" t="s">
        <v>111</v>
      </c>
      <c r="E422" s="27" t="s">
        <v>68</v>
      </c>
      <c r="F422" s="25">
        <v>0.1</v>
      </c>
      <c r="G422" s="25">
        <v>0.1</v>
      </c>
      <c r="H422" s="25">
        <v>0.1</v>
      </c>
    </row>
    <row r="423" spans="1:8" s="237" customFormat="1" x14ac:dyDescent="0.2">
      <c r="A423" s="28" t="s">
        <v>69</v>
      </c>
      <c r="B423" s="24" t="s">
        <v>51</v>
      </c>
      <c r="C423" s="24" t="s">
        <v>16</v>
      </c>
      <c r="D423" s="24" t="s">
        <v>111</v>
      </c>
      <c r="E423" s="24" t="s">
        <v>70</v>
      </c>
      <c r="F423" s="25">
        <v>9.8000000000000007</v>
      </c>
      <c r="G423" s="25">
        <v>9.8000000000000007</v>
      </c>
      <c r="H423" s="25">
        <v>9.8000000000000007</v>
      </c>
    </row>
    <row r="424" spans="1:8" s="237" customFormat="1" ht="51" x14ac:dyDescent="0.2">
      <c r="A424" s="18" t="s">
        <v>183</v>
      </c>
      <c r="B424" s="19" t="s">
        <v>51</v>
      </c>
      <c r="C424" s="19" t="s">
        <v>16</v>
      </c>
      <c r="D424" s="19" t="s">
        <v>96</v>
      </c>
      <c r="E424" s="19"/>
      <c r="F424" s="20">
        <v>409.9</v>
      </c>
      <c r="G424" s="20">
        <v>409.9</v>
      </c>
      <c r="H424" s="20">
        <v>409.9</v>
      </c>
    </row>
    <row r="425" spans="1:8" s="237" customFormat="1" ht="25.5" x14ac:dyDescent="0.2">
      <c r="A425" s="28" t="s">
        <v>76</v>
      </c>
      <c r="B425" s="24" t="s">
        <v>51</v>
      </c>
      <c r="C425" s="24" t="s">
        <v>16</v>
      </c>
      <c r="D425" s="24" t="s">
        <v>96</v>
      </c>
      <c r="E425" s="27" t="s">
        <v>68</v>
      </c>
      <c r="F425" s="25">
        <v>5.5</v>
      </c>
      <c r="G425" s="25">
        <v>5.5</v>
      </c>
      <c r="H425" s="25">
        <v>5.5</v>
      </c>
    </row>
    <row r="426" spans="1:8" s="79" customFormat="1" x14ac:dyDescent="0.2">
      <c r="A426" s="87" t="s">
        <v>69</v>
      </c>
      <c r="B426" s="82" t="s">
        <v>51</v>
      </c>
      <c r="C426" s="82" t="s">
        <v>16</v>
      </c>
      <c r="D426" s="82" t="s">
        <v>96</v>
      </c>
      <c r="E426" s="82" t="s">
        <v>70</v>
      </c>
      <c r="F426" s="25">
        <v>404.4</v>
      </c>
      <c r="G426" s="25">
        <v>404.4</v>
      </c>
      <c r="H426" s="25">
        <v>404.4</v>
      </c>
    </row>
    <row r="427" spans="1:8" s="237" customFormat="1" ht="25.5" x14ac:dyDescent="0.2">
      <c r="A427" s="18" t="s">
        <v>272</v>
      </c>
      <c r="B427" s="19" t="s">
        <v>51</v>
      </c>
      <c r="C427" s="19" t="s">
        <v>16</v>
      </c>
      <c r="D427" s="19" t="s">
        <v>106</v>
      </c>
      <c r="E427" s="19"/>
      <c r="F427" s="20">
        <v>94204</v>
      </c>
      <c r="G427" s="20">
        <v>94204</v>
      </c>
      <c r="H427" s="20">
        <v>94204</v>
      </c>
    </row>
    <row r="428" spans="1:8" s="237" customFormat="1" ht="25.5" x14ac:dyDescent="0.2">
      <c r="A428" s="28" t="s">
        <v>76</v>
      </c>
      <c r="B428" s="24" t="s">
        <v>51</v>
      </c>
      <c r="C428" s="24" t="s">
        <v>16</v>
      </c>
      <c r="D428" s="24" t="s">
        <v>106</v>
      </c>
      <c r="E428" s="27" t="s">
        <v>68</v>
      </c>
      <c r="F428" s="25">
        <v>545</v>
      </c>
      <c r="G428" s="25">
        <v>545</v>
      </c>
      <c r="H428" s="25">
        <v>545</v>
      </c>
    </row>
    <row r="429" spans="1:8" s="79" customFormat="1" x14ac:dyDescent="0.2">
      <c r="A429" s="87" t="s">
        <v>69</v>
      </c>
      <c r="B429" s="82" t="s">
        <v>51</v>
      </c>
      <c r="C429" s="82" t="s">
        <v>16</v>
      </c>
      <c r="D429" s="82" t="s">
        <v>106</v>
      </c>
      <c r="E429" s="82" t="s">
        <v>70</v>
      </c>
      <c r="F429" s="25">
        <v>93659</v>
      </c>
      <c r="G429" s="25">
        <v>93659</v>
      </c>
      <c r="H429" s="25">
        <v>93659</v>
      </c>
    </row>
    <row r="430" spans="1:8" s="237" customFormat="1" ht="114.75" x14ac:dyDescent="0.2">
      <c r="A430" s="18" t="s">
        <v>334</v>
      </c>
      <c r="B430" s="19" t="s">
        <v>51</v>
      </c>
      <c r="C430" s="19" t="s">
        <v>16</v>
      </c>
      <c r="D430" s="19" t="s">
        <v>112</v>
      </c>
      <c r="E430" s="19"/>
      <c r="F430" s="20">
        <v>1.2</v>
      </c>
      <c r="G430" s="20">
        <v>1.2</v>
      </c>
      <c r="H430" s="20">
        <v>1.2</v>
      </c>
    </row>
    <row r="431" spans="1:8" s="237" customFormat="1" x14ac:dyDescent="0.2">
      <c r="A431" s="59" t="s">
        <v>69</v>
      </c>
      <c r="B431" s="24" t="s">
        <v>51</v>
      </c>
      <c r="C431" s="24" t="s">
        <v>16</v>
      </c>
      <c r="D431" s="24" t="s">
        <v>112</v>
      </c>
      <c r="E431" s="24" t="s">
        <v>70</v>
      </c>
      <c r="F431" s="25">
        <v>1.2</v>
      </c>
      <c r="G431" s="25">
        <v>1.2</v>
      </c>
      <c r="H431" s="25">
        <v>1.2</v>
      </c>
    </row>
    <row r="432" spans="1:8" s="79" customFormat="1" ht="38.25" x14ac:dyDescent="0.2">
      <c r="A432" s="75" t="s">
        <v>335</v>
      </c>
      <c r="B432" s="77" t="s">
        <v>51</v>
      </c>
      <c r="C432" s="77" t="s">
        <v>16</v>
      </c>
      <c r="D432" s="77" t="s">
        <v>115</v>
      </c>
      <c r="E432" s="77"/>
      <c r="F432" s="78">
        <v>19480</v>
      </c>
      <c r="G432" s="78">
        <v>19730</v>
      </c>
      <c r="H432" s="78">
        <v>19730</v>
      </c>
    </row>
    <row r="433" spans="1:9" ht="25.5" x14ac:dyDescent="0.2">
      <c r="A433" s="28" t="s">
        <v>76</v>
      </c>
      <c r="B433" s="24" t="s">
        <v>51</v>
      </c>
      <c r="C433" s="24" t="s">
        <v>16</v>
      </c>
      <c r="D433" s="24" t="s">
        <v>115</v>
      </c>
      <c r="E433" s="27" t="s">
        <v>68</v>
      </c>
      <c r="F433" s="25">
        <v>287</v>
      </c>
      <c r="G433" s="25">
        <v>287</v>
      </c>
      <c r="H433" s="25">
        <v>287</v>
      </c>
      <c r="I433" s="25">
        <f>'изменения июль вед стр-ра'!J481</f>
        <v>0</v>
      </c>
    </row>
    <row r="434" spans="1:9" s="79" customFormat="1" x14ac:dyDescent="0.2">
      <c r="A434" s="87" t="s">
        <v>69</v>
      </c>
      <c r="B434" s="82" t="s">
        <v>51</v>
      </c>
      <c r="C434" s="82" t="s">
        <v>16</v>
      </c>
      <c r="D434" s="82" t="s">
        <v>115</v>
      </c>
      <c r="E434" s="82" t="s">
        <v>70</v>
      </c>
      <c r="F434" s="25">
        <v>19193</v>
      </c>
      <c r="G434" s="25">
        <v>19443</v>
      </c>
      <c r="H434" s="25">
        <v>19443</v>
      </c>
      <c r="I434" s="25">
        <f>'изменения июль вед стр-ра'!J482</f>
        <v>0</v>
      </c>
    </row>
    <row r="435" spans="1:9" ht="51" x14ac:dyDescent="0.2">
      <c r="A435" s="18" t="s">
        <v>275</v>
      </c>
      <c r="B435" s="19" t="s">
        <v>51</v>
      </c>
      <c r="C435" s="19" t="s">
        <v>16</v>
      </c>
      <c r="D435" s="19" t="s">
        <v>110</v>
      </c>
      <c r="E435" s="19"/>
      <c r="F435" s="20">
        <v>86</v>
      </c>
      <c r="G435" s="20">
        <v>86</v>
      </c>
      <c r="H435" s="20">
        <v>86</v>
      </c>
      <c r="I435" s="237"/>
    </row>
    <row r="436" spans="1:9" ht="25.5" x14ac:dyDescent="0.2">
      <c r="A436" s="28" t="s">
        <v>76</v>
      </c>
      <c r="B436" s="24" t="s">
        <v>51</v>
      </c>
      <c r="C436" s="24" t="s">
        <v>16</v>
      </c>
      <c r="D436" s="24" t="s">
        <v>110</v>
      </c>
      <c r="E436" s="27" t="s">
        <v>68</v>
      </c>
      <c r="F436" s="25">
        <v>1.3</v>
      </c>
      <c r="G436" s="25">
        <v>1.3</v>
      </c>
      <c r="H436" s="25">
        <v>1.3</v>
      </c>
      <c r="I436" s="237"/>
    </row>
    <row r="437" spans="1:9" x14ac:dyDescent="0.2">
      <c r="A437" s="28" t="s">
        <v>69</v>
      </c>
      <c r="B437" s="24" t="s">
        <v>51</v>
      </c>
      <c r="C437" s="24" t="s">
        <v>16</v>
      </c>
      <c r="D437" s="24" t="s">
        <v>110</v>
      </c>
      <c r="E437" s="24" t="s">
        <v>70</v>
      </c>
      <c r="F437" s="25">
        <v>84.7</v>
      </c>
      <c r="G437" s="25">
        <v>84.7</v>
      </c>
      <c r="H437" s="25">
        <v>84.7</v>
      </c>
      <c r="I437" s="237"/>
    </row>
    <row r="438" spans="1:9" ht="63.75" x14ac:dyDescent="0.2">
      <c r="A438" s="18" t="s">
        <v>342</v>
      </c>
      <c r="B438" s="19" t="s">
        <v>51</v>
      </c>
      <c r="C438" s="19" t="s">
        <v>16</v>
      </c>
      <c r="D438" s="19" t="s">
        <v>113</v>
      </c>
      <c r="E438" s="19"/>
      <c r="F438" s="20">
        <v>1133</v>
      </c>
      <c r="G438" s="20">
        <v>1153</v>
      </c>
      <c r="H438" s="20">
        <v>1153</v>
      </c>
      <c r="I438" s="237"/>
    </row>
    <row r="439" spans="1:9" ht="25.5" x14ac:dyDescent="0.2">
      <c r="A439" s="28" t="s">
        <v>76</v>
      </c>
      <c r="B439" s="24" t="s">
        <v>51</v>
      </c>
      <c r="C439" s="24" t="s">
        <v>16</v>
      </c>
      <c r="D439" s="24" t="s">
        <v>113</v>
      </c>
      <c r="E439" s="27" t="s">
        <v>68</v>
      </c>
      <c r="F439" s="25">
        <v>6.5</v>
      </c>
      <c r="G439" s="25">
        <v>6.5</v>
      </c>
      <c r="H439" s="25">
        <v>6.5</v>
      </c>
      <c r="I439" s="237"/>
    </row>
    <row r="440" spans="1:9" x14ac:dyDescent="0.2">
      <c r="A440" s="28" t="s">
        <v>69</v>
      </c>
      <c r="B440" s="24" t="s">
        <v>51</v>
      </c>
      <c r="C440" s="24" t="s">
        <v>16</v>
      </c>
      <c r="D440" s="24" t="s">
        <v>113</v>
      </c>
      <c r="E440" s="24" t="s">
        <v>70</v>
      </c>
      <c r="F440" s="25">
        <v>1126.5</v>
      </c>
      <c r="G440" s="25">
        <v>1146.5</v>
      </c>
      <c r="H440" s="25">
        <v>1146.5</v>
      </c>
      <c r="I440" s="237"/>
    </row>
    <row r="441" spans="1:9" s="79" customFormat="1" ht="38.25" x14ac:dyDescent="0.2">
      <c r="A441" s="75" t="s">
        <v>276</v>
      </c>
      <c r="B441" s="77" t="s">
        <v>51</v>
      </c>
      <c r="C441" s="77" t="s">
        <v>16</v>
      </c>
      <c r="D441" s="77" t="s">
        <v>114</v>
      </c>
      <c r="E441" s="77"/>
      <c r="F441" s="78">
        <v>411.00000000000006</v>
      </c>
      <c r="G441" s="78">
        <v>392</v>
      </c>
      <c r="H441" s="78">
        <v>392</v>
      </c>
    </row>
    <row r="442" spans="1:9" s="79" customFormat="1" ht="25.5" x14ac:dyDescent="0.2">
      <c r="A442" s="87" t="s">
        <v>76</v>
      </c>
      <c r="B442" s="82" t="s">
        <v>51</v>
      </c>
      <c r="C442" s="82" t="s">
        <v>16</v>
      </c>
      <c r="D442" s="82" t="s">
        <v>114</v>
      </c>
      <c r="E442" s="83" t="s">
        <v>68</v>
      </c>
      <c r="F442" s="62">
        <v>7.8000000000000007</v>
      </c>
      <c r="G442" s="62">
        <v>7.4</v>
      </c>
      <c r="H442" s="62">
        <v>7.4</v>
      </c>
    </row>
    <row r="443" spans="1:9" s="79" customFormat="1" x14ac:dyDescent="0.2">
      <c r="A443" s="87" t="s">
        <v>69</v>
      </c>
      <c r="B443" s="82" t="s">
        <v>51</v>
      </c>
      <c r="C443" s="82" t="s">
        <v>16</v>
      </c>
      <c r="D443" s="82" t="s">
        <v>114</v>
      </c>
      <c r="E443" s="82" t="s">
        <v>70</v>
      </c>
      <c r="F443" s="62">
        <v>403.20000000000005</v>
      </c>
      <c r="G443" s="62">
        <v>384.6</v>
      </c>
      <c r="H443" s="62">
        <v>384.6</v>
      </c>
    </row>
    <row r="444" spans="1:9" ht="89.25" x14ac:dyDescent="0.2">
      <c r="A444" s="18" t="s">
        <v>457</v>
      </c>
      <c r="B444" s="19" t="s">
        <v>51</v>
      </c>
      <c r="C444" s="19" t="s">
        <v>16</v>
      </c>
      <c r="D444" s="19" t="s">
        <v>116</v>
      </c>
      <c r="E444" s="19"/>
      <c r="F444" s="20">
        <v>99211</v>
      </c>
      <c r="G444" s="20">
        <v>99211</v>
      </c>
      <c r="H444" s="20">
        <v>99211</v>
      </c>
      <c r="I444" s="237"/>
    </row>
    <row r="445" spans="1:9" ht="25.5" x14ac:dyDescent="0.2">
      <c r="A445" s="28" t="s">
        <v>76</v>
      </c>
      <c r="B445" s="24" t="s">
        <v>51</v>
      </c>
      <c r="C445" s="24" t="s">
        <v>16</v>
      </c>
      <c r="D445" s="24" t="s">
        <v>116</v>
      </c>
      <c r="E445" s="27" t="s">
        <v>68</v>
      </c>
      <c r="F445" s="25">
        <v>931</v>
      </c>
      <c r="G445" s="25">
        <v>931</v>
      </c>
      <c r="H445" s="25">
        <v>931</v>
      </c>
      <c r="I445" s="237"/>
    </row>
    <row r="446" spans="1:9" s="79" customFormat="1" x14ac:dyDescent="0.2">
      <c r="A446" s="87" t="s">
        <v>69</v>
      </c>
      <c r="B446" s="82" t="s">
        <v>51</v>
      </c>
      <c r="C446" s="82" t="s">
        <v>16</v>
      </c>
      <c r="D446" s="82" t="s">
        <v>116</v>
      </c>
      <c r="E446" s="82" t="s">
        <v>70</v>
      </c>
      <c r="F446" s="25">
        <v>98280</v>
      </c>
      <c r="G446" s="25">
        <v>98280</v>
      </c>
      <c r="H446" s="25">
        <v>98280</v>
      </c>
    </row>
    <row r="447" spans="1:9" s="79" customFormat="1" ht="56.25" customHeight="1" x14ac:dyDescent="0.2">
      <c r="A447" s="75" t="s">
        <v>452</v>
      </c>
      <c r="B447" s="77" t="s">
        <v>51</v>
      </c>
      <c r="C447" s="77" t="s">
        <v>16</v>
      </c>
      <c r="D447" s="77" t="s">
        <v>91</v>
      </c>
      <c r="E447" s="77"/>
      <c r="F447" s="78">
        <v>1455</v>
      </c>
      <c r="G447" s="78">
        <v>1656</v>
      </c>
      <c r="H447" s="78">
        <v>1656</v>
      </c>
    </row>
    <row r="448" spans="1:9" s="79" customFormat="1" ht="25.5" x14ac:dyDescent="0.2">
      <c r="A448" s="87" t="s">
        <v>76</v>
      </c>
      <c r="B448" s="82" t="s">
        <v>51</v>
      </c>
      <c r="C448" s="82" t="s">
        <v>16</v>
      </c>
      <c r="D448" s="82" t="s">
        <v>91</v>
      </c>
      <c r="E448" s="83" t="s">
        <v>68</v>
      </c>
      <c r="F448" s="62">
        <v>25</v>
      </c>
      <c r="G448" s="62">
        <v>25</v>
      </c>
      <c r="H448" s="62">
        <v>25</v>
      </c>
    </row>
    <row r="449" spans="1:8" s="79" customFormat="1" x14ac:dyDescent="0.2">
      <c r="A449" s="87" t="s">
        <v>69</v>
      </c>
      <c r="B449" s="82" t="s">
        <v>51</v>
      </c>
      <c r="C449" s="82" t="s">
        <v>16</v>
      </c>
      <c r="D449" s="82" t="s">
        <v>91</v>
      </c>
      <c r="E449" s="82" t="s">
        <v>70</v>
      </c>
      <c r="F449" s="62">
        <v>1163.4000000000001</v>
      </c>
      <c r="G449" s="62">
        <v>1364.4</v>
      </c>
      <c r="H449" s="62">
        <v>1364.4</v>
      </c>
    </row>
    <row r="450" spans="1:8" s="79" customFormat="1" x14ac:dyDescent="0.2">
      <c r="A450" s="87" t="s">
        <v>72</v>
      </c>
      <c r="B450" s="82" t="s">
        <v>51</v>
      </c>
      <c r="C450" s="82" t="s">
        <v>16</v>
      </c>
      <c r="D450" s="82" t="s">
        <v>91</v>
      </c>
      <c r="E450" s="82" t="s">
        <v>73</v>
      </c>
      <c r="F450" s="62">
        <v>266.60000000000002</v>
      </c>
      <c r="G450" s="62">
        <v>266.60000000000002</v>
      </c>
      <c r="H450" s="62">
        <v>266.60000000000002</v>
      </c>
    </row>
    <row r="451" spans="1:8" s="79" customFormat="1" x14ac:dyDescent="0.2">
      <c r="A451" s="70" t="s">
        <v>56</v>
      </c>
      <c r="B451" s="72" t="s">
        <v>51</v>
      </c>
      <c r="C451" s="72" t="s">
        <v>18</v>
      </c>
      <c r="D451" s="72"/>
      <c r="E451" s="72"/>
      <c r="F451" s="73">
        <v>275327.80000000005</v>
      </c>
      <c r="G451" s="73">
        <v>235602.60000000003</v>
      </c>
      <c r="H451" s="73">
        <v>237498.50000000003</v>
      </c>
    </row>
    <row r="452" spans="1:8" s="237" customFormat="1" ht="38.25" x14ac:dyDescent="0.2">
      <c r="A452" s="54" t="s">
        <v>434</v>
      </c>
      <c r="B452" s="19" t="s">
        <v>51</v>
      </c>
      <c r="C452" s="19" t="s">
        <v>18</v>
      </c>
      <c r="D452" s="19" t="s">
        <v>430</v>
      </c>
      <c r="E452" s="19"/>
      <c r="F452" s="20">
        <v>40930</v>
      </c>
      <c r="G452" s="20">
        <v>7239</v>
      </c>
      <c r="H452" s="20">
        <v>7528</v>
      </c>
    </row>
    <row r="453" spans="1:8" s="237" customFormat="1" x14ac:dyDescent="0.2">
      <c r="A453" s="28" t="s">
        <v>69</v>
      </c>
      <c r="B453" s="24" t="s">
        <v>51</v>
      </c>
      <c r="C453" s="24" t="s">
        <v>18</v>
      </c>
      <c r="D453" s="19" t="s">
        <v>430</v>
      </c>
      <c r="E453" s="24" t="s">
        <v>70</v>
      </c>
      <c r="F453" s="25">
        <v>40930</v>
      </c>
      <c r="G453" s="25">
        <v>7239</v>
      </c>
      <c r="H453" s="25">
        <v>7528</v>
      </c>
    </row>
    <row r="454" spans="1:8" s="79" customFormat="1" ht="25.5" x14ac:dyDescent="0.2">
      <c r="A454" s="75" t="s">
        <v>437</v>
      </c>
      <c r="B454" s="77" t="s">
        <v>51</v>
      </c>
      <c r="C454" s="77" t="s">
        <v>18</v>
      </c>
      <c r="D454" s="77" t="s">
        <v>431</v>
      </c>
      <c r="E454" s="77"/>
      <c r="F454" s="78">
        <v>19745</v>
      </c>
      <c r="G454" s="78">
        <v>33866</v>
      </c>
      <c r="H454" s="78">
        <v>35170</v>
      </c>
    </row>
    <row r="455" spans="1:8" s="84" customFormat="1" ht="25.5" x14ac:dyDescent="0.2">
      <c r="A455" s="87" t="s">
        <v>76</v>
      </c>
      <c r="B455" s="82" t="s">
        <v>51</v>
      </c>
      <c r="C455" s="82" t="s">
        <v>18</v>
      </c>
      <c r="D455" s="82" t="s">
        <v>431</v>
      </c>
      <c r="E455" s="82" t="s">
        <v>68</v>
      </c>
      <c r="F455" s="62">
        <v>0</v>
      </c>
      <c r="G455" s="62">
        <v>169.3</v>
      </c>
      <c r="H455" s="62">
        <v>175.9</v>
      </c>
    </row>
    <row r="456" spans="1:8" s="84" customFormat="1" x14ac:dyDescent="0.2">
      <c r="A456" s="87" t="s">
        <v>69</v>
      </c>
      <c r="B456" s="82" t="s">
        <v>51</v>
      </c>
      <c r="C456" s="82" t="s">
        <v>18</v>
      </c>
      <c r="D456" s="82" t="s">
        <v>431</v>
      </c>
      <c r="E456" s="82" t="s">
        <v>70</v>
      </c>
      <c r="F456" s="62">
        <v>19745</v>
      </c>
      <c r="G456" s="62">
        <v>33696.699999999997</v>
      </c>
      <c r="H456" s="62">
        <v>34994.1</v>
      </c>
    </row>
    <row r="457" spans="1:8" s="237" customFormat="1" ht="38.25" x14ac:dyDescent="0.2">
      <c r="A457" s="18" t="s">
        <v>217</v>
      </c>
      <c r="B457" s="19" t="s">
        <v>51</v>
      </c>
      <c r="C457" s="16" t="s">
        <v>18</v>
      </c>
      <c r="D457" s="19" t="s">
        <v>133</v>
      </c>
      <c r="E457" s="19"/>
      <c r="F457" s="20">
        <v>24881.1</v>
      </c>
      <c r="G457" s="20">
        <v>25876.2</v>
      </c>
      <c r="H457" s="20">
        <v>25876.2</v>
      </c>
    </row>
    <row r="458" spans="1:8" s="237" customFormat="1" ht="25.5" x14ac:dyDescent="0.2">
      <c r="A458" s="28" t="s">
        <v>83</v>
      </c>
      <c r="B458" s="24" t="s">
        <v>51</v>
      </c>
      <c r="C458" s="24" t="s">
        <v>18</v>
      </c>
      <c r="D458" s="19" t="s">
        <v>133</v>
      </c>
      <c r="E458" s="24" t="s">
        <v>71</v>
      </c>
      <c r="F458" s="25">
        <v>24881.1</v>
      </c>
      <c r="G458" s="25">
        <v>25876.2</v>
      </c>
      <c r="H458" s="25">
        <v>25876.2</v>
      </c>
    </row>
    <row r="459" spans="1:8" s="237" customFormat="1" ht="38.25" x14ac:dyDescent="0.2">
      <c r="A459" s="18" t="s">
        <v>217</v>
      </c>
      <c r="B459" s="19" t="s">
        <v>51</v>
      </c>
      <c r="C459" s="16" t="s">
        <v>18</v>
      </c>
      <c r="D459" s="19" t="s">
        <v>353</v>
      </c>
      <c r="E459" s="19"/>
      <c r="F459" s="20">
        <v>58079.3</v>
      </c>
      <c r="G459" s="20">
        <v>31948</v>
      </c>
      <c r="H459" s="20">
        <v>31948</v>
      </c>
    </row>
    <row r="460" spans="1:8" s="79" customFormat="1" ht="25.5" x14ac:dyDescent="0.2">
      <c r="A460" s="87" t="s">
        <v>83</v>
      </c>
      <c r="B460" s="82" t="s">
        <v>51</v>
      </c>
      <c r="C460" s="82" t="s">
        <v>18</v>
      </c>
      <c r="D460" s="77" t="s">
        <v>353</v>
      </c>
      <c r="E460" s="82" t="s">
        <v>71</v>
      </c>
      <c r="F460" s="62">
        <v>58079.3</v>
      </c>
      <c r="G460" s="62">
        <v>31948</v>
      </c>
      <c r="H460" s="62">
        <v>31948</v>
      </c>
    </row>
    <row r="461" spans="1:8" s="237" customFormat="1" ht="25.5" x14ac:dyDescent="0.2">
      <c r="A461" s="18" t="s">
        <v>253</v>
      </c>
      <c r="B461" s="19" t="s">
        <v>51</v>
      </c>
      <c r="C461" s="19" t="s">
        <v>18</v>
      </c>
      <c r="D461" s="19" t="s">
        <v>130</v>
      </c>
      <c r="E461" s="19"/>
      <c r="F461" s="20">
        <v>1288</v>
      </c>
      <c r="G461" s="20">
        <v>1000</v>
      </c>
      <c r="H461" s="20">
        <v>1300</v>
      </c>
    </row>
    <row r="462" spans="1:8" s="237" customFormat="1" x14ac:dyDescent="0.2">
      <c r="A462" s="28" t="s">
        <v>69</v>
      </c>
      <c r="B462" s="24" t="s">
        <v>51</v>
      </c>
      <c r="C462" s="24" t="s">
        <v>18</v>
      </c>
      <c r="D462" s="24" t="s">
        <v>130</v>
      </c>
      <c r="E462" s="24" t="s">
        <v>70</v>
      </c>
      <c r="F462" s="25">
        <v>1288</v>
      </c>
      <c r="G462" s="25">
        <v>1000</v>
      </c>
      <c r="H462" s="25">
        <v>1300</v>
      </c>
    </row>
    <row r="463" spans="1:8" s="79" customFormat="1" ht="38.25" x14ac:dyDescent="0.2">
      <c r="A463" s="75" t="s">
        <v>254</v>
      </c>
      <c r="B463" s="77" t="s">
        <v>51</v>
      </c>
      <c r="C463" s="77" t="s">
        <v>18</v>
      </c>
      <c r="D463" s="77" t="s">
        <v>128</v>
      </c>
      <c r="E463" s="77"/>
      <c r="F463" s="78">
        <v>3000.0000000000005</v>
      </c>
      <c r="G463" s="78">
        <v>3754</v>
      </c>
      <c r="H463" s="78">
        <v>3754</v>
      </c>
    </row>
    <row r="464" spans="1:8" s="79" customFormat="1" ht="25.5" x14ac:dyDescent="0.2">
      <c r="A464" s="87" t="s">
        <v>76</v>
      </c>
      <c r="B464" s="82" t="s">
        <v>51</v>
      </c>
      <c r="C464" s="82" t="s">
        <v>18</v>
      </c>
      <c r="D464" s="82" t="s">
        <v>128</v>
      </c>
      <c r="E464" s="83" t="s">
        <v>68</v>
      </c>
      <c r="F464" s="62">
        <v>1.3</v>
      </c>
      <c r="G464" s="62">
        <v>4.2</v>
      </c>
      <c r="H464" s="62">
        <v>4.2</v>
      </c>
    </row>
    <row r="465" spans="1:8" s="79" customFormat="1" x14ac:dyDescent="0.2">
      <c r="A465" s="104" t="s">
        <v>69</v>
      </c>
      <c r="B465" s="82" t="s">
        <v>51</v>
      </c>
      <c r="C465" s="82" t="s">
        <v>18</v>
      </c>
      <c r="D465" s="82" t="s">
        <v>128</v>
      </c>
      <c r="E465" s="105">
        <v>300</v>
      </c>
      <c r="F465" s="62">
        <v>271.10000000000002</v>
      </c>
      <c r="G465" s="62">
        <v>419</v>
      </c>
      <c r="H465" s="62">
        <v>419</v>
      </c>
    </row>
    <row r="466" spans="1:8" s="79" customFormat="1" ht="25.5" x14ac:dyDescent="0.2">
      <c r="A466" s="87" t="s">
        <v>141</v>
      </c>
      <c r="B466" s="82" t="s">
        <v>51</v>
      </c>
      <c r="C466" s="82" t="s">
        <v>18</v>
      </c>
      <c r="D466" s="82" t="s">
        <v>128</v>
      </c>
      <c r="E466" s="82" t="s">
        <v>65</v>
      </c>
      <c r="F466" s="62">
        <v>2727.6000000000004</v>
      </c>
      <c r="G466" s="62">
        <v>3330.8</v>
      </c>
      <c r="H466" s="62">
        <v>3330.8</v>
      </c>
    </row>
    <row r="467" spans="1:8" s="237" customFormat="1" ht="29.25" customHeight="1" x14ac:dyDescent="0.2">
      <c r="A467" s="60" t="s">
        <v>448</v>
      </c>
      <c r="B467" s="19" t="s">
        <v>51</v>
      </c>
      <c r="C467" s="19" t="s">
        <v>18</v>
      </c>
      <c r="D467" s="19" t="s">
        <v>447</v>
      </c>
      <c r="E467" s="19"/>
      <c r="F467" s="20">
        <v>0</v>
      </c>
      <c r="G467" s="20">
        <v>5</v>
      </c>
      <c r="H467" s="20">
        <v>0</v>
      </c>
    </row>
    <row r="468" spans="1:8" s="26" customFormat="1" x14ac:dyDescent="0.2">
      <c r="A468" s="28" t="s">
        <v>69</v>
      </c>
      <c r="B468" s="24" t="s">
        <v>51</v>
      </c>
      <c r="C468" s="24" t="s">
        <v>18</v>
      </c>
      <c r="D468" s="24" t="s">
        <v>447</v>
      </c>
      <c r="E468" s="24" t="s">
        <v>70</v>
      </c>
      <c r="F468" s="25">
        <v>0</v>
      </c>
      <c r="G468" s="25">
        <v>5</v>
      </c>
      <c r="H468" s="25">
        <v>0</v>
      </c>
    </row>
    <row r="469" spans="1:8" s="237" customFormat="1" ht="114.75" x14ac:dyDescent="0.2">
      <c r="A469" s="60" t="s">
        <v>453</v>
      </c>
      <c r="B469" s="19" t="s">
        <v>51</v>
      </c>
      <c r="C469" s="19" t="s">
        <v>18</v>
      </c>
      <c r="D469" s="19" t="s">
        <v>129</v>
      </c>
      <c r="E469" s="19"/>
      <c r="F469" s="20">
        <v>38467</v>
      </c>
      <c r="G469" s="20">
        <v>38467</v>
      </c>
      <c r="H469" s="20">
        <v>38467</v>
      </c>
    </row>
    <row r="470" spans="1:8" s="237" customFormat="1" x14ac:dyDescent="0.2">
      <c r="A470" s="28" t="s">
        <v>69</v>
      </c>
      <c r="B470" s="24" t="s">
        <v>51</v>
      </c>
      <c r="C470" s="24" t="s">
        <v>18</v>
      </c>
      <c r="D470" s="24" t="s">
        <v>129</v>
      </c>
      <c r="E470" s="24" t="s">
        <v>70</v>
      </c>
      <c r="F470" s="25">
        <v>38467</v>
      </c>
      <c r="G470" s="25">
        <v>38467</v>
      </c>
      <c r="H470" s="25">
        <v>38467</v>
      </c>
    </row>
    <row r="471" spans="1:8" s="237" customFormat="1" ht="112.5" customHeight="1" x14ac:dyDescent="0.2">
      <c r="A471" s="60" t="s">
        <v>450</v>
      </c>
      <c r="B471" s="19" t="s">
        <v>51</v>
      </c>
      <c r="C471" s="19" t="s">
        <v>18</v>
      </c>
      <c r="D471" s="19" t="s">
        <v>449</v>
      </c>
      <c r="E471" s="19"/>
      <c r="F471" s="20">
        <v>250</v>
      </c>
      <c r="G471" s="20">
        <v>50</v>
      </c>
      <c r="H471" s="20">
        <v>50</v>
      </c>
    </row>
    <row r="472" spans="1:8" s="26" customFormat="1" x14ac:dyDescent="0.2">
      <c r="A472" s="28" t="s">
        <v>69</v>
      </c>
      <c r="B472" s="24" t="s">
        <v>51</v>
      </c>
      <c r="C472" s="24" t="s">
        <v>18</v>
      </c>
      <c r="D472" s="24" t="s">
        <v>449</v>
      </c>
      <c r="E472" s="24" t="s">
        <v>70</v>
      </c>
      <c r="F472" s="25">
        <v>250</v>
      </c>
      <c r="G472" s="25">
        <v>50</v>
      </c>
      <c r="H472" s="25">
        <v>50</v>
      </c>
    </row>
    <row r="473" spans="1:8" s="237" customFormat="1" ht="38.25" x14ac:dyDescent="0.2">
      <c r="A473" s="18" t="s">
        <v>424</v>
      </c>
      <c r="B473" s="19" t="s">
        <v>51</v>
      </c>
      <c r="C473" s="19" t="s">
        <v>18</v>
      </c>
      <c r="D473" s="19" t="s">
        <v>425</v>
      </c>
      <c r="E473" s="19"/>
      <c r="F473" s="20">
        <v>3643.2</v>
      </c>
      <c r="G473" s="20">
        <v>3643.2</v>
      </c>
      <c r="H473" s="20">
        <v>1399.0999999999997</v>
      </c>
    </row>
    <row r="474" spans="1:8" s="26" customFormat="1" ht="25.5" x14ac:dyDescent="0.2">
      <c r="A474" s="87" t="s">
        <v>141</v>
      </c>
      <c r="B474" s="24" t="s">
        <v>51</v>
      </c>
      <c r="C474" s="24" t="s">
        <v>18</v>
      </c>
      <c r="D474" s="24" t="s">
        <v>425</v>
      </c>
      <c r="E474" s="24" t="s">
        <v>65</v>
      </c>
      <c r="F474" s="25">
        <v>3643.2</v>
      </c>
      <c r="G474" s="25">
        <v>3643.2</v>
      </c>
      <c r="H474" s="25">
        <v>1399.0999999999997</v>
      </c>
    </row>
    <row r="475" spans="1:8" s="237" customFormat="1" ht="38.25" x14ac:dyDescent="0.2">
      <c r="A475" s="18" t="s">
        <v>423</v>
      </c>
      <c r="B475" s="19" t="s">
        <v>51</v>
      </c>
      <c r="C475" s="19" t="s">
        <v>18</v>
      </c>
      <c r="D475" s="19" t="s">
        <v>422</v>
      </c>
      <c r="E475" s="19"/>
      <c r="F475" s="20">
        <v>1445.2</v>
      </c>
      <c r="G475" s="20">
        <v>1445.2</v>
      </c>
      <c r="H475" s="20">
        <v>1445.2</v>
      </c>
    </row>
    <row r="476" spans="1:8" s="26" customFormat="1" ht="25.5" x14ac:dyDescent="0.2">
      <c r="A476" s="87" t="s">
        <v>76</v>
      </c>
      <c r="B476" s="24" t="s">
        <v>51</v>
      </c>
      <c r="C476" s="24" t="s">
        <v>18</v>
      </c>
      <c r="D476" s="24" t="s">
        <v>422</v>
      </c>
      <c r="E476" s="24" t="s">
        <v>68</v>
      </c>
      <c r="F476" s="25">
        <v>420</v>
      </c>
      <c r="G476" s="25">
        <v>420</v>
      </c>
      <c r="H476" s="25">
        <v>420</v>
      </c>
    </row>
    <row r="477" spans="1:8" s="26" customFormat="1" ht="25.5" x14ac:dyDescent="0.2">
      <c r="A477" s="87" t="s">
        <v>141</v>
      </c>
      <c r="B477" s="24" t="s">
        <v>51</v>
      </c>
      <c r="C477" s="24" t="s">
        <v>18</v>
      </c>
      <c r="D477" s="24" t="s">
        <v>422</v>
      </c>
      <c r="E477" s="24" t="s">
        <v>65</v>
      </c>
      <c r="F477" s="25">
        <v>1025.2</v>
      </c>
      <c r="G477" s="25">
        <v>1025.2</v>
      </c>
      <c r="H477" s="25">
        <v>1025.2</v>
      </c>
    </row>
    <row r="478" spans="1:8" s="237" customFormat="1" ht="76.5" x14ac:dyDescent="0.2">
      <c r="A478" s="18" t="s">
        <v>278</v>
      </c>
      <c r="B478" s="19" t="s">
        <v>51</v>
      </c>
      <c r="C478" s="19" t="s">
        <v>18</v>
      </c>
      <c r="D478" s="19" t="s">
        <v>101</v>
      </c>
      <c r="E478" s="19"/>
      <c r="F478" s="20">
        <v>749</v>
      </c>
      <c r="G478" s="20">
        <v>309</v>
      </c>
      <c r="H478" s="20">
        <v>321</v>
      </c>
    </row>
    <row r="479" spans="1:8" s="79" customFormat="1" x14ac:dyDescent="0.2">
      <c r="A479" s="87" t="s">
        <v>69</v>
      </c>
      <c r="B479" s="82" t="s">
        <v>51</v>
      </c>
      <c r="C479" s="82" t="s">
        <v>18</v>
      </c>
      <c r="D479" s="82" t="s">
        <v>101</v>
      </c>
      <c r="E479" s="82" t="s">
        <v>70</v>
      </c>
      <c r="F479" s="62">
        <v>749</v>
      </c>
      <c r="G479" s="62">
        <v>309</v>
      </c>
      <c r="H479" s="62">
        <v>321</v>
      </c>
    </row>
    <row r="480" spans="1:8" s="237" customFormat="1" ht="89.25" x14ac:dyDescent="0.2">
      <c r="A480" s="18" t="s">
        <v>279</v>
      </c>
      <c r="B480" s="19" t="s">
        <v>51</v>
      </c>
      <c r="C480" s="19" t="s">
        <v>18</v>
      </c>
      <c r="D480" s="19" t="s">
        <v>105</v>
      </c>
      <c r="E480" s="19"/>
      <c r="F480" s="20">
        <v>52961</v>
      </c>
      <c r="G480" s="20">
        <v>58103</v>
      </c>
      <c r="H480" s="20">
        <v>60334</v>
      </c>
    </row>
    <row r="481" spans="1:9" ht="25.5" x14ac:dyDescent="0.2">
      <c r="A481" s="28" t="s">
        <v>76</v>
      </c>
      <c r="B481" s="24" t="s">
        <v>51</v>
      </c>
      <c r="C481" s="24" t="s">
        <v>18</v>
      </c>
      <c r="D481" s="19" t="s">
        <v>105</v>
      </c>
      <c r="E481" s="27" t="s">
        <v>68</v>
      </c>
      <c r="F481" s="25">
        <v>1</v>
      </c>
      <c r="G481" s="25">
        <v>1</v>
      </c>
      <c r="H481" s="25">
        <v>1</v>
      </c>
      <c r="I481" s="237"/>
    </row>
    <row r="482" spans="1:9" s="79" customFormat="1" x14ac:dyDescent="0.2">
      <c r="A482" s="87" t="s">
        <v>69</v>
      </c>
      <c r="B482" s="82" t="s">
        <v>51</v>
      </c>
      <c r="C482" s="82" t="s">
        <v>18</v>
      </c>
      <c r="D482" s="77" t="s">
        <v>105</v>
      </c>
      <c r="E482" s="82" t="s">
        <v>70</v>
      </c>
      <c r="F482" s="25">
        <v>52960</v>
      </c>
      <c r="G482" s="25">
        <v>58102</v>
      </c>
      <c r="H482" s="25">
        <v>60333</v>
      </c>
    </row>
    <row r="483" spans="1:9" ht="38.25" x14ac:dyDescent="0.2">
      <c r="A483" s="54" t="s">
        <v>338</v>
      </c>
      <c r="B483" s="19" t="s">
        <v>51</v>
      </c>
      <c r="C483" s="19" t="s">
        <v>18</v>
      </c>
      <c r="D483" s="19" t="s">
        <v>374</v>
      </c>
      <c r="E483" s="19"/>
      <c r="F483" s="20">
        <v>205</v>
      </c>
      <c r="G483" s="20">
        <v>213</v>
      </c>
      <c r="H483" s="20">
        <v>222</v>
      </c>
      <c r="I483" s="237"/>
    </row>
    <row r="484" spans="1:9" s="26" customFormat="1" ht="25.5" x14ac:dyDescent="0.2">
      <c r="A484" s="28" t="s">
        <v>76</v>
      </c>
      <c r="B484" s="24" t="s">
        <v>51</v>
      </c>
      <c r="C484" s="24" t="s">
        <v>18</v>
      </c>
      <c r="D484" s="24" t="s">
        <v>374</v>
      </c>
      <c r="E484" s="27" t="s">
        <v>68</v>
      </c>
      <c r="F484" s="25">
        <v>205</v>
      </c>
      <c r="G484" s="25">
        <v>213</v>
      </c>
      <c r="H484" s="25">
        <v>222</v>
      </c>
      <c r="I484" s="25">
        <f>'изменения июль вед стр-ра'!J511</f>
        <v>0</v>
      </c>
    </row>
    <row r="485" spans="1:9" ht="38.25" x14ac:dyDescent="0.2">
      <c r="A485" s="18" t="s">
        <v>336</v>
      </c>
      <c r="B485" s="19" t="s">
        <v>51</v>
      </c>
      <c r="C485" s="19" t="s">
        <v>18</v>
      </c>
      <c r="D485" s="19" t="s">
        <v>107</v>
      </c>
      <c r="E485" s="19"/>
      <c r="F485" s="20">
        <v>29684</v>
      </c>
      <c r="G485" s="20">
        <v>29684</v>
      </c>
      <c r="H485" s="20">
        <v>29684</v>
      </c>
      <c r="I485" s="237"/>
    </row>
    <row r="486" spans="1:9" ht="25.5" x14ac:dyDescent="0.2">
      <c r="A486" s="28" t="s">
        <v>76</v>
      </c>
      <c r="B486" s="24" t="s">
        <v>51</v>
      </c>
      <c r="C486" s="24" t="s">
        <v>18</v>
      </c>
      <c r="D486" s="24" t="s">
        <v>107</v>
      </c>
      <c r="E486" s="27" t="s">
        <v>68</v>
      </c>
      <c r="F486" s="25">
        <v>1</v>
      </c>
      <c r="G486" s="25">
        <v>1</v>
      </c>
      <c r="H486" s="25">
        <v>1</v>
      </c>
      <c r="I486" s="237"/>
    </row>
    <row r="487" spans="1:9" x14ac:dyDescent="0.2">
      <c r="A487" s="28" t="s">
        <v>69</v>
      </c>
      <c r="B487" s="24" t="s">
        <v>51</v>
      </c>
      <c r="C487" s="24" t="s">
        <v>18</v>
      </c>
      <c r="D487" s="24" t="s">
        <v>107</v>
      </c>
      <c r="E487" s="24" t="s">
        <v>70</v>
      </c>
      <c r="F487" s="25">
        <v>29683</v>
      </c>
      <c r="G487" s="25">
        <v>29683</v>
      </c>
      <c r="H487" s="25">
        <v>29683</v>
      </c>
      <c r="I487" s="237"/>
    </row>
    <row r="488" spans="1:9" s="79" customFormat="1" x14ac:dyDescent="0.2">
      <c r="A488" s="70" t="s">
        <v>57</v>
      </c>
      <c r="B488" s="72" t="s">
        <v>51</v>
      </c>
      <c r="C488" s="72" t="s">
        <v>50</v>
      </c>
      <c r="D488" s="72"/>
      <c r="E488" s="72"/>
      <c r="F488" s="73">
        <v>41343.9</v>
      </c>
      <c r="G488" s="73">
        <v>27124.399999999998</v>
      </c>
      <c r="H488" s="73">
        <v>27124.399999999998</v>
      </c>
    </row>
    <row r="489" spans="1:9" x14ac:dyDescent="0.2">
      <c r="A489" s="18" t="s">
        <v>185</v>
      </c>
      <c r="B489" s="19" t="s">
        <v>51</v>
      </c>
      <c r="C489" s="19" t="s">
        <v>50</v>
      </c>
      <c r="D489" s="19" t="s">
        <v>184</v>
      </c>
      <c r="E489" s="19"/>
      <c r="F489" s="20">
        <v>114.19999999999999</v>
      </c>
      <c r="G489" s="20">
        <v>114.19999999999999</v>
      </c>
      <c r="H489" s="20">
        <v>114.19999999999999</v>
      </c>
      <c r="I489" s="237"/>
    </row>
    <row r="490" spans="1:9" ht="25.5" x14ac:dyDescent="0.2">
      <c r="A490" s="28" t="s">
        <v>76</v>
      </c>
      <c r="B490" s="24" t="s">
        <v>51</v>
      </c>
      <c r="C490" s="24" t="s">
        <v>50</v>
      </c>
      <c r="D490" s="24" t="s">
        <v>184</v>
      </c>
      <c r="E490" s="27" t="s">
        <v>68</v>
      </c>
      <c r="F490" s="25">
        <v>0.6</v>
      </c>
      <c r="G490" s="25">
        <v>0.6</v>
      </c>
      <c r="H490" s="25">
        <v>0.6</v>
      </c>
      <c r="I490" s="237"/>
    </row>
    <row r="491" spans="1:9" x14ac:dyDescent="0.2">
      <c r="A491" s="28" t="s">
        <v>69</v>
      </c>
      <c r="B491" s="24" t="s">
        <v>51</v>
      </c>
      <c r="C491" s="24" t="s">
        <v>50</v>
      </c>
      <c r="D491" s="24" t="s">
        <v>184</v>
      </c>
      <c r="E491" s="24" t="s">
        <v>70</v>
      </c>
      <c r="F491" s="25">
        <v>113.6</v>
      </c>
      <c r="G491" s="25">
        <v>113.6</v>
      </c>
      <c r="H491" s="25">
        <v>113.6</v>
      </c>
      <c r="I491" s="237"/>
    </row>
    <row r="492" spans="1:9" ht="25.5" x14ac:dyDescent="0.2">
      <c r="A492" s="18" t="s">
        <v>730</v>
      </c>
      <c r="B492" s="19" t="s">
        <v>51</v>
      </c>
      <c r="C492" s="19" t="s">
        <v>50</v>
      </c>
      <c r="D492" s="19" t="s">
        <v>731</v>
      </c>
      <c r="E492" s="19"/>
      <c r="F492" s="20">
        <v>200</v>
      </c>
      <c r="G492" s="20">
        <v>0</v>
      </c>
      <c r="H492" s="20">
        <v>0</v>
      </c>
      <c r="I492" s="237"/>
    </row>
    <row r="493" spans="1:9" s="26" customFormat="1" ht="25.5" x14ac:dyDescent="0.2">
      <c r="A493" s="28" t="s">
        <v>76</v>
      </c>
      <c r="B493" s="24" t="s">
        <v>51</v>
      </c>
      <c r="C493" s="24" t="s">
        <v>50</v>
      </c>
      <c r="D493" s="24" t="s">
        <v>731</v>
      </c>
      <c r="E493" s="24" t="s">
        <v>68</v>
      </c>
      <c r="F493" s="25">
        <v>200</v>
      </c>
      <c r="G493" s="25">
        <v>0</v>
      </c>
      <c r="H493" s="25">
        <v>0</v>
      </c>
    </row>
    <row r="494" spans="1:9" x14ac:dyDescent="0.2">
      <c r="A494" s="18" t="s">
        <v>280</v>
      </c>
      <c r="B494" s="19" t="s">
        <v>51</v>
      </c>
      <c r="C494" s="19" t="s">
        <v>50</v>
      </c>
      <c r="D494" s="19" t="s">
        <v>281</v>
      </c>
      <c r="E494" s="19"/>
      <c r="F494" s="20">
        <v>1885.7</v>
      </c>
      <c r="G494" s="20">
        <v>0</v>
      </c>
      <c r="H494" s="20">
        <v>0</v>
      </c>
      <c r="I494" s="117"/>
    </row>
    <row r="495" spans="1:9" ht="25.5" x14ac:dyDescent="0.2">
      <c r="A495" s="28" t="s">
        <v>76</v>
      </c>
      <c r="B495" s="24" t="s">
        <v>51</v>
      </c>
      <c r="C495" s="24" t="s">
        <v>50</v>
      </c>
      <c r="D495" s="24" t="s">
        <v>281</v>
      </c>
      <c r="E495" s="24" t="s">
        <v>68</v>
      </c>
      <c r="F495" s="25">
        <v>1399.7</v>
      </c>
      <c r="G495" s="25">
        <v>0</v>
      </c>
      <c r="H495" s="25">
        <v>0</v>
      </c>
      <c r="I495" s="117"/>
    </row>
    <row r="496" spans="1:9" s="79" customFormat="1" x14ac:dyDescent="0.2">
      <c r="A496" s="87" t="s">
        <v>69</v>
      </c>
      <c r="B496" s="82" t="s">
        <v>51</v>
      </c>
      <c r="C496" s="82" t="s">
        <v>50</v>
      </c>
      <c r="D496" s="82" t="s">
        <v>281</v>
      </c>
      <c r="E496" s="83" t="s">
        <v>70</v>
      </c>
      <c r="F496" s="25">
        <v>486</v>
      </c>
      <c r="G496" s="25">
        <v>0</v>
      </c>
      <c r="H496" s="25">
        <v>0</v>
      </c>
    </row>
    <row r="497" spans="1:9" x14ac:dyDescent="0.2">
      <c r="A497" s="18" t="s">
        <v>282</v>
      </c>
      <c r="B497" s="19" t="s">
        <v>51</v>
      </c>
      <c r="C497" s="19" t="s">
        <v>50</v>
      </c>
      <c r="D497" s="19" t="s">
        <v>283</v>
      </c>
      <c r="E497" s="19"/>
      <c r="F497" s="20">
        <v>976.2</v>
      </c>
      <c r="G497" s="20">
        <v>0</v>
      </c>
      <c r="H497" s="20">
        <v>0</v>
      </c>
      <c r="I497" s="117"/>
    </row>
    <row r="498" spans="1:9" ht="25.5" x14ac:dyDescent="0.2">
      <c r="A498" s="28" t="s">
        <v>141</v>
      </c>
      <c r="B498" s="24" t="s">
        <v>51</v>
      </c>
      <c r="C498" s="24" t="s">
        <v>50</v>
      </c>
      <c r="D498" s="24" t="s">
        <v>283</v>
      </c>
      <c r="E498" s="24" t="s">
        <v>65</v>
      </c>
      <c r="F498" s="25">
        <v>976.2</v>
      </c>
      <c r="G498" s="62">
        <v>0</v>
      </c>
      <c r="H498" s="62">
        <v>0</v>
      </c>
      <c r="I498" s="117"/>
    </row>
    <row r="499" spans="1:9" s="79" customFormat="1" x14ac:dyDescent="0.2">
      <c r="A499" s="75" t="s">
        <v>322</v>
      </c>
      <c r="B499" s="77" t="s">
        <v>51</v>
      </c>
      <c r="C499" s="77" t="s">
        <v>50</v>
      </c>
      <c r="D499" s="77" t="s">
        <v>323</v>
      </c>
      <c r="E499" s="77"/>
      <c r="F499" s="78">
        <v>1147.8</v>
      </c>
      <c r="G499" s="78">
        <v>0</v>
      </c>
      <c r="H499" s="78">
        <v>0</v>
      </c>
    </row>
    <row r="500" spans="1:9" s="79" customFormat="1" ht="51" x14ac:dyDescent="0.2">
      <c r="A500" s="30" t="s">
        <v>66</v>
      </c>
      <c r="B500" s="82" t="s">
        <v>51</v>
      </c>
      <c r="C500" s="82" t="s">
        <v>50</v>
      </c>
      <c r="D500" s="82" t="s">
        <v>323</v>
      </c>
      <c r="E500" s="77" t="s">
        <v>67</v>
      </c>
      <c r="F500" s="78">
        <v>60</v>
      </c>
      <c r="G500" s="78">
        <v>0</v>
      </c>
      <c r="H500" s="78">
        <v>0</v>
      </c>
    </row>
    <row r="501" spans="1:9" s="79" customFormat="1" ht="25.5" x14ac:dyDescent="0.2">
      <c r="A501" s="87" t="s">
        <v>76</v>
      </c>
      <c r="B501" s="82" t="s">
        <v>51</v>
      </c>
      <c r="C501" s="82" t="s">
        <v>50</v>
      </c>
      <c r="D501" s="82" t="s">
        <v>323</v>
      </c>
      <c r="E501" s="82" t="s">
        <v>73</v>
      </c>
      <c r="F501" s="62">
        <v>120</v>
      </c>
      <c r="G501" s="62">
        <v>0</v>
      </c>
      <c r="H501" s="62">
        <v>0</v>
      </c>
    </row>
    <row r="502" spans="1:9" s="79" customFormat="1" ht="25.5" x14ac:dyDescent="0.2">
      <c r="A502" s="28" t="s">
        <v>141</v>
      </c>
      <c r="B502" s="82" t="s">
        <v>51</v>
      </c>
      <c r="C502" s="82" t="s">
        <v>50</v>
      </c>
      <c r="D502" s="82" t="s">
        <v>323</v>
      </c>
      <c r="E502" s="82" t="s">
        <v>65</v>
      </c>
      <c r="F502" s="62">
        <v>120</v>
      </c>
      <c r="G502" s="62">
        <v>0</v>
      </c>
      <c r="H502" s="62">
        <v>0</v>
      </c>
    </row>
    <row r="503" spans="1:9" x14ac:dyDescent="0.2">
      <c r="A503" s="28" t="s">
        <v>69</v>
      </c>
      <c r="B503" s="24" t="s">
        <v>51</v>
      </c>
      <c r="C503" s="24" t="s">
        <v>50</v>
      </c>
      <c r="D503" s="24" t="s">
        <v>323</v>
      </c>
      <c r="E503" s="24" t="s">
        <v>70</v>
      </c>
      <c r="F503" s="25">
        <v>847.8</v>
      </c>
      <c r="G503" s="25">
        <v>0</v>
      </c>
      <c r="H503" s="25">
        <v>0</v>
      </c>
      <c r="I503" s="237"/>
    </row>
    <row r="504" spans="1:9" ht="25.5" x14ac:dyDescent="0.2">
      <c r="A504" s="18" t="s">
        <v>325</v>
      </c>
      <c r="B504" s="19" t="s">
        <v>51</v>
      </c>
      <c r="C504" s="19" t="s">
        <v>50</v>
      </c>
      <c r="D504" s="19" t="s">
        <v>324</v>
      </c>
      <c r="E504" s="19"/>
      <c r="F504" s="20">
        <v>1553.1</v>
      </c>
      <c r="G504" s="20">
        <v>0</v>
      </c>
      <c r="H504" s="20">
        <v>0</v>
      </c>
      <c r="I504" s="237"/>
    </row>
    <row r="505" spans="1:9" x14ac:dyDescent="0.2">
      <c r="A505" s="28" t="s">
        <v>69</v>
      </c>
      <c r="B505" s="24" t="s">
        <v>51</v>
      </c>
      <c r="C505" s="24" t="s">
        <v>50</v>
      </c>
      <c r="D505" s="24" t="s">
        <v>324</v>
      </c>
      <c r="E505" s="24" t="s">
        <v>70</v>
      </c>
      <c r="F505" s="25">
        <v>1553.1</v>
      </c>
      <c r="G505" s="25">
        <v>0</v>
      </c>
      <c r="H505" s="25">
        <v>0</v>
      </c>
      <c r="I505" s="237"/>
    </row>
    <row r="506" spans="1:9" ht="63.75" x14ac:dyDescent="0.2">
      <c r="A506" s="61" t="s">
        <v>327</v>
      </c>
      <c r="B506" s="210" t="s">
        <v>51</v>
      </c>
      <c r="C506" s="19" t="s">
        <v>50</v>
      </c>
      <c r="D506" s="19" t="s">
        <v>326</v>
      </c>
      <c r="E506" s="19"/>
      <c r="F506" s="20">
        <v>50</v>
      </c>
      <c r="G506" s="20">
        <v>0</v>
      </c>
      <c r="H506" s="20">
        <v>0</v>
      </c>
      <c r="I506" s="237"/>
    </row>
    <row r="507" spans="1:9" x14ac:dyDescent="0.2">
      <c r="A507" s="52" t="s">
        <v>69</v>
      </c>
      <c r="B507" s="24" t="s">
        <v>51</v>
      </c>
      <c r="C507" s="24" t="s">
        <v>50</v>
      </c>
      <c r="D507" s="24" t="s">
        <v>326</v>
      </c>
      <c r="E507" s="24" t="s">
        <v>70</v>
      </c>
      <c r="F507" s="25">
        <v>50</v>
      </c>
      <c r="G507" s="25">
        <v>0</v>
      </c>
      <c r="H507" s="25">
        <v>0</v>
      </c>
      <c r="I507" s="237"/>
    </row>
    <row r="508" spans="1:9" s="79" customFormat="1" ht="25.5" x14ac:dyDescent="0.2">
      <c r="A508" s="75" t="s">
        <v>417</v>
      </c>
      <c r="B508" s="77" t="s">
        <v>51</v>
      </c>
      <c r="C508" s="77" t="s">
        <v>50</v>
      </c>
      <c r="D508" s="77" t="s">
        <v>416</v>
      </c>
      <c r="E508" s="77"/>
      <c r="F508" s="78">
        <v>17.8</v>
      </c>
      <c r="G508" s="78">
        <v>0</v>
      </c>
      <c r="H508" s="78">
        <v>0</v>
      </c>
    </row>
    <row r="509" spans="1:9" s="84" customFormat="1" x14ac:dyDescent="0.2">
      <c r="A509" s="87" t="s">
        <v>69</v>
      </c>
      <c r="B509" s="82" t="s">
        <v>51</v>
      </c>
      <c r="C509" s="82" t="s">
        <v>50</v>
      </c>
      <c r="D509" s="82" t="s">
        <v>416</v>
      </c>
      <c r="E509" s="82" t="s">
        <v>68</v>
      </c>
      <c r="F509" s="62">
        <v>17.8</v>
      </c>
      <c r="G509" s="62">
        <v>0</v>
      </c>
      <c r="H509" s="62">
        <v>0</v>
      </c>
    </row>
    <row r="510" spans="1:9" s="79" customFormat="1" ht="25.5" x14ac:dyDescent="0.2">
      <c r="A510" s="75" t="s">
        <v>284</v>
      </c>
      <c r="B510" s="77" t="s">
        <v>51</v>
      </c>
      <c r="C510" s="77" t="s">
        <v>50</v>
      </c>
      <c r="D510" s="77" t="s">
        <v>99</v>
      </c>
      <c r="E510" s="77"/>
      <c r="F510" s="78">
        <v>27193.799999999996</v>
      </c>
      <c r="G510" s="78">
        <v>27010.199999999997</v>
      </c>
      <c r="H510" s="78">
        <v>27010.199999999997</v>
      </c>
    </row>
    <row r="511" spans="1:9" ht="51" x14ac:dyDescent="0.2">
      <c r="A511" s="30" t="s">
        <v>66</v>
      </c>
      <c r="B511" s="24" t="s">
        <v>51</v>
      </c>
      <c r="C511" s="24" t="s">
        <v>50</v>
      </c>
      <c r="D511" s="24" t="s">
        <v>99</v>
      </c>
      <c r="E511" s="27" t="s">
        <v>67</v>
      </c>
      <c r="F511" s="25">
        <v>25952.199999999997</v>
      </c>
      <c r="G511" s="25">
        <v>25914.199999999997</v>
      </c>
      <c r="H511" s="25">
        <v>25914.199999999997</v>
      </c>
      <c r="I511" s="237"/>
    </row>
    <row r="512" spans="1:9" ht="25.5" x14ac:dyDescent="0.2">
      <c r="A512" s="28" t="s">
        <v>76</v>
      </c>
      <c r="B512" s="24" t="s">
        <v>51</v>
      </c>
      <c r="C512" s="24" t="s">
        <v>50</v>
      </c>
      <c r="D512" s="24" t="s">
        <v>99</v>
      </c>
      <c r="E512" s="27" t="s">
        <v>68</v>
      </c>
      <c r="F512" s="25">
        <v>1234</v>
      </c>
      <c r="G512" s="25">
        <v>1088.4000000000001</v>
      </c>
      <c r="H512" s="25">
        <v>1088.4000000000001</v>
      </c>
    </row>
    <row r="513" spans="1:9" s="79" customFormat="1" x14ac:dyDescent="0.2">
      <c r="A513" s="87" t="s">
        <v>72</v>
      </c>
      <c r="B513" s="82" t="s">
        <v>51</v>
      </c>
      <c r="C513" s="82" t="s">
        <v>50</v>
      </c>
      <c r="D513" s="82" t="s">
        <v>99</v>
      </c>
      <c r="E513" s="82" t="s">
        <v>73</v>
      </c>
      <c r="F513" s="25">
        <v>7.6</v>
      </c>
      <c r="G513" s="25">
        <v>7.6</v>
      </c>
      <c r="H513" s="25">
        <v>7.6</v>
      </c>
    </row>
    <row r="514" spans="1:9" s="79" customFormat="1" ht="25.5" x14ac:dyDescent="0.2">
      <c r="A514" s="75" t="s">
        <v>678</v>
      </c>
      <c r="B514" s="77" t="s">
        <v>51</v>
      </c>
      <c r="C514" s="77" t="s">
        <v>50</v>
      </c>
      <c r="D514" s="77" t="s">
        <v>679</v>
      </c>
      <c r="E514" s="78"/>
      <c r="F514" s="78">
        <v>7725.3</v>
      </c>
      <c r="G514" s="78">
        <v>0</v>
      </c>
      <c r="H514" s="78">
        <v>0</v>
      </c>
    </row>
    <row r="515" spans="1:9" s="79" customFormat="1" ht="25.5" x14ac:dyDescent="0.2">
      <c r="A515" s="75" t="s">
        <v>141</v>
      </c>
      <c r="B515" s="77" t="s">
        <v>51</v>
      </c>
      <c r="C515" s="77" t="s">
        <v>50</v>
      </c>
      <c r="D515" s="77" t="s">
        <v>679</v>
      </c>
      <c r="E515" s="78" t="s">
        <v>65</v>
      </c>
      <c r="F515" s="78">
        <v>7725.3</v>
      </c>
      <c r="G515" s="78">
        <v>0</v>
      </c>
      <c r="H515" s="78">
        <v>0</v>
      </c>
    </row>
    <row r="516" spans="1:9" s="79" customFormat="1" x14ac:dyDescent="0.2">
      <c r="A516" s="75" t="s">
        <v>177</v>
      </c>
      <c r="B516" s="111" t="s">
        <v>51</v>
      </c>
      <c r="C516" s="77" t="s">
        <v>50</v>
      </c>
      <c r="D516" s="111" t="s">
        <v>178</v>
      </c>
      <c r="E516" s="77"/>
      <c r="F516" s="78">
        <v>450</v>
      </c>
      <c r="G516" s="78">
        <v>0</v>
      </c>
      <c r="H516" s="78">
        <v>0</v>
      </c>
    </row>
    <row r="517" spans="1:9" ht="25.5" x14ac:dyDescent="0.2">
      <c r="A517" s="30" t="s">
        <v>466</v>
      </c>
      <c r="B517" s="24" t="s">
        <v>51</v>
      </c>
      <c r="C517" s="24" t="s">
        <v>50</v>
      </c>
      <c r="D517" s="24" t="s">
        <v>178</v>
      </c>
      <c r="E517" s="24" t="s">
        <v>68</v>
      </c>
      <c r="F517" s="20">
        <v>60</v>
      </c>
      <c r="G517" s="20">
        <v>0</v>
      </c>
      <c r="H517" s="20">
        <v>0</v>
      </c>
      <c r="I517" s="237"/>
    </row>
    <row r="518" spans="1:9" s="79" customFormat="1" x14ac:dyDescent="0.2">
      <c r="A518" s="87" t="s">
        <v>69</v>
      </c>
      <c r="B518" s="82" t="s">
        <v>51</v>
      </c>
      <c r="C518" s="82" t="s">
        <v>50</v>
      </c>
      <c r="D518" s="82" t="s">
        <v>178</v>
      </c>
      <c r="E518" s="82" t="s">
        <v>70</v>
      </c>
      <c r="F518" s="20">
        <v>390</v>
      </c>
      <c r="G518" s="20">
        <v>0</v>
      </c>
      <c r="H518" s="20">
        <v>0</v>
      </c>
    </row>
    <row r="519" spans="1:9" s="79" customFormat="1" x14ac:dyDescent="0.2">
      <c r="A519" s="75" t="s">
        <v>429</v>
      </c>
      <c r="B519" s="77" t="s">
        <v>51</v>
      </c>
      <c r="C519" s="77" t="s">
        <v>50</v>
      </c>
      <c r="D519" s="111" t="s">
        <v>428</v>
      </c>
      <c r="E519" s="77"/>
      <c r="F519" s="73">
        <v>30</v>
      </c>
      <c r="G519" s="73">
        <v>0</v>
      </c>
      <c r="H519" s="73">
        <v>0</v>
      </c>
    </row>
    <row r="520" spans="1:9" ht="25.5" x14ac:dyDescent="0.2">
      <c r="A520" s="28" t="s">
        <v>76</v>
      </c>
      <c r="B520" s="24" t="s">
        <v>51</v>
      </c>
      <c r="C520" s="24" t="s">
        <v>50</v>
      </c>
      <c r="D520" s="24" t="s">
        <v>428</v>
      </c>
      <c r="E520" s="24" t="s">
        <v>68</v>
      </c>
      <c r="F520" s="20">
        <v>30</v>
      </c>
      <c r="G520" s="20">
        <v>0</v>
      </c>
      <c r="H520" s="20">
        <v>0</v>
      </c>
      <c r="I520" s="237"/>
    </row>
    <row r="521" spans="1:9" ht="15.75" x14ac:dyDescent="0.25">
      <c r="A521" s="144" t="s">
        <v>666</v>
      </c>
      <c r="B521" s="143" t="s">
        <v>21</v>
      </c>
      <c r="C521" s="143" t="s">
        <v>463</v>
      </c>
      <c r="D521" s="143"/>
      <c r="E521" s="143"/>
      <c r="F521" s="206">
        <v>77159.299999999988</v>
      </c>
      <c r="G521" s="206">
        <v>63121.3</v>
      </c>
      <c r="H521" s="206">
        <v>62309.3</v>
      </c>
      <c r="I521" s="237"/>
    </row>
    <row r="522" spans="1:9" s="9" customFormat="1" x14ac:dyDescent="0.2">
      <c r="A522" s="11" t="s">
        <v>1</v>
      </c>
      <c r="B522" s="8" t="s">
        <v>21</v>
      </c>
      <c r="C522" s="8" t="s">
        <v>12</v>
      </c>
      <c r="D522" s="8"/>
      <c r="E522" s="8"/>
      <c r="F522" s="4">
        <v>71617.599999999991</v>
      </c>
      <c r="G522" s="4">
        <v>58500.800000000003</v>
      </c>
      <c r="H522" s="4">
        <v>57688.800000000003</v>
      </c>
      <c r="I522" s="127"/>
    </row>
    <row r="523" spans="1:9" ht="39.75" customHeight="1" x14ac:dyDescent="0.2">
      <c r="A523" s="18" t="s">
        <v>444</v>
      </c>
      <c r="B523" s="19" t="s">
        <v>21</v>
      </c>
      <c r="C523" s="19" t="s">
        <v>12</v>
      </c>
      <c r="D523" s="19" t="s">
        <v>451</v>
      </c>
      <c r="E523" s="19"/>
      <c r="F523" s="20">
        <v>2800</v>
      </c>
      <c r="G523" s="20">
        <v>0</v>
      </c>
      <c r="H523" s="20">
        <v>0</v>
      </c>
      <c r="I523" s="117"/>
    </row>
    <row r="524" spans="1:9" s="26" customFormat="1" ht="25.5" x14ac:dyDescent="0.2">
      <c r="A524" s="28" t="s">
        <v>141</v>
      </c>
      <c r="B524" s="24" t="s">
        <v>21</v>
      </c>
      <c r="C524" s="24" t="s">
        <v>12</v>
      </c>
      <c r="D524" s="19" t="s">
        <v>451</v>
      </c>
      <c r="E524" s="24" t="s">
        <v>65</v>
      </c>
      <c r="F524" s="25">
        <v>2800</v>
      </c>
      <c r="G524" s="25">
        <v>0</v>
      </c>
      <c r="H524" s="25">
        <v>0</v>
      </c>
      <c r="I524" s="118"/>
    </row>
    <row r="525" spans="1:9" s="12" customFormat="1" ht="25.5" x14ac:dyDescent="0.2">
      <c r="A525" s="17" t="s">
        <v>163</v>
      </c>
      <c r="B525" s="19" t="s">
        <v>21</v>
      </c>
      <c r="C525" s="19" t="s">
        <v>12</v>
      </c>
      <c r="D525" s="19" t="s">
        <v>162</v>
      </c>
      <c r="E525" s="5"/>
      <c r="F525" s="6">
        <v>163.1</v>
      </c>
      <c r="G525" s="6">
        <v>120.3</v>
      </c>
      <c r="H525" s="6">
        <v>120.3</v>
      </c>
    </row>
    <row r="526" spans="1:9" s="26" customFormat="1" ht="25.5" x14ac:dyDescent="0.2">
      <c r="A526" s="28" t="s">
        <v>141</v>
      </c>
      <c r="B526" s="24" t="s">
        <v>21</v>
      </c>
      <c r="C526" s="24" t="s">
        <v>12</v>
      </c>
      <c r="D526" s="24" t="s">
        <v>162</v>
      </c>
      <c r="E526" s="24" t="s">
        <v>65</v>
      </c>
      <c r="F526" s="25">
        <v>163.1</v>
      </c>
      <c r="G526" s="25">
        <v>120.3</v>
      </c>
      <c r="H526" s="25">
        <v>120.3</v>
      </c>
    </row>
    <row r="527" spans="1:9" ht="13.5" customHeight="1" x14ac:dyDescent="0.2">
      <c r="A527" s="18" t="s">
        <v>174</v>
      </c>
      <c r="B527" s="19" t="s">
        <v>21</v>
      </c>
      <c r="C527" s="19" t="s">
        <v>12</v>
      </c>
      <c r="D527" s="24" t="s">
        <v>173</v>
      </c>
      <c r="E527" s="19"/>
      <c r="F527" s="20">
        <v>3529.2</v>
      </c>
      <c r="G527" s="20">
        <v>0</v>
      </c>
      <c r="H527" s="20">
        <v>0</v>
      </c>
      <c r="I527" s="117"/>
    </row>
    <row r="528" spans="1:9" s="26" customFormat="1" ht="25.5" x14ac:dyDescent="0.2">
      <c r="A528" s="28" t="s">
        <v>83</v>
      </c>
      <c r="B528" s="24" t="s">
        <v>21</v>
      </c>
      <c r="C528" s="24" t="s">
        <v>12</v>
      </c>
      <c r="D528" s="24" t="s">
        <v>173</v>
      </c>
      <c r="E528" s="24" t="s">
        <v>71</v>
      </c>
      <c r="F528" s="25">
        <v>3529.2</v>
      </c>
      <c r="G528" s="25">
        <v>0</v>
      </c>
      <c r="H528" s="25">
        <v>0</v>
      </c>
      <c r="I528" s="118"/>
    </row>
    <row r="529" spans="1:9" s="79" customFormat="1" ht="25.5" x14ac:dyDescent="0.2">
      <c r="A529" s="75" t="s">
        <v>191</v>
      </c>
      <c r="B529" s="77" t="s">
        <v>21</v>
      </c>
      <c r="C529" s="77" t="s">
        <v>12</v>
      </c>
      <c r="D529" s="77" t="s">
        <v>190</v>
      </c>
      <c r="E529" s="77"/>
      <c r="F529" s="78">
        <v>15395.400000000001</v>
      </c>
      <c r="G529" s="78">
        <v>13695</v>
      </c>
      <c r="H529" s="78">
        <v>13302.199999999999</v>
      </c>
    </row>
    <row r="530" spans="1:9" s="84" customFormat="1" ht="25.5" x14ac:dyDescent="0.2">
      <c r="A530" s="87" t="s">
        <v>141</v>
      </c>
      <c r="B530" s="82" t="s">
        <v>21</v>
      </c>
      <c r="C530" s="82" t="s">
        <v>12</v>
      </c>
      <c r="D530" s="82" t="s">
        <v>190</v>
      </c>
      <c r="E530" s="82" t="s">
        <v>65</v>
      </c>
      <c r="F530" s="62">
        <v>15395.400000000001</v>
      </c>
      <c r="G530" s="62">
        <v>13695</v>
      </c>
      <c r="H530" s="62">
        <v>13302.199999999999</v>
      </c>
    </row>
    <row r="531" spans="1:9" ht="38.25" x14ac:dyDescent="0.2">
      <c r="A531" s="18" t="s">
        <v>193</v>
      </c>
      <c r="B531" s="19" t="s">
        <v>21</v>
      </c>
      <c r="C531" s="19" t="s">
        <v>12</v>
      </c>
      <c r="D531" s="19" t="s">
        <v>192</v>
      </c>
      <c r="E531" s="19"/>
      <c r="F531" s="20">
        <v>200</v>
      </c>
      <c r="G531" s="20">
        <v>200</v>
      </c>
      <c r="H531" s="20">
        <v>200</v>
      </c>
      <c r="I531" s="237"/>
    </row>
    <row r="532" spans="1:9" s="26" customFormat="1" ht="25.5" x14ac:dyDescent="0.2">
      <c r="A532" s="28" t="s">
        <v>76</v>
      </c>
      <c r="B532" s="24" t="s">
        <v>21</v>
      </c>
      <c r="C532" s="24" t="s">
        <v>12</v>
      </c>
      <c r="D532" s="24" t="s">
        <v>192</v>
      </c>
      <c r="E532" s="27" t="s">
        <v>68</v>
      </c>
      <c r="F532" s="25">
        <v>200</v>
      </c>
      <c r="G532" s="25">
        <v>200</v>
      </c>
      <c r="H532" s="25">
        <v>200</v>
      </c>
      <c r="I532" s="25">
        <f>'изменения июль вед стр-ра'!J148</f>
        <v>0</v>
      </c>
    </row>
    <row r="533" spans="1:9" ht="25.5" x14ac:dyDescent="0.2">
      <c r="A533" s="18" t="s">
        <v>357</v>
      </c>
      <c r="B533" s="19" t="s">
        <v>21</v>
      </c>
      <c r="C533" s="19" t="s">
        <v>12</v>
      </c>
      <c r="D533" s="19" t="s">
        <v>358</v>
      </c>
      <c r="E533" s="19"/>
      <c r="F533" s="20">
        <v>48737.899999999994</v>
      </c>
      <c r="G533" s="20">
        <v>44485.5</v>
      </c>
      <c r="H533" s="20">
        <v>44066.3</v>
      </c>
      <c r="I533" s="237"/>
    </row>
    <row r="534" spans="1:9" s="84" customFormat="1" ht="25.5" x14ac:dyDescent="0.2">
      <c r="A534" s="87" t="s">
        <v>141</v>
      </c>
      <c r="B534" s="82" t="s">
        <v>21</v>
      </c>
      <c r="C534" s="82" t="s">
        <v>12</v>
      </c>
      <c r="D534" s="82" t="s">
        <v>358</v>
      </c>
      <c r="E534" s="83" t="s">
        <v>65</v>
      </c>
      <c r="F534" s="62">
        <v>48737.899999999994</v>
      </c>
      <c r="G534" s="62">
        <v>44485.5</v>
      </c>
      <c r="H534" s="62">
        <v>44066.3</v>
      </c>
      <c r="I534" s="62">
        <f>'изменения июль вед стр-ра'!J150</f>
        <v>0</v>
      </c>
    </row>
    <row r="535" spans="1:9" s="26" customFormat="1" ht="20.25" customHeight="1" x14ac:dyDescent="0.2">
      <c r="A535" s="18" t="s">
        <v>714</v>
      </c>
      <c r="B535" s="19" t="s">
        <v>21</v>
      </c>
      <c r="C535" s="19" t="s">
        <v>12</v>
      </c>
      <c r="D535" s="19" t="s">
        <v>728</v>
      </c>
      <c r="E535" s="19"/>
      <c r="F535" s="25">
        <v>720</v>
      </c>
      <c r="G535" s="25">
        <v>0</v>
      </c>
      <c r="H535" s="25">
        <v>0</v>
      </c>
    </row>
    <row r="536" spans="1:9" s="26" customFormat="1" ht="25.5" x14ac:dyDescent="0.2">
      <c r="A536" s="28" t="s">
        <v>141</v>
      </c>
      <c r="B536" s="24" t="s">
        <v>21</v>
      </c>
      <c r="C536" s="24" t="s">
        <v>12</v>
      </c>
      <c r="D536" s="24" t="s">
        <v>728</v>
      </c>
      <c r="E536" s="24" t="s">
        <v>65</v>
      </c>
      <c r="F536" s="25">
        <v>720</v>
      </c>
      <c r="G536" s="25">
        <v>0</v>
      </c>
      <c r="H536" s="25">
        <v>0</v>
      </c>
    </row>
    <row r="537" spans="1:9" s="84" customFormat="1" x14ac:dyDescent="0.2">
      <c r="A537" s="18" t="s">
        <v>714</v>
      </c>
      <c r="B537" s="19" t="s">
        <v>21</v>
      </c>
      <c r="C537" s="19" t="s">
        <v>12</v>
      </c>
      <c r="D537" s="19" t="s">
        <v>716</v>
      </c>
      <c r="E537" s="19"/>
      <c r="F537" s="62">
        <v>72</v>
      </c>
      <c r="G537" s="62">
        <v>0</v>
      </c>
      <c r="H537" s="62">
        <v>0</v>
      </c>
    </row>
    <row r="538" spans="1:9" s="84" customFormat="1" ht="25.5" x14ac:dyDescent="0.2">
      <c r="A538" s="28" t="s">
        <v>141</v>
      </c>
      <c r="B538" s="24" t="s">
        <v>21</v>
      </c>
      <c r="C538" s="24" t="s">
        <v>12</v>
      </c>
      <c r="D538" s="24" t="s">
        <v>716</v>
      </c>
      <c r="E538" s="24" t="s">
        <v>65</v>
      </c>
      <c r="F538" s="62">
        <v>72</v>
      </c>
      <c r="G538" s="62">
        <v>0</v>
      </c>
      <c r="H538" s="62">
        <v>0</v>
      </c>
    </row>
    <row r="539" spans="1:9" s="9" customFormat="1" x14ac:dyDescent="0.2">
      <c r="A539" s="11" t="s">
        <v>2</v>
      </c>
      <c r="B539" s="8" t="s">
        <v>21</v>
      </c>
      <c r="C539" s="8" t="s">
        <v>14</v>
      </c>
      <c r="D539" s="8"/>
      <c r="E539" s="8"/>
      <c r="F539" s="4">
        <v>370</v>
      </c>
      <c r="G539" s="4">
        <v>370</v>
      </c>
      <c r="H539" s="4">
        <v>370</v>
      </c>
    </row>
    <row r="540" spans="1:9" ht="25.5" x14ac:dyDescent="0.2">
      <c r="A540" s="18" t="s">
        <v>195</v>
      </c>
      <c r="B540" s="19" t="s">
        <v>21</v>
      </c>
      <c r="C540" s="19" t="s">
        <v>14</v>
      </c>
      <c r="D540" s="19" t="s">
        <v>194</v>
      </c>
      <c r="E540" s="19"/>
      <c r="F540" s="20">
        <v>370</v>
      </c>
      <c r="G540" s="20">
        <v>370</v>
      </c>
      <c r="H540" s="20">
        <v>370</v>
      </c>
      <c r="I540" s="237"/>
    </row>
    <row r="541" spans="1:9" ht="51" x14ac:dyDescent="0.2">
      <c r="A541" s="30" t="s">
        <v>66</v>
      </c>
      <c r="B541" s="24" t="s">
        <v>21</v>
      </c>
      <c r="C541" s="24" t="s">
        <v>14</v>
      </c>
      <c r="D541" s="24" t="s">
        <v>194</v>
      </c>
      <c r="E541" s="19" t="s">
        <v>67</v>
      </c>
      <c r="F541" s="20">
        <v>42</v>
      </c>
      <c r="G541" s="20">
        <v>0</v>
      </c>
      <c r="H541" s="20">
        <v>0</v>
      </c>
      <c r="I541" s="237"/>
    </row>
    <row r="542" spans="1:9" s="26" customFormat="1" ht="25.5" x14ac:dyDescent="0.2">
      <c r="A542" s="28" t="s">
        <v>76</v>
      </c>
      <c r="B542" s="24" t="s">
        <v>21</v>
      </c>
      <c r="C542" s="24" t="s">
        <v>14</v>
      </c>
      <c r="D542" s="24" t="s">
        <v>194</v>
      </c>
      <c r="E542" s="27" t="s">
        <v>68</v>
      </c>
      <c r="F542" s="25">
        <v>328</v>
      </c>
      <c r="G542" s="25">
        <v>370</v>
      </c>
      <c r="H542" s="25">
        <v>370</v>
      </c>
    </row>
    <row r="543" spans="1:9" s="9" customFormat="1" x14ac:dyDescent="0.2">
      <c r="A543" s="11" t="s">
        <v>4</v>
      </c>
      <c r="B543" s="8" t="s">
        <v>21</v>
      </c>
      <c r="C543" s="8" t="s">
        <v>31</v>
      </c>
      <c r="D543" s="8"/>
      <c r="E543" s="8"/>
      <c r="F543" s="4">
        <v>5171.7</v>
      </c>
      <c r="G543" s="4">
        <v>4250.5</v>
      </c>
      <c r="H543" s="4">
        <v>4250.5</v>
      </c>
    </row>
    <row r="544" spans="1:9" ht="25.5" x14ac:dyDescent="0.2">
      <c r="A544" s="18" t="s">
        <v>191</v>
      </c>
      <c r="B544" s="19" t="s">
        <v>21</v>
      </c>
      <c r="C544" s="19" t="s">
        <v>31</v>
      </c>
      <c r="D544" s="19" t="s">
        <v>196</v>
      </c>
      <c r="E544" s="19"/>
      <c r="F544" s="20">
        <v>1346.8</v>
      </c>
      <c r="G544" s="20">
        <v>1021.5</v>
      </c>
      <c r="H544" s="20">
        <v>1021.5</v>
      </c>
      <c r="I544" s="237"/>
    </row>
    <row r="545" spans="1:9" s="26" customFormat="1" ht="50.25" customHeight="1" x14ac:dyDescent="0.2">
      <c r="A545" s="30" t="s">
        <v>66</v>
      </c>
      <c r="B545" s="24" t="s">
        <v>21</v>
      </c>
      <c r="C545" s="24" t="s">
        <v>31</v>
      </c>
      <c r="D545" s="24" t="s">
        <v>196</v>
      </c>
      <c r="E545" s="27" t="s">
        <v>67</v>
      </c>
      <c r="F545" s="25">
        <v>1304.8</v>
      </c>
      <c r="G545" s="25">
        <v>969.5</v>
      </c>
      <c r="H545" s="25">
        <v>969.5</v>
      </c>
    </row>
    <row r="546" spans="1:9" s="26" customFormat="1" ht="25.5" x14ac:dyDescent="0.2">
      <c r="A546" s="28" t="s">
        <v>76</v>
      </c>
      <c r="B546" s="24" t="s">
        <v>21</v>
      </c>
      <c r="C546" s="24" t="s">
        <v>31</v>
      </c>
      <c r="D546" s="24" t="s">
        <v>196</v>
      </c>
      <c r="E546" s="27" t="s">
        <v>68</v>
      </c>
      <c r="F546" s="25">
        <v>42</v>
      </c>
      <c r="G546" s="25">
        <v>52</v>
      </c>
      <c r="H546" s="25">
        <v>52</v>
      </c>
    </row>
    <row r="547" spans="1:9" ht="25.5" x14ac:dyDescent="0.2">
      <c r="A547" s="18" t="s">
        <v>191</v>
      </c>
      <c r="B547" s="19" t="s">
        <v>21</v>
      </c>
      <c r="C547" s="19" t="s">
        <v>31</v>
      </c>
      <c r="D547" s="19" t="s">
        <v>415</v>
      </c>
      <c r="E547" s="19"/>
      <c r="F547" s="20">
        <v>3824.9</v>
      </c>
      <c r="G547" s="20">
        <v>3229</v>
      </c>
      <c r="H547" s="20">
        <v>3229</v>
      </c>
      <c r="I547" s="237"/>
    </row>
    <row r="548" spans="1:9" s="26" customFormat="1" ht="27.75" customHeight="1" x14ac:dyDescent="0.2">
      <c r="A548" s="87" t="s">
        <v>141</v>
      </c>
      <c r="B548" s="24" t="s">
        <v>21</v>
      </c>
      <c r="C548" s="24" t="s">
        <v>31</v>
      </c>
      <c r="D548" s="24" t="s">
        <v>415</v>
      </c>
      <c r="E548" s="27" t="s">
        <v>65</v>
      </c>
      <c r="F548" s="25">
        <v>3824.9</v>
      </c>
      <c r="G548" s="25">
        <v>3229</v>
      </c>
      <c r="H548" s="25">
        <v>3229</v>
      </c>
    </row>
    <row r="549" spans="1:9" ht="31.5" x14ac:dyDescent="0.25">
      <c r="A549" s="144" t="s">
        <v>20</v>
      </c>
      <c r="B549" s="143" t="s">
        <v>61</v>
      </c>
      <c r="C549" s="143" t="s">
        <v>463</v>
      </c>
      <c r="D549" s="143"/>
      <c r="E549" s="143"/>
      <c r="F549" s="206">
        <v>3503.9</v>
      </c>
      <c r="G549" s="206">
        <v>3503.9</v>
      </c>
      <c r="H549" s="206">
        <v>3503.9</v>
      </c>
      <c r="I549" s="237"/>
    </row>
    <row r="550" spans="1:9" ht="25.5" x14ac:dyDescent="0.2">
      <c r="A550" s="11" t="s">
        <v>3</v>
      </c>
      <c r="B550" s="8" t="s">
        <v>61</v>
      </c>
      <c r="C550" s="8" t="s">
        <v>12</v>
      </c>
      <c r="D550" s="8"/>
      <c r="E550" s="8"/>
      <c r="F550" s="4">
        <v>3503.9</v>
      </c>
      <c r="G550" s="4">
        <v>3503.9</v>
      </c>
      <c r="H550" s="4">
        <v>3503.9</v>
      </c>
      <c r="I550" s="237"/>
    </row>
    <row r="551" spans="1:9" ht="25.5" x14ac:dyDescent="0.2">
      <c r="A551" s="18" t="s">
        <v>187</v>
      </c>
      <c r="B551" s="19" t="s">
        <v>61</v>
      </c>
      <c r="C551" s="19" t="s">
        <v>12</v>
      </c>
      <c r="D551" s="19" t="s">
        <v>186</v>
      </c>
      <c r="E551" s="19"/>
      <c r="F551" s="20">
        <v>3503.9</v>
      </c>
      <c r="G551" s="20">
        <v>3503.9</v>
      </c>
      <c r="H551" s="20">
        <v>3503.9</v>
      </c>
      <c r="I551" s="237"/>
    </row>
    <row r="552" spans="1:9" x14ac:dyDescent="0.2">
      <c r="A552" s="28" t="s">
        <v>74</v>
      </c>
      <c r="B552" s="24" t="s">
        <v>61</v>
      </c>
      <c r="C552" s="24" t="s">
        <v>12</v>
      </c>
      <c r="D552" s="24" t="s">
        <v>186</v>
      </c>
      <c r="E552" s="24" t="s">
        <v>75</v>
      </c>
      <c r="F552" s="25">
        <v>3503.9</v>
      </c>
      <c r="G552" s="25">
        <v>3503.9</v>
      </c>
      <c r="H552" s="25">
        <v>3503.9</v>
      </c>
      <c r="I552" s="237"/>
    </row>
    <row r="553" spans="1:9" x14ac:dyDescent="0.2">
      <c r="A553" s="18" t="s">
        <v>363</v>
      </c>
      <c r="B553" s="19" t="s">
        <v>364</v>
      </c>
      <c r="C553" s="19"/>
      <c r="D553" s="19"/>
      <c r="E553" s="19"/>
      <c r="F553" s="20"/>
      <c r="G553" s="20">
        <v>22381</v>
      </c>
      <c r="H553" s="20">
        <v>40567.9</v>
      </c>
      <c r="I553" s="117"/>
    </row>
    <row r="554" spans="1:9" x14ac:dyDescent="0.2">
      <c r="A554" s="18" t="s">
        <v>363</v>
      </c>
      <c r="B554" s="19" t="s">
        <v>364</v>
      </c>
      <c r="C554" s="16" t="s">
        <v>364</v>
      </c>
      <c r="D554" s="19"/>
      <c r="E554" s="19"/>
      <c r="F554" s="20"/>
      <c r="G554" s="20">
        <v>22381</v>
      </c>
      <c r="H554" s="20">
        <v>40567.9</v>
      </c>
      <c r="I554" s="117"/>
    </row>
    <row r="555" spans="1:9" x14ac:dyDescent="0.2">
      <c r="A555" s="18" t="s">
        <v>363</v>
      </c>
      <c r="B555" s="19" t="s">
        <v>364</v>
      </c>
      <c r="C555" s="16" t="s">
        <v>364</v>
      </c>
      <c r="D555" s="19" t="s">
        <v>365</v>
      </c>
      <c r="E555" s="19"/>
      <c r="F555" s="20"/>
      <c r="G555" s="20">
        <v>22381</v>
      </c>
      <c r="H555" s="20">
        <v>40567.9</v>
      </c>
      <c r="I555" s="117"/>
    </row>
    <row r="556" spans="1:9" s="26" customFormat="1" x14ac:dyDescent="0.2">
      <c r="A556" s="28" t="s">
        <v>363</v>
      </c>
      <c r="B556" s="19" t="s">
        <v>364</v>
      </c>
      <c r="C556" s="16" t="s">
        <v>364</v>
      </c>
      <c r="D556" s="19" t="s">
        <v>365</v>
      </c>
      <c r="E556" s="24" t="s">
        <v>73</v>
      </c>
      <c r="F556" s="25"/>
      <c r="G556" s="25">
        <v>22381</v>
      </c>
      <c r="H556" s="25">
        <v>40567.9</v>
      </c>
      <c r="I556" s="118"/>
    </row>
    <row r="557" spans="1:9" ht="15.75" x14ac:dyDescent="0.25">
      <c r="A557" s="144" t="s">
        <v>58</v>
      </c>
      <c r="B557" s="143"/>
      <c r="C557" s="143"/>
      <c r="D557" s="143"/>
      <c r="E557" s="143"/>
      <c r="F557" s="206">
        <v>3554306.0833700001</v>
      </c>
      <c r="G557" s="206">
        <v>2743590.4217400001</v>
      </c>
      <c r="H557" s="206">
        <v>2712916.764</v>
      </c>
      <c r="I557" s="237"/>
    </row>
    <row r="558" spans="1:9" ht="15" customHeight="1" x14ac:dyDescent="0.2">
      <c r="A558" s="211" t="s">
        <v>667</v>
      </c>
      <c r="B558" s="212"/>
      <c r="C558" s="212"/>
      <c r="D558" s="212"/>
      <c r="E558" s="212"/>
      <c r="F558" s="213">
        <v>-93487.635819999996</v>
      </c>
      <c r="G558" s="213">
        <v>-33122.199999999997</v>
      </c>
      <c r="H558" s="213">
        <v>-31169.200000000001</v>
      </c>
      <c r="I558" s="237">
        <v>34538</v>
      </c>
    </row>
    <row r="559" spans="1:9" ht="0.75" customHeight="1" x14ac:dyDescent="0.2">
      <c r="A559" s="214"/>
      <c r="B559" s="215"/>
      <c r="C559" s="215"/>
      <c r="D559" s="215"/>
      <c r="E559" s="215"/>
      <c r="F559" s="216">
        <f>F557-[1]первоначальный!$G$603</f>
        <v>1047257.6833700002</v>
      </c>
      <c r="G559" s="216">
        <f>G557-[1]первоначальный!$H$603</f>
        <v>501814.22173999995</v>
      </c>
      <c r="H559" s="216">
        <f>H557-[1]первоначальный!$I$603</f>
        <v>501595.16399999987</v>
      </c>
      <c r="I559" s="237"/>
    </row>
    <row r="560" spans="1:9" ht="16.5" customHeight="1" x14ac:dyDescent="0.2">
      <c r="A560" s="214"/>
      <c r="B560" s="215"/>
      <c r="C560" s="215"/>
      <c r="D560" s="215"/>
      <c r="E560" s="215"/>
      <c r="F560" s="134"/>
      <c r="G560" s="134"/>
      <c r="H560" s="134"/>
    </row>
    <row r="561" spans="1:9" x14ac:dyDescent="0.2">
      <c r="A561" s="214"/>
      <c r="B561" s="215"/>
      <c r="C561" s="215"/>
      <c r="D561" s="215"/>
      <c r="E561" s="215"/>
      <c r="F561" s="223"/>
      <c r="G561" s="223"/>
      <c r="H561" s="223"/>
    </row>
    <row r="562" spans="1:9" ht="38.25" customHeight="1" x14ac:dyDescent="0.2">
      <c r="A562" s="293" t="s">
        <v>736</v>
      </c>
      <c r="B562" s="293"/>
      <c r="C562" s="293"/>
      <c r="F562" s="134"/>
      <c r="G562" s="136"/>
      <c r="H562" s="137" t="s">
        <v>737</v>
      </c>
      <c r="I562" s="137" t="s">
        <v>737</v>
      </c>
    </row>
    <row r="564" spans="1:9" s="79" customFormat="1" x14ac:dyDescent="0.2">
      <c r="A564" s="237"/>
      <c r="B564" s="266"/>
      <c r="C564" s="266"/>
      <c r="D564" s="266"/>
      <c r="E564" s="266"/>
      <c r="F564" s="134"/>
      <c r="G564" s="134"/>
      <c r="H564" s="134"/>
    </row>
    <row r="565" spans="1:9" s="79" customFormat="1" x14ac:dyDescent="0.2">
      <c r="A565" s="237"/>
      <c r="B565" s="266"/>
      <c r="C565" s="266"/>
      <c r="D565" s="266"/>
      <c r="E565" s="266"/>
      <c r="F565" s="134"/>
      <c r="G565" s="134"/>
      <c r="H565" s="134"/>
    </row>
    <row r="567" spans="1:9" s="79" customFormat="1" x14ac:dyDescent="0.2">
      <c r="A567" s="237"/>
      <c r="B567" s="266"/>
      <c r="C567" s="266"/>
      <c r="D567" s="266"/>
      <c r="E567" s="266"/>
      <c r="F567" s="134"/>
      <c r="G567" s="134"/>
      <c r="H567" s="134"/>
    </row>
    <row r="572" spans="1:9" s="79" customFormat="1" x14ac:dyDescent="0.2">
      <c r="A572" s="237"/>
      <c r="B572" s="237"/>
      <c r="C572" s="237"/>
      <c r="D572" s="237"/>
      <c r="E572" s="237"/>
      <c r="F572" s="237"/>
      <c r="G572" s="237"/>
      <c r="H572" s="237"/>
    </row>
    <row r="573" spans="1:9" s="79" customFormat="1" x14ac:dyDescent="0.2">
      <c r="A573" s="237"/>
      <c r="B573" s="237"/>
      <c r="C573" s="237"/>
      <c r="D573" s="237"/>
      <c r="E573" s="237"/>
      <c r="F573" s="237"/>
      <c r="G573" s="237"/>
      <c r="H573" s="237"/>
    </row>
    <row r="574" spans="1:9" s="79" customFormat="1" x14ac:dyDescent="0.2">
      <c r="A574" s="237"/>
      <c r="B574" s="237"/>
      <c r="C574" s="237"/>
      <c r="D574" s="237"/>
      <c r="E574" s="237"/>
      <c r="F574" s="237"/>
      <c r="G574" s="237"/>
      <c r="H574" s="237"/>
    </row>
    <row r="575" spans="1:9" s="79" customFormat="1" x14ac:dyDescent="0.2">
      <c r="A575" s="237"/>
      <c r="B575" s="237"/>
      <c r="C575" s="237"/>
      <c r="D575" s="237"/>
      <c r="E575" s="237"/>
      <c r="F575" s="237"/>
      <c r="G575" s="237"/>
      <c r="H575" s="237"/>
    </row>
    <row r="576" spans="1:9" s="79" customFormat="1" x14ac:dyDescent="0.2">
      <c r="A576" s="237"/>
      <c r="B576" s="237"/>
      <c r="C576" s="237"/>
      <c r="D576" s="237"/>
      <c r="E576" s="237"/>
      <c r="F576" s="237"/>
      <c r="G576" s="237"/>
      <c r="H576" s="237"/>
    </row>
    <row r="577" spans="1:8" s="79" customFormat="1" x14ac:dyDescent="0.2">
      <c r="A577" s="237"/>
      <c r="B577" s="237"/>
      <c r="C577" s="237"/>
      <c r="D577" s="237"/>
      <c r="E577" s="237"/>
      <c r="F577" s="237"/>
      <c r="G577" s="237"/>
      <c r="H577" s="237"/>
    </row>
    <row r="578" spans="1:8" s="79" customFormat="1" x14ac:dyDescent="0.2">
      <c r="A578" s="237"/>
      <c r="B578" s="237"/>
      <c r="C578" s="237"/>
      <c r="D578" s="237"/>
      <c r="E578" s="237"/>
      <c r="F578" s="237"/>
      <c r="G578" s="237"/>
      <c r="H578" s="237"/>
    </row>
    <row r="579" spans="1:8" s="79" customFormat="1" x14ac:dyDescent="0.2">
      <c r="A579" s="237"/>
      <c r="B579" s="237"/>
      <c r="C579" s="237"/>
      <c r="D579" s="237"/>
      <c r="E579" s="237"/>
      <c r="F579" s="237"/>
      <c r="G579" s="237"/>
      <c r="H579" s="237"/>
    </row>
    <row r="580" spans="1:8" s="79" customFormat="1" x14ac:dyDescent="0.2">
      <c r="A580" s="237"/>
      <c r="B580" s="237"/>
      <c r="C580" s="237"/>
      <c r="D580" s="237"/>
      <c r="E580" s="237"/>
      <c r="F580" s="237"/>
      <c r="G580" s="237"/>
      <c r="H580" s="237"/>
    </row>
    <row r="581" spans="1:8" s="79" customFormat="1" x14ac:dyDescent="0.2">
      <c r="A581" s="237"/>
      <c r="B581" s="237"/>
      <c r="C581" s="237"/>
      <c r="D581" s="237"/>
      <c r="E581" s="237"/>
      <c r="F581" s="237"/>
      <c r="G581" s="237"/>
      <c r="H581" s="237"/>
    </row>
    <row r="582" spans="1:8" s="79" customFormat="1" x14ac:dyDescent="0.2">
      <c r="A582" s="237"/>
      <c r="B582" s="237"/>
      <c r="C582" s="237"/>
      <c r="D582" s="237"/>
      <c r="E582" s="237"/>
      <c r="F582" s="237"/>
      <c r="G582" s="237"/>
      <c r="H582" s="237"/>
    </row>
    <row r="583" spans="1:8" s="79" customFormat="1" x14ac:dyDescent="0.2">
      <c r="A583" s="237"/>
      <c r="B583" s="237"/>
      <c r="C583" s="237"/>
      <c r="D583" s="237"/>
      <c r="E583" s="237"/>
      <c r="F583" s="237"/>
      <c r="G583" s="237"/>
      <c r="H583" s="237"/>
    </row>
    <row r="584" spans="1:8" s="79" customFormat="1" x14ac:dyDescent="0.2">
      <c r="A584" s="237"/>
      <c r="B584" s="237"/>
      <c r="C584" s="237"/>
      <c r="D584" s="237"/>
      <c r="E584" s="237"/>
      <c r="F584" s="237"/>
      <c r="G584" s="237"/>
      <c r="H584" s="237"/>
    </row>
    <row r="585" spans="1:8" s="79" customFormat="1" x14ac:dyDescent="0.2">
      <c r="A585" s="237"/>
      <c r="B585" s="237"/>
      <c r="C585" s="237"/>
      <c r="D585" s="237"/>
      <c r="E585" s="237"/>
      <c r="F585" s="237"/>
      <c r="G585" s="237"/>
      <c r="H585" s="237"/>
    </row>
    <row r="586" spans="1:8" s="79" customFormat="1" x14ac:dyDescent="0.2">
      <c r="A586" s="237"/>
      <c r="B586" s="237"/>
      <c r="C586" s="237"/>
      <c r="D586" s="237"/>
      <c r="E586" s="237"/>
      <c r="F586" s="237"/>
      <c r="G586" s="237"/>
      <c r="H586" s="237"/>
    </row>
    <row r="587" spans="1:8" s="79" customFormat="1" x14ac:dyDescent="0.2">
      <c r="A587" s="237"/>
      <c r="B587" s="237"/>
      <c r="C587" s="237"/>
      <c r="D587" s="237"/>
      <c r="E587" s="237"/>
      <c r="F587" s="237"/>
      <c r="G587" s="237"/>
      <c r="H587" s="237"/>
    </row>
    <row r="588" spans="1:8" s="79" customFormat="1" x14ac:dyDescent="0.2">
      <c r="A588" s="237"/>
      <c r="B588" s="237"/>
      <c r="C588" s="237"/>
      <c r="D588" s="237"/>
      <c r="E588" s="237"/>
      <c r="F588" s="237"/>
      <c r="G588" s="237"/>
      <c r="H588" s="237"/>
    </row>
    <row r="589" spans="1:8" s="79" customFormat="1" x14ac:dyDescent="0.2">
      <c r="A589" s="237"/>
      <c r="B589" s="237"/>
      <c r="C589" s="237"/>
      <c r="D589" s="237"/>
      <c r="E589" s="237"/>
      <c r="F589" s="237"/>
      <c r="G589" s="237"/>
      <c r="H589" s="237"/>
    </row>
    <row r="590" spans="1:8" s="79" customFormat="1" x14ac:dyDescent="0.2">
      <c r="A590" s="237"/>
      <c r="B590" s="237"/>
      <c r="C590" s="237"/>
      <c r="D590" s="237"/>
      <c r="E590" s="237"/>
      <c r="F590" s="237"/>
      <c r="G590" s="237"/>
      <c r="H590" s="237"/>
    </row>
    <row r="591" spans="1:8" s="79" customFormat="1" x14ac:dyDescent="0.2">
      <c r="A591" s="237"/>
      <c r="B591" s="237"/>
      <c r="C591" s="237"/>
      <c r="D591" s="237"/>
      <c r="E591" s="237"/>
      <c r="F591" s="237"/>
      <c r="G591" s="237"/>
      <c r="H591" s="237"/>
    </row>
    <row r="592" spans="1:8" s="79" customFormat="1" x14ac:dyDescent="0.2">
      <c r="A592" s="237"/>
      <c r="B592" s="237"/>
      <c r="C592" s="237"/>
      <c r="D592" s="237"/>
      <c r="E592" s="237"/>
      <c r="F592" s="237"/>
      <c r="G592" s="237"/>
      <c r="H592" s="237"/>
    </row>
    <row r="593" spans="1:8" s="79" customFormat="1" x14ac:dyDescent="0.2">
      <c r="A593" s="237"/>
      <c r="B593" s="237"/>
      <c r="C593" s="237"/>
      <c r="D593" s="237"/>
      <c r="E593" s="237"/>
      <c r="F593" s="237"/>
      <c r="G593" s="237"/>
      <c r="H593" s="237"/>
    </row>
    <row r="594" spans="1:8" s="79" customFormat="1" x14ac:dyDescent="0.2">
      <c r="A594" s="237"/>
      <c r="B594" s="237"/>
      <c r="C594" s="237"/>
      <c r="D594" s="237"/>
      <c r="E594" s="237"/>
      <c r="F594" s="237"/>
      <c r="G594" s="237"/>
      <c r="H594" s="237"/>
    </row>
    <row r="595" spans="1:8" s="79" customFormat="1" x14ac:dyDescent="0.2">
      <c r="A595" s="237"/>
      <c r="B595" s="237"/>
      <c r="C595" s="237"/>
      <c r="D595" s="237"/>
      <c r="E595" s="237"/>
      <c r="F595" s="237"/>
      <c r="G595" s="237"/>
      <c r="H595" s="237"/>
    </row>
    <row r="596" spans="1:8" s="79" customFormat="1" x14ac:dyDescent="0.2">
      <c r="A596" s="237"/>
      <c r="B596" s="237"/>
      <c r="C596" s="237"/>
      <c r="D596" s="237"/>
      <c r="E596" s="237"/>
      <c r="F596" s="237"/>
      <c r="G596" s="237"/>
      <c r="H596" s="237"/>
    </row>
    <row r="597" spans="1:8" s="79" customFormat="1" x14ac:dyDescent="0.2">
      <c r="A597" s="237"/>
      <c r="B597" s="237"/>
      <c r="C597" s="237"/>
      <c r="D597" s="237"/>
      <c r="E597" s="237"/>
      <c r="F597" s="237"/>
      <c r="G597" s="237"/>
      <c r="H597" s="237"/>
    </row>
    <row r="598" spans="1:8" s="79" customFormat="1" x14ac:dyDescent="0.2">
      <c r="A598" s="237"/>
      <c r="B598" s="237"/>
      <c r="C598" s="237"/>
      <c r="D598" s="237"/>
      <c r="E598" s="237"/>
      <c r="F598" s="237"/>
      <c r="G598" s="237"/>
      <c r="H598" s="237"/>
    </row>
    <row r="599" spans="1:8" s="79" customFormat="1" x14ac:dyDescent="0.2">
      <c r="A599" s="237"/>
      <c r="B599" s="237"/>
      <c r="C599" s="237"/>
      <c r="D599" s="237"/>
      <c r="E599" s="237"/>
      <c r="F599" s="237"/>
      <c r="G599" s="237"/>
      <c r="H599" s="237"/>
    </row>
    <row r="600" spans="1:8" s="79" customFormat="1" x14ac:dyDescent="0.2">
      <c r="A600" s="237"/>
      <c r="B600" s="237"/>
      <c r="C600" s="237"/>
      <c r="D600" s="237"/>
      <c r="E600" s="237"/>
      <c r="F600" s="237"/>
      <c r="G600" s="237"/>
      <c r="H600" s="237"/>
    </row>
    <row r="601" spans="1:8" s="79" customFormat="1" x14ac:dyDescent="0.2">
      <c r="A601" s="237"/>
      <c r="B601" s="237"/>
      <c r="C601" s="237"/>
      <c r="D601" s="237"/>
      <c r="E601" s="237"/>
      <c r="F601" s="237"/>
      <c r="G601" s="237"/>
      <c r="H601" s="237"/>
    </row>
    <row r="602" spans="1:8" s="79" customFormat="1" x14ac:dyDescent="0.2">
      <c r="A602" s="237"/>
      <c r="B602" s="237"/>
      <c r="C602" s="237"/>
      <c r="D602" s="237"/>
      <c r="E602" s="237"/>
      <c r="F602" s="237"/>
      <c r="G602" s="237"/>
      <c r="H602" s="237"/>
    </row>
    <row r="603" spans="1:8" s="79" customFormat="1" x14ac:dyDescent="0.2">
      <c r="A603" s="237"/>
      <c r="B603" s="237"/>
      <c r="C603" s="237"/>
      <c r="D603" s="237"/>
      <c r="E603" s="237"/>
      <c r="F603" s="237"/>
      <c r="G603" s="237"/>
      <c r="H603" s="237"/>
    </row>
    <row r="604" spans="1:8" s="79" customFormat="1" x14ac:dyDescent="0.2">
      <c r="A604" s="237"/>
      <c r="B604" s="237"/>
      <c r="C604" s="237"/>
      <c r="D604" s="237"/>
      <c r="E604" s="237"/>
      <c r="F604" s="237"/>
      <c r="G604" s="237"/>
      <c r="H604" s="237"/>
    </row>
    <row r="605" spans="1:8" s="79" customFormat="1" x14ac:dyDescent="0.2">
      <c r="A605" s="237"/>
      <c r="B605" s="237"/>
      <c r="C605" s="237"/>
      <c r="D605" s="237"/>
      <c r="E605" s="237"/>
      <c r="F605" s="237"/>
      <c r="G605" s="237"/>
      <c r="H605" s="237"/>
    </row>
    <row r="606" spans="1:8" s="79" customFormat="1" x14ac:dyDescent="0.2">
      <c r="A606" s="237"/>
      <c r="B606" s="237"/>
      <c r="C606" s="237"/>
      <c r="D606" s="237"/>
      <c r="E606" s="237"/>
      <c r="F606" s="237"/>
      <c r="G606" s="237"/>
      <c r="H606" s="237"/>
    </row>
    <row r="607" spans="1:8" s="79" customFormat="1" x14ac:dyDescent="0.2">
      <c r="A607" s="237"/>
      <c r="B607" s="237"/>
      <c r="C607" s="237"/>
      <c r="D607" s="237"/>
      <c r="E607" s="237"/>
      <c r="F607" s="237"/>
      <c r="G607" s="237"/>
      <c r="H607" s="237"/>
    </row>
    <row r="608" spans="1:8" s="79" customFormat="1" x14ac:dyDescent="0.2">
      <c r="A608" s="237"/>
      <c r="B608" s="237"/>
      <c r="C608" s="237"/>
      <c r="D608" s="237"/>
      <c r="E608" s="237"/>
      <c r="F608" s="237"/>
      <c r="G608" s="237"/>
      <c r="H608" s="237"/>
    </row>
    <row r="609" spans="1:8" s="79" customFormat="1" x14ac:dyDescent="0.2">
      <c r="A609" s="237"/>
      <c r="B609" s="237"/>
      <c r="C609" s="237"/>
      <c r="D609" s="237"/>
      <c r="E609" s="237"/>
      <c r="F609" s="237"/>
      <c r="G609" s="237"/>
      <c r="H609" s="237"/>
    </row>
    <row r="610" spans="1:8" s="79" customFormat="1" x14ac:dyDescent="0.2">
      <c r="A610" s="237"/>
      <c r="B610" s="237"/>
      <c r="C610" s="237"/>
      <c r="D610" s="237"/>
      <c r="E610" s="237"/>
      <c r="F610" s="237"/>
      <c r="G610" s="237"/>
      <c r="H610" s="237"/>
    </row>
    <row r="611" spans="1:8" s="79" customFormat="1" x14ac:dyDescent="0.2">
      <c r="A611" s="237"/>
      <c r="B611" s="237"/>
      <c r="C611" s="237"/>
      <c r="D611" s="237"/>
      <c r="E611" s="237"/>
      <c r="F611" s="237"/>
      <c r="G611" s="237"/>
      <c r="H611" s="237"/>
    </row>
    <row r="612" spans="1:8" s="79" customFormat="1" x14ac:dyDescent="0.2">
      <c r="A612" s="237"/>
      <c r="B612" s="237"/>
      <c r="C612" s="237"/>
      <c r="D612" s="237"/>
      <c r="E612" s="237"/>
      <c r="F612" s="237"/>
      <c r="G612" s="237"/>
      <c r="H612" s="237"/>
    </row>
    <row r="613" spans="1:8" s="79" customFormat="1" x14ac:dyDescent="0.2">
      <c r="A613" s="237"/>
      <c r="B613" s="237"/>
      <c r="C613" s="237"/>
      <c r="D613" s="237"/>
      <c r="E613" s="237"/>
      <c r="F613" s="237"/>
      <c r="G613" s="237"/>
      <c r="H613" s="237"/>
    </row>
    <row r="614" spans="1:8" s="79" customFormat="1" x14ac:dyDescent="0.2">
      <c r="A614" s="237"/>
      <c r="B614" s="237"/>
      <c r="C614" s="237"/>
      <c r="D614" s="237"/>
      <c r="E614" s="237"/>
      <c r="F614" s="237"/>
      <c r="G614" s="237"/>
      <c r="H614" s="237"/>
    </row>
    <row r="615" spans="1:8" s="79" customFormat="1" x14ac:dyDescent="0.2">
      <c r="A615" s="237"/>
      <c r="B615" s="237"/>
      <c r="C615" s="237"/>
      <c r="D615" s="237"/>
      <c r="E615" s="237"/>
      <c r="F615" s="237"/>
      <c r="G615" s="237"/>
      <c r="H615" s="237"/>
    </row>
    <row r="616" spans="1:8" s="79" customFormat="1" x14ac:dyDescent="0.2">
      <c r="A616" s="237"/>
      <c r="B616" s="237"/>
      <c r="C616" s="237"/>
      <c r="D616" s="237"/>
      <c r="E616" s="237"/>
      <c r="F616" s="237"/>
      <c r="G616" s="237"/>
      <c r="H616" s="237"/>
    </row>
    <row r="617" spans="1:8" s="79" customFormat="1" x14ac:dyDescent="0.2">
      <c r="A617" s="237"/>
      <c r="B617" s="237"/>
      <c r="C617" s="237"/>
      <c r="D617" s="237"/>
      <c r="E617" s="237"/>
      <c r="F617" s="237"/>
      <c r="G617" s="237"/>
      <c r="H617" s="237"/>
    </row>
    <row r="618" spans="1:8" s="79" customFormat="1" x14ac:dyDescent="0.2">
      <c r="A618" s="237"/>
      <c r="B618" s="237"/>
      <c r="C618" s="237"/>
      <c r="D618" s="237"/>
      <c r="E618" s="237"/>
      <c r="F618" s="237"/>
      <c r="G618" s="237"/>
      <c r="H618" s="237"/>
    </row>
    <row r="619" spans="1:8" s="79" customFormat="1" x14ac:dyDescent="0.2">
      <c r="A619" s="237"/>
      <c r="B619" s="237"/>
      <c r="C619" s="237"/>
      <c r="D619" s="237"/>
      <c r="E619" s="237"/>
      <c r="F619" s="237"/>
      <c r="G619" s="237"/>
      <c r="H619" s="237"/>
    </row>
    <row r="620" spans="1:8" s="79" customFormat="1" x14ac:dyDescent="0.2">
      <c r="A620" s="237"/>
      <c r="B620" s="237"/>
      <c r="C620" s="237"/>
      <c r="D620" s="237"/>
      <c r="E620" s="237"/>
      <c r="F620" s="237"/>
      <c r="G620" s="237"/>
      <c r="H620" s="237"/>
    </row>
    <row r="621" spans="1:8" s="79" customFormat="1" x14ac:dyDescent="0.2">
      <c r="A621" s="237"/>
      <c r="B621" s="237"/>
      <c r="C621" s="237"/>
      <c r="D621" s="237"/>
      <c r="E621" s="237"/>
      <c r="F621" s="237"/>
      <c r="G621" s="237"/>
      <c r="H621" s="237"/>
    </row>
    <row r="622" spans="1:8" s="79" customFormat="1" x14ac:dyDescent="0.2">
      <c r="A622" s="237"/>
      <c r="B622" s="237"/>
      <c r="C622" s="237"/>
      <c r="D622" s="237"/>
      <c r="E622" s="237"/>
      <c r="F622" s="237"/>
      <c r="G622" s="237"/>
      <c r="H622" s="237"/>
    </row>
    <row r="623" spans="1:8" s="79" customFormat="1" x14ac:dyDescent="0.2">
      <c r="A623" s="237"/>
      <c r="B623" s="237"/>
      <c r="C623" s="237"/>
      <c r="D623" s="237"/>
      <c r="E623" s="237"/>
      <c r="F623" s="237"/>
      <c r="G623" s="237"/>
      <c r="H623" s="237"/>
    </row>
    <row r="624" spans="1:8" s="79" customFormat="1" x14ac:dyDescent="0.2">
      <c r="A624" s="237"/>
      <c r="B624" s="237"/>
      <c r="C624" s="237"/>
      <c r="D624" s="237"/>
      <c r="E624" s="237"/>
      <c r="F624" s="237"/>
      <c r="G624" s="237"/>
      <c r="H624" s="237"/>
    </row>
    <row r="625" spans="1:8" s="79" customFormat="1" x14ac:dyDescent="0.2">
      <c r="A625" s="237"/>
      <c r="B625" s="237"/>
      <c r="C625" s="237"/>
      <c r="D625" s="237"/>
      <c r="E625" s="237"/>
      <c r="F625" s="237"/>
      <c r="G625" s="237"/>
      <c r="H625" s="237"/>
    </row>
    <row r="626" spans="1:8" s="79" customFormat="1" x14ac:dyDescent="0.2">
      <c r="A626" s="237"/>
      <c r="B626" s="237"/>
      <c r="C626" s="237"/>
      <c r="D626" s="237"/>
      <c r="E626" s="237"/>
      <c r="F626" s="237"/>
      <c r="G626" s="237"/>
      <c r="H626" s="237"/>
    </row>
    <row r="627" spans="1:8" s="79" customFormat="1" x14ac:dyDescent="0.2">
      <c r="A627" s="237"/>
      <c r="B627" s="237"/>
      <c r="C627" s="237"/>
      <c r="D627" s="237"/>
      <c r="E627" s="237"/>
      <c r="F627" s="237"/>
      <c r="G627" s="237"/>
      <c r="H627" s="237"/>
    </row>
    <row r="628" spans="1:8" s="79" customFormat="1" x14ac:dyDescent="0.2">
      <c r="A628" s="237"/>
      <c r="B628" s="237"/>
      <c r="C628" s="237"/>
      <c r="D628" s="237"/>
      <c r="E628" s="237"/>
      <c r="F628" s="237"/>
      <c r="G628" s="237"/>
      <c r="H628" s="237"/>
    </row>
    <row r="629" spans="1:8" s="79" customFormat="1" x14ac:dyDescent="0.2">
      <c r="A629" s="237"/>
      <c r="B629" s="237"/>
      <c r="C629" s="237"/>
      <c r="D629" s="237"/>
      <c r="E629" s="237"/>
      <c r="F629" s="237"/>
      <c r="G629" s="237"/>
      <c r="H629" s="237"/>
    </row>
    <row r="630" spans="1:8" s="79" customFormat="1" x14ac:dyDescent="0.2">
      <c r="A630" s="237"/>
      <c r="B630" s="237"/>
      <c r="C630" s="237"/>
      <c r="D630" s="237"/>
      <c r="E630" s="237"/>
      <c r="F630" s="237"/>
      <c r="G630" s="237"/>
      <c r="H630" s="237"/>
    </row>
    <row r="631" spans="1:8" s="79" customFormat="1" x14ac:dyDescent="0.2">
      <c r="A631" s="237"/>
      <c r="B631" s="237"/>
      <c r="C631" s="237"/>
      <c r="D631" s="237"/>
      <c r="E631" s="237"/>
      <c r="F631" s="237"/>
      <c r="G631" s="237"/>
      <c r="H631" s="237"/>
    </row>
    <row r="632" spans="1:8" s="79" customFormat="1" x14ac:dyDescent="0.2">
      <c r="A632" s="237"/>
      <c r="B632" s="237"/>
      <c r="C632" s="237"/>
      <c r="D632" s="237"/>
      <c r="E632" s="237"/>
      <c r="F632" s="237"/>
      <c r="G632" s="237"/>
      <c r="H632" s="237"/>
    </row>
    <row r="633" spans="1:8" s="79" customFormat="1" x14ac:dyDescent="0.2">
      <c r="A633" s="237"/>
      <c r="B633" s="237"/>
      <c r="C633" s="237"/>
      <c r="D633" s="237"/>
      <c r="E633" s="237"/>
      <c r="F633" s="237"/>
      <c r="G633" s="237"/>
      <c r="H633" s="237"/>
    </row>
    <row r="634" spans="1:8" s="79" customFormat="1" x14ac:dyDescent="0.2">
      <c r="A634" s="237"/>
      <c r="B634" s="237"/>
      <c r="C634" s="237"/>
      <c r="D634" s="237"/>
      <c r="E634" s="237"/>
      <c r="F634" s="237"/>
      <c r="G634" s="237"/>
      <c r="H634" s="237"/>
    </row>
    <row r="635" spans="1:8" s="79" customFormat="1" x14ac:dyDescent="0.2">
      <c r="A635" s="237"/>
      <c r="B635" s="237"/>
      <c r="C635" s="237"/>
      <c r="D635" s="237"/>
      <c r="E635" s="237"/>
      <c r="F635" s="237"/>
      <c r="G635" s="237"/>
      <c r="H635" s="237"/>
    </row>
    <row r="636" spans="1:8" s="79" customFormat="1" x14ac:dyDescent="0.2">
      <c r="A636" s="237"/>
      <c r="B636" s="237"/>
      <c r="C636" s="237"/>
      <c r="D636" s="237"/>
      <c r="E636" s="237"/>
      <c r="F636" s="237"/>
      <c r="G636" s="237"/>
      <c r="H636" s="237"/>
    </row>
    <row r="637" spans="1:8" s="79" customFormat="1" x14ac:dyDescent="0.2">
      <c r="A637" s="237"/>
      <c r="B637" s="237"/>
      <c r="C637" s="237"/>
      <c r="D637" s="237"/>
      <c r="E637" s="237"/>
      <c r="F637" s="237"/>
      <c r="G637" s="237"/>
      <c r="H637" s="237"/>
    </row>
    <row r="638" spans="1:8" s="79" customFormat="1" x14ac:dyDescent="0.2">
      <c r="A638" s="237"/>
      <c r="B638" s="237"/>
      <c r="C638" s="237"/>
      <c r="D638" s="237"/>
      <c r="E638" s="237"/>
      <c r="F638" s="237"/>
      <c r="G638" s="237"/>
      <c r="H638" s="237"/>
    </row>
    <row r="639" spans="1:8" s="79" customFormat="1" x14ac:dyDescent="0.2">
      <c r="A639" s="237"/>
      <c r="B639" s="237"/>
      <c r="C639" s="237"/>
      <c r="D639" s="237"/>
      <c r="E639" s="237"/>
      <c r="F639" s="237"/>
      <c r="G639" s="237"/>
      <c r="H639" s="237"/>
    </row>
    <row r="640" spans="1:8" s="79" customFormat="1" x14ac:dyDescent="0.2">
      <c r="A640" s="237"/>
      <c r="B640" s="237"/>
      <c r="C640" s="237"/>
      <c r="D640" s="237"/>
      <c r="E640" s="237"/>
      <c r="F640" s="237"/>
      <c r="G640" s="237"/>
      <c r="H640" s="237"/>
    </row>
    <row r="641" spans="1:8" s="79" customFormat="1" x14ac:dyDescent="0.2">
      <c r="A641" s="237"/>
      <c r="B641" s="237"/>
      <c r="C641" s="237"/>
      <c r="D641" s="237"/>
      <c r="E641" s="237"/>
      <c r="F641" s="237"/>
      <c r="G641" s="237"/>
      <c r="H641" s="237"/>
    </row>
    <row r="642" spans="1:8" s="79" customFormat="1" x14ac:dyDescent="0.2">
      <c r="A642" s="237"/>
      <c r="B642" s="237"/>
      <c r="C642" s="237"/>
      <c r="D642" s="237"/>
      <c r="E642" s="237"/>
      <c r="F642" s="237"/>
      <c r="G642" s="237"/>
      <c r="H642" s="237"/>
    </row>
    <row r="643" spans="1:8" s="79" customFormat="1" x14ac:dyDescent="0.2">
      <c r="A643" s="237"/>
      <c r="B643" s="237"/>
      <c r="C643" s="237"/>
      <c r="D643" s="237"/>
      <c r="E643" s="237"/>
      <c r="F643" s="237"/>
      <c r="G643" s="237"/>
      <c r="H643" s="237"/>
    </row>
    <row r="644" spans="1:8" s="79" customFormat="1" x14ac:dyDescent="0.2">
      <c r="A644" s="237"/>
      <c r="B644" s="237"/>
      <c r="C644" s="237"/>
      <c r="D644" s="237"/>
      <c r="E644" s="237"/>
      <c r="F644" s="237"/>
      <c r="G644" s="237"/>
      <c r="H644" s="237"/>
    </row>
    <row r="645" spans="1:8" s="79" customFormat="1" x14ac:dyDescent="0.2">
      <c r="A645" s="237"/>
      <c r="B645" s="237"/>
      <c r="C645" s="237"/>
      <c r="D645" s="237"/>
      <c r="E645" s="237"/>
      <c r="F645" s="237"/>
      <c r="G645" s="237"/>
      <c r="H645" s="237"/>
    </row>
    <row r="646" spans="1:8" s="79" customFormat="1" x14ac:dyDescent="0.2">
      <c r="A646" s="237"/>
      <c r="B646" s="237"/>
      <c r="C646" s="237"/>
      <c r="D646" s="237"/>
      <c r="E646" s="237"/>
      <c r="F646" s="237"/>
      <c r="G646" s="237"/>
      <c r="H646" s="237"/>
    </row>
    <row r="647" spans="1:8" s="79" customFormat="1" x14ac:dyDescent="0.2">
      <c r="A647" s="237"/>
      <c r="B647" s="237"/>
      <c r="C647" s="237"/>
      <c r="D647" s="237"/>
      <c r="E647" s="237"/>
      <c r="F647" s="237"/>
      <c r="G647" s="237"/>
      <c r="H647" s="237"/>
    </row>
    <row r="648" spans="1:8" s="79" customFormat="1" x14ac:dyDescent="0.2">
      <c r="A648" s="237"/>
      <c r="B648" s="237"/>
      <c r="C648" s="237"/>
      <c r="D648" s="237"/>
      <c r="E648" s="237"/>
      <c r="F648" s="237"/>
      <c r="G648" s="237"/>
      <c r="H648" s="237"/>
    </row>
    <row r="649" spans="1:8" s="79" customFormat="1" x14ac:dyDescent="0.2">
      <c r="A649" s="237"/>
      <c r="B649" s="237"/>
      <c r="C649" s="237"/>
      <c r="D649" s="237"/>
      <c r="E649" s="237"/>
      <c r="F649" s="237"/>
      <c r="G649" s="237"/>
      <c r="H649" s="237"/>
    </row>
    <row r="650" spans="1:8" s="79" customFormat="1" x14ac:dyDescent="0.2">
      <c r="A650" s="237"/>
      <c r="B650" s="237"/>
      <c r="C650" s="237"/>
      <c r="D650" s="237"/>
      <c r="E650" s="237"/>
      <c r="F650" s="237"/>
      <c r="G650" s="237"/>
      <c r="H650" s="237"/>
    </row>
    <row r="651" spans="1:8" s="79" customFormat="1" x14ac:dyDescent="0.2">
      <c r="A651" s="237"/>
      <c r="B651" s="237"/>
      <c r="C651" s="237"/>
      <c r="D651" s="237"/>
      <c r="E651" s="237"/>
      <c r="F651" s="237"/>
      <c r="G651" s="237"/>
      <c r="H651" s="237"/>
    </row>
    <row r="652" spans="1:8" s="79" customFormat="1" x14ac:dyDescent="0.2">
      <c r="A652" s="237"/>
      <c r="B652" s="237"/>
      <c r="C652" s="237"/>
      <c r="D652" s="237"/>
      <c r="E652" s="237"/>
      <c r="F652" s="237"/>
      <c r="G652" s="237"/>
      <c r="H652" s="237"/>
    </row>
    <row r="653" spans="1:8" s="79" customFormat="1" x14ac:dyDescent="0.2">
      <c r="A653" s="237"/>
      <c r="B653" s="237"/>
      <c r="C653" s="237"/>
      <c r="D653" s="237"/>
      <c r="E653" s="237"/>
      <c r="F653" s="237"/>
      <c r="G653" s="237"/>
      <c r="H653" s="237"/>
    </row>
    <row r="654" spans="1:8" s="79" customFormat="1" x14ac:dyDescent="0.2">
      <c r="A654" s="237"/>
      <c r="B654" s="237"/>
      <c r="C654" s="237"/>
      <c r="D654" s="237"/>
      <c r="E654" s="237"/>
      <c r="F654" s="237"/>
      <c r="G654" s="237"/>
      <c r="H654" s="237"/>
    </row>
    <row r="655" spans="1:8" s="79" customFormat="1" x14ac:dyDescent="0.2">
      <c r="A655" s="237"/>
      <c r="B655" s="237"/>
      <c r="C655" s="237"/>
      <c r="D655" s="237"/>
      <c r="E655" s="237"/>
      <c r="F655" s="237"/>
      <c r="G655" s="237"/>
      <c r="H655" s="237"/>
    </row>
    <row r="656" spans="1:8" s="79" customFormat="1" x14ac:dyDescent="0.2">
      <c r="A656" s="237"/>
      <c r="B656" s="237"/>
      <c r="C656" s="237"/>
      <c r="D656" s="237"/>
      <c r="E656" s="237"/>
      <c r="F656" s="237"/>
      <c r="G656" s="237"/>
      <c r="H656" s="237"/>
    </row>
    <row r="657" spans="1:8" s="79" customFormat="1" x14ac:dyDescent="0.2">
      <c r="A657" s="237"/>
      <c r="B657" s="237"/>
      <c r="C657" s="237"/>
      <c r="D657" s="237"/>
      <c r="E657" s="237"/>
      <c r="F657" s="237"/>
      <c r="G657" s="237"/>
      <c r="H657" s="237"/>
    </row>
    <row r="658" spans="1:8" s="79" customFormat="1" x14ac:dyDescent="0.2">
      <c r="A658" s="237"/>
      <c r="B658" s="237"/>
      <c r="C658" s="237"/>
      <c r="D658" s="237"/>
      <c r="E658" s="237"/>
      <c r="F658" s="237"/>
      <c r="G658" s="237"/>
      <c r="H658" s="237"/>
    </row>
    <row r="659" spans="1:8" s="79" customFormat="1" x14ac:dyDescent="0.2">
      <c r="A659" s="237"/>
      <c r="B659" s="237"/>
      <c r="C659" s="237"/>
      <c r="D659" s="237"/>
      <c r="E659" s="237"/>
      <c r="F659" s="237"/>
      <c r="G659" s="237"/>
      <c r="H659" s="237"/>
    </row>
    <row r="660" spans="1:8" s="79" customFormat="1" x14ac:dyDescent="0.2">
      <c r="A660" s="237"/>
      <c r="B660" s="237"/>
      <c r="C660" s="237"/>
      <c r="D660" s="237"/>
      <c r="E660" s="237"/>
      <c r="F660" s="237"/>
      <c r="G660" s="237"/>
      <c r="H660" s="237"/>
    </row>
    <row r="661" spans="1:8" s="79" customFormat="1" x14ac:dyDescent="0.2">
      <c r="A661" s="237"/>
      <c r="B661" s="237"/>
      <c r="C661" s="237"/>
      <c r="D661" s="237"/>
      <c r="E661" s="237"/>
      <c r="F661" s="237"/>
      <c r="G661" s="237"/>
      <c r="H661" s="237"/>
    </row>
    <row r="662" spans="1:8" s="79" customFormat="1" x14ac:dyDescent="0.2">
      <c r="A662" s="237"/>
      <c r="B662" s="237"/>
      <c r="C662" s="237"/>
      <c r="D662" s="237"/>
      <c r="E662" s="237"/>
      <c r="F662" s="237"/>
      <c r="G662" s="237"/>
      <c r="H662" s="237"/>
    </row>
    <row r="663" spans="1:8" s="79" customFormat="1" x14ac:dyDescent="0.2">
      <c r="A663" s="237"/>
      <c r="B663" s="237"/>
      <c r="C663" s="237"/>
      <c r="D663" s="237"/>
      <c r="E663" s="237"/>
      <c r="F663" s="237"/>
      <c r="G663" s="237"/>
      <c r="H663" s="237"/>
    </row>
    <row r="664" spans="1:8" s="79" customFormat="1" x14ac:dyDescent="0.2">
      <c r="A664" s="237"/>
      <c r="B664" s="237"/>
      <c r="C664" s="237"/>
      <c r="D664" s="237"/>
      <c r="E664" s="237"/>
      <c r="F664" s="237"/>
      <c r="G664" s="237"/>
      <c r="H664" s="237"/>
    </row>
    <row r="665" spans="1:8" s="79" customFormat="1" x14ac:dyDescent="0.2">
      <c r="A665" s="237"/>
      <c r="B665" s="237"/>
      <c r="C665" s="237"/>
      <c r="D665" s="237"/>
      <c r="E665" s="237"/>
      <c r="F665" s="237"/>
      <c r="G665" s="237"/>
      <c r="H665" s="237"/>
    </row>
    <row r="666" spans="1:8" s="79" customFormat="1" x14ac:dyDescent="0.2">
      <c r="A666" s="237"/>
      <c r="B666" s="237"/>
      <c r="C666" s="237"/>
      <c r="D666" s="237"/>
      <c r="E666" s="237"/>
      <c r="F666" s="237"/>
      <c r="G666" s="237"/>
      <c r="H666" s="237"/>
    </row>
    <row r="667" spans="1:8" s="79" customFormat="1" x14ac:dyDescent="0.2">
      <c r="A667" s="237"/>
      <c r="B667" s="237"/>
      <c r="C667" s="237"/>
      <c r="D667" s="237"/>
      <c r="E667" s="237"/>
      <c r="F667" s="237"/>
      <c r="G667" s="237"/>
      <c r="H667" s="237"/>
    </row>
    <row r="668" spans="1:8" s="79" customFormat="1" x14ac:dyDescent="0.2">
      <c r="A668" s="237"/>
      <c r="B668" s="237"/>
      <c r="C668" s="237"/>
      <c r="D668" s="237"/>
      <c r="E668" s="237"/>
      <c r="F668" s="237"/>
      <c r="G668" s="237"/>
      <c r="H668" s="237"/>
    </row>
    <row r="669" spans="1:8" s="79" customFormat="1" x14ac:dyDescent="0.2">
      <c r="A669" s="237"/>
      <c r="B669" s="237"/>
      <c r="C669" s="237"/>
      <c r="D669" s="237"/>
      <c r="E669" s="237"/>
      <c r="F669" s="237"/>
      <c r="G669" s="237"/>
      <c r="H669" s="237"/>
    </row>
    <row r="670" spans="1:8" s="79" customFormat="1" x14ac:dyDescent="0.2">
      <c r="A670" s="237"/>
      <c r="B670" s="237"/>
      <c r="C670" s="237"/>
      <c r="D670" s="237"/>
      <c r="E670" s="237"/>
      <c r="F670" s="237"/>
      <c r="G670" s="237"/>
      <c r="H670" s="237"/>
    </row>
    <row r="671" spans="1:8" s="79" customFormat="1" x14ac:dyDescent="0.2">
      <c r="A671" s="237"/>
      <c r="B671" s="237"/>
      <c r="C671" s="237"/>
      <c r="D671" s="237"/>
      <c r="E671" s="237"/>
      <c r="F671" s="237"/>
      <c r="G671" s="237"/>
      <c r="H671" s="237"/>
    </row>
    <row r="672" spans="1:8" s="79" customFormat="1" x14ac:dyDescent="0.2">
      <c r="A672" s="237"/>
      <c r="B672" s="237"/>
      <c r="C672" s="237"/>
      <c r="D672" s="237"/>
      <c r="E672" s="237"/>
      <c r="F672" s="237"/>
      <c r="G672" s="237"/>
      <c r="H672" s="237"/>
    </row>
    <row r="673" spans="1:8" s="79" customFormat="1" x14ac:dyDescent="0.2">
      <c r="A673" s="237"/>
      <c r="B673" s="237"/>
      <c r="C673" s="237"/>
      <c r="D673" s="237"/>
      <c r="E673" s="237"/>
      <c r="F673" s="237"/>
      <c r="G673" s="237"/>
      <c r="H673" s="237"/>
    </row>
    <row r="674" spans="1:8" s="79" customFormat="1" x14ac:dyDescent="0.2">
      <c r="A674" s="237"/>
      <c r="B674" s="237"/>
      <c r="C674" s="237"/>
      <c r="D674" s="237"/>
      <c r="E674" s="237"/>
      <c r="F674" s="237"/>
      <c r="G674" s="237"/>
      <c r="H674" s="237"/>
    </row>
    <row r="675" spans="1:8" s="79" customFormat="1" x14ac:dyDescent="0.2">
      <c r="A675" s="237"/>
      <c r="B675" s="237"/>
      <c r="C675" s="237"/>
      <c r="D675" s="237"/>
      <c r="E675" s="237"/>
      <c r="F675" s="237"/>
      <c r="G675" s="237"/>
      <c r="H675" s="237"/>
    </row>
    <row r="676" spans="1:8" s="79" customFormat="1" x14ac:dyDescent="0.2">
      <c r="A676" s="237"/>
      <c r="B676" s="237"/>
      <c r="C676" s="237"/>
      <c r="D676" s="237"/>
      <c r="E676" s="237"/>
      <c r="F676" s="237"/>
      <c r="G676" s="237"/>
      <c r="H676" s="237"/>
    </row>
  </sheetData>
  <mergeCells count="10">
    <mergeCell ref="A9:H9"/>
    <mergeCell ref="A10:F10"/>
    <mergeCell ref="A11:F11"/>
    <mergeCell ref="A562:C562"/>
    <mergeCell ref="A1:H1"/>
    <mergeCell ref="A2:H2"/>
    <mergeCell ref="A3:H3"/>
    <mergeCell ref="A5:H5"/>
    <mergeCell ref="A6:H6"/>
    <mergeCell ref="A7:H7"/>
  </mergeCells>
  <pageMargins left="0.78740157480314965" right="0.39370078740157483" top="0.59055118110236227" bottom="0.78740157480314965" header="0.31496062992125984" footer="0.31496062992125984"/>
  <pageSetup paperSize="9" scale="60" fitToHeight="2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первоначальный вед</vt:lpstr>
      <vt:lpstr>изменения июль вед стр-ра</vt:lpstr>
      <vt:lpstr>изменения июль программы</vt:lpstr>
      <vt:lpstr>изменения июль по разд</vt:lpstr>
      <vt:lpstr>изменения июль вед стр-ра СНД</vt:lpstr>
      <vt:lpstr>изменения июль программы СНД</vt:lpstr>
      <vt:lpstr>изменения июль по разд СНД</vt:lpstr>
      <vt:lpstr>'изменения июль вед стр-ра'!Заголовки_для_печати</vt:lpstr>
      <vt:lpstr>'изменения июль вед стр-ра СНД'!Заголовки_для_печати</vt:lpstr>
      <vt:lpstr>'изменения июль по разд'!Заголовки_для_печати</vt:lpstr>
      <vt:lpstr>'изменения июль по разд СНД'!Заголовки_для_печати</vt:lpstr>
      <vt:lpstr>'изменения июль программы'!Заголовки_для_печати</vt:lpstr>
      <vt:lpstr>'изменения июль программы СНД'!Заголовки_для_печати</vt:lpstr>
      <vt:lpstr>'первоначальный вед'!Заголовки_для_печати</vt:lpstr>
      <vt:lpstr>'изменения июль вед стр-ра'!Область_печати</vt:lpstr>
      <vt:lpstr>'изменения июль вед стр-ра СНД'!Область_печати</vt:lpstr>
      <vt:lpstr>'изменения июль по разд'!Область_печати</vt:lpstr>
      <vt:lpstr>'изменения июль по разд СНД'!Область_печати</vt:lpstr>
      <vt:lpstr>'изменения июль программы'!Область_печати</vt:lpstr>
      <vt:lpstr>'изменения июль программы СНД'!Область_печати</vt:lpstr>
      <vt:lpstr>'первоначальный вед'!Область_печати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Tatyana Orlova</cp:lastModifiedBy>
  <cp:lastPrinted>2019-07-04T03:03:30Z</cp:lastPrinted>
  <dcterms:created xsi:type="dcterms:W3CDTF">2007-12-19T00:56:18Z</dcterms:created>
  <dcterms:modified xsi:type="dcterms:W3CDTF">2019-07-09T08:55:26Z</dcterms:modified>
</cp:coreProperties>
</file>