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Общие\РЕШЕНИЯ ГОРСОВЕТА НАРОДНЫХ ДЕПУТАТОВ\Изменения 2020г\Изменения июнь 2020\"/>
    </mc:Choice>
  </mc:AlternateContent>
  <bookViews>
    <workbookView xWindow="0" yWindow="0" windowWidth="28800" windowHeight="12585"/>
  </bookViews>
  <sheets>
    <sheet name="изм июнь вед стр-ра" sheetId="23" r:id="rId1"/>
    <sheet name="изм июнь программы" sheetId="25" r:id="rId2"/>
    <sheet name="изм июнь по разд" sheetId="26" r:id="rId3"/>
  </sheets>
  <externalReferences>
    <externalReference r:id="rId4"/>
  </externalReferences>
  <definedNames>
    <definedName name="_xlnm._FilterDatabase" localSheetId="0" hidden="1">'изм июнь вед стр-ра'!$A$12:$X$606</definedName>
    <definedName name="_xlnm._FilterDatabase" localSheetId="2" hidden="1">'изм июнь по разд'!$A$12:$H$536</definedName>
    <definedName name="_xlnm._FilterDatabase" localSheetId="1" hidden="1">'изм июнь программы'!$A$11:$P$509</definedName>
    <definedName name="_xlnm.Print_Titles" localSheetId="0">'изм июнь вед стр-ра'!$13:$13</definedName>
    <definedName name="_xlnm.Print_Titles" localSheetId="2">'изм июнь по разд'!$13:$13</definedName>
    <definedName name="_xlnm.Print_Titles" localSheetId="1">'изм июнь программы'!$12:$12</definedName>
    <definedName name="_xlnm.Print_Area" localSheetId="0">'изм июнь вед стр-ра'!$A$1:$I$611</definedName>
    <definedName name="_xlnm.Print_Area" localSheetId="2">'изм июнь по разд'!$A$1:$H$539</definedName>
    <definedName name="_xlnm.Print_Area" localSheetId="1">'изм июнь программы'!$A$1:$I$513</definedName>
  </definedNames>
  <calcPr calcId="152511"/>
  <customWorkbookViews>
    <customWorkbookView name="1 - Личное представление" guid="{03BC1D99-56E3-404F-AC0E-FE8E84323C69}" mergeInterval="0" personalView="1" maximized="1" windowWidth="1020" windowHeight="603" activeSheetId="1"/>
    <customWorkbookView name="Татьяна - Личное представление" guid="{AB8DF83A-FB6E-48A4-952A-1147FB4C2AE7}" mergeInterval="0" personalView="1" maximized="1" windowWidth="1276" windowHeight="852" activeSheetId="1"/>
    <customWorkbookView name="referent - Личное представление" guid="{569C28AC-508A-42E7-9335-028897488E30}" mergeInterval="0" personalView="1" maximized="1" windowWidth="1148" windowHeight="665" activeSheetId="1"/>
  </customWorkbookViews>
</workbook>
</file>

<file path=xl/calcChain.xml><?xml version="1.0" encoding="utf-8"?>
<calcChain xmlns="http://schemas.openxmlformats.org/spreadsheetml/2006/main">
  <c r="G40" i="23" l="1"/>
  <c r="G47" i="23"/>
  <c r="G565" i="23" l="1"/>
  <c r="G557" i="23"/>
  <c r="G613" i="23"/>
  <c r="G170" i="23" l="1"/>
  <c r="G172" i="23" l="1"/>
  <c r="G168" i="23"/>
  <c r="G162" i="23"/>
  <c r="G159" i="23"/>
  <c r="G164" i="23"/>
  <c r="G180" i="23"/>
  <c r="G422" i="23"/>
  <c r="G406" i="23"/>
  <c r="G78" i="23"/>
  <c r="G96" i="26"/>
  <c r="H96" i="26"/>
  <c r="F96" i="26"/>
  <c r="H72" i="25"/>
  <c r="I72" i="25"/>
  <c r="G72" i="25"/>
  <c r="H197" i="23"/>
  <c r="I197" i="23"/>
  <c r="G198" i="23"/>
  <c r="G197" i="23" s="1"/>
  <c r="G255" i="23" l="1"/>
  <c r="G254" i="23"/>
  <c r="G206" i="23"/>
  <c r="G196" i="23"/>
  <c r="G189" i="23"/>
  <c r="G194" i="23"/>
  <c r="G193" i="23"/>
  <c r="G373" i="26" l="1"/>
  <c r="G372" i="26" s="1"/>
  <c r="H373" i="26"/>
  <c r="H372" i="26" s="1"/>
  <c r="F373" i="26"/>
  <c r="F372" i="26" s="1"/>
  <c r="H322" i="25"/>
  <c r="H321" i="25" s="1"/>
  <c r="I322" i="25"/>
  <c r="I321" i="25" s="1"/>
  <c r="G322" i="25"/>
  <c r="G321" i="25" s="1"/>
  <c r="H458" i="23"/>
  <c r="I458" i="23"/>
  <c r="G458" i="23"/>
  <c r="G29" i="23"/>
  <c r="G28" i="23"/>
  <c r="G262" i="23"/>
  <c r="G265" i="23"/>
  <c r="G283" i="23"/>
  <c r="G532" i="23" l="1"/>
  <c r="G341" i="23"/>
  <c r="G337" i="23"/>
  <c r="G286" i="23"/>
  <c r="G308" i="23"/>
  <c r="G256" i="23"/>
  <c r="G427" i="23" l="1"/>
  <c r="G424" i="23"/>
  <c r="G476" i="26"/>
  <c r="H476" i="26"/>
  <c r="G396" i="26"/>
  <c r="H396" i="26"/>
  <c r="F396" i="26"/>
  <c r="G90" i="26"/>
  <c r="H90" i="26"/>
  <c r="H300" i="25"/>
  <c r="I300" i="25"/>
  <c r="H293" i="25"/>
  <c r="I293" i="25"/>
  <c r="H137" i="25"/>
  <c r="I137" i="25"/>
  <c r="H134" i="25"/>
  <c r="I134" i="25"/>
  <c r="H99" i="25"/>
  <c r="I99" i="25"/>
  <c r="G99" i="25"/>
  <c r="H82" i="25"/>
  <c r="I82" i="25"/>
  <c r="H66" i="25"/>
  <c r="I66" i="25"/>
  <c r="H502" i="23"/>
  <c r="I502" i="23"/>
  <c r="G502" i="23"/>
  <c r="H498" i="23"/>
  <c r="I498" i="23"/>
  <c r="G498" i="23"/>
  <c r="H485" i="23"/>
  <c r="I485" i="23"/>
  <c r="G485" i="23"/>
  <c r="H483" i="23"/>
  <c r="I483" i="23"/>
  <c r="G483" i="23"/>
  <c r="H481" i="23"/>
  <c r="I481" i="23"/>
  <c r="G481" i="23"/>
  <c r="H479" i="23"/>
  <c r="I479" i="23"/>
  <c r="G479" i="23"/>
  <c r="H477" i="23"/>
  <c r="I477" i="23"/>
  <c r="G477" i="23"/>
  <c r="H472" i="23"/>
  <c r="I472" i="23"/>
  <c r="G472" i="23"/>
  <c r="H433" i="23"/>
  <c r="I433" i="23"/>
  <c r="H316" i="23"/>
  <c r="I316" i="23"/>
  <c r="H108" i="23"/>
  <c r="I108" i="23"/>
  <c r="J86" i="23"/>
  <c r="J85" i="23" s="1"/>
  <c r="K86" i="23"/>
  <c r="K85" i="23" s="1"/>
  <c r="L86" i="23"/>
  <c r="L85" i="23" s="1"/>
  <c r="M86" i="23"/>
  <c r="M85" i="23" s="1"/>
  <c r="N86" i="23"/>
  <c r="N85" i="23" s="1"/>
  <c r="O86" i="23"/>
  <c r="O85" i="23" s="1"/>
  <c r="P86" i="23"/>
  <c r="P85" i="23" s="1"/>
  <c r="Q86" i="23"/>
  <c r="Q85" i="23" s="1"/>
  <c r="H83" i="23"/>
  <c r="I83" i="23"/>
  <c r="G83" i="23"/>
  <c r="H79" i="23"/>
  <c r="I79" i="23"/>
  <c r="G79" i="23"/>
  <c r="G71" i="23"/>
  <c r="G59" i="23"/>
  <c r="G597" i="23" l="1"/>
  <c r="G561" i="23"/>
  <c r="I613" i="23" l="1"/>
  <c r="H613" i="23"/>
  <c r="G511" i="23" l="1"/>
  <c r="G154" i="23" l="1"/>
  <c r="G153" i="23" s="1"/>
  <c r="G152" i="23" s="1"/>
  <c r="G179" i="23" l="1"/>
  <c r="G27" i="23"/>
  <c r="I150" i="23" l="1"/>
  <c r="I149" i="23" s="1"/>
  <c r="I148" i="23" s="1"/>
  <c r="I27" i="23"/>
  <c r="H27" i="23"/>
  <c r="I179" i="23"/>
  <c r="H179" i="23"/>
  <c r="J149" i="23"/>
  <c r="K149" i="23"/>
  <c r="L149" i="23"/>
  <c r="M149" i="23"/>
  <c r="N149" i="23"/>
  <c r="O149" i="23"/>
  <c r="P149" i="23"/>
  <c r="Q149" i="23"/>
  <c r="H150" i="23"/>
  <c r="H149" i="23" s="1"/>
  <c r="H148" i="23" s="1"/>
  <c r="G150" i="23"/>
  <c r="G149" i="23" s="1"/>
  <c r="G148" i="23" s="1"/>
  <c r="I113" i="23"/>
  <c r="I178" i="25" s="1"/>
  <c r="H113" i="23"/>
  <c r="H178" i="25" s="1"/>
  <c r="G113" i="23"/>
  <c r="F307" i="26" s="1"/>
  <c r="G178" i="25" l="1"/>
  <c r="H307" i="26"/>
  <c r="G307" i="26"/>
  <c r="G137" i="25"/>
  <c r="G134" i="23" l="1"/>
  <c r="G133" i="23"/>
  <c r="F224" i="26"/>
  <c r="F223" i="26" s="1"/>
  <c r="G471" i="25"/>
  <c r="G590" i="23"/>
  <c r="G314" i="23"/>
  <c r="G583" i="23"/>
  <c r="G534" i="23"/>
  <c r="I406" i="23"/>
  <c r="I403" i="23"/>
  <c r="H297" i="26" s="1"/>
  <c r="G300" i="25" l="1"/>
  <c r="F476" i="26"/>
  <c r="F222" i="26"/>
  <c r="F221" i="26" s="1"/>
  <c r="G470" i="25"/>
  <c r="G469" i="25" s="1"/>
  <c r="G588" i="23"/>
  <c r="G603" i="23"/>
  <c r="F134" i="26" l="1"/>
  <c r="G422" i="25"/>
  <c r="G504" i="25"/>
  <c r="G541" i="23"/>
  <c r="F108" i="26"/>
  <c r="F107" i="26" s="1"/>
  <c r="G503" i="25"/>
  <c r="G73" i="23"/>
  <c r="G502" i="25" l="1"/>
  <c r="G72" i="23"/>
  <c r="G468" i="23" l="1"/>
  <c r="G61" i="23" l="1"/>
  <c r="F90" i="26" l="1"/>
  <c r="G66" i="25"/>
  <c r="G232" i="23"/>
  <c r="G239" i="23"/>
  <c r="G236" i="23"/>
  <c r="G510" i="26" l="1"/>
  <c r="G509" i="26" s="1"/>
  <c r="H510" i="26"/>
  <c r="H509" i="26" s="1"/>
  <c r="F510" i="26"/>
  <c r="F509" i="26" s="1"/>
  <c r="H391" i="25"/>
  <c r="H390" i="25" s="1"/>
  <c r="I391" i="25"/>
  <c r="I390" i="25" s="1"/>
  <c r="G391" i="25"/>
  <c r="G390" i="25" s="1"/>
  <c r="G169" i="23"/>
  <c r="I169" i="23"/>
  <c r="H169" i="23"/>
  <c r="G264" i="23" l="1"/>
  <c r="G312" i="26"/>
  <c r="H312" i="26"/>
  <c r="G313" i="26"/>
  <c r="H313" i="26"/>
  <c r="F313" i="26"/>
  <c r="F312" i="26"/>
  <c r="G320" i="23"/>
  <c r="G319" i="23"/>
  <c r="G295" i="23"/>
  <c r="G208" i="25" s="1"/>
  <c r="G294" i="23"/>
  <c r="G252" i="23"/>
  <c r="G250" i="23"/>
  <c r="F250" i="26"/>
  <c r="F249" i="26" s="1"/>
  <c r="H249" i="26"/>
  <c r="G249" i="26"/>
  <c r="H138" i="25"/>
  <c r="I138" i="25"/>
  <c r="I259" i="23"/>
  <c r="H259" i="23"/>
  <c r="G259" i="23"/>
  <c r="G287" i="23"/>
  <c r="G34" i="23"/>
  <c r="F311" i="26" l="1"/>
  <c r="G311" i="26"/>
  <c r="H311" i="26"/>
  <c r="G70" i="23" l="1"/>
  <c r="G107" i="23" l="1"/>
  <c r="G134" i="25" s="1"/>
  <c r="G456" i="23" l="1"/>
  <c r="G49" i="23"/>
  <c r="G507" i="23" l="1"/>
  <c r="G125" i="23"/>
  <c r="G568" i="23" l="1"/>
  <c r="G570" i="23" l="1"/>
  <c r="G540" i="23"/>
  <c r="G538" i="23" l="1"/>
  <c r="G265" i="26" l="1"/>
  <c r="G264" i="26" s="1"/>
  <c r="H265" i="26"/>
  <c r="H264" i="26" s="1"/>
  <c r="H204" i="25"/>
  <c r="I204" i="25"/>
  <c r="H205" i="25"/>
  <c r="I205" i="25"/>
  <c r="G205" i="25"/>
  <c r="H277" i="23"/>
  <c r="I277" i="23"/>
  <c r="G278" i="23"/>
  <c r="F265" i="26" s="1"/>
  <c r="F264" i="26" s="1"/>
  <c r="G277" i="23" l="1"/>
  <c r="G204" i="25"/>
  <c r="G203" i="25" s="1"/>
  <c r="H203" i="25"/>
  <c r="I203" i="25"/>
  <c r="G59" i="26"/>
  <c r="G58" i="26" s="1"/>
  <c r="H59" i="26"/>
  <c r="H58" i="26" s="1"/>
  <c r="F59" i="26"/>
  <c r="F58" i="26" s="1"/>
  <c r="H501" i="25"/>
  <c r="I501" i="25"/>
  <c r="G501" i="25"/>
  <c r="I42" i="23"/>
  <c r="H42" i="23"/>
  <c r="G42" i="23"/>
  <c r="H254" i="26" l="1"/>
  <c r="G254" i="26"/>
  <c r="F254" i="26"/>
  <c r="I189" i="25"/>
  <c r="H189" i="25"/>
  <c r="G189" i="25"/>
  <c r="H266" i="23"/>
  <c r="I266" i="23"/>
  <c r="G266" i="23"/>
  <c r="G476" i="23" l="1"/>
  <c r="G475" i="23"/>
  <c r="I331" i="23" l="1"/>
  <c r="H331" i="23"/>
  <c r="G331" i="23"/>
  <c r="G276" i="23"/>
  <c r="G356" i="23"/>
  <c r="H296" i="26"/>
  <c r="G296" i="26"/>
  <c r="F296" i="26"/>
  <c r="H213" i="25"/>
  <c r="I213" i="25"/>
  <c r="G213" i="25"/>
  <c r="I402" i="23"/>
  <c r="H402" i="23"/>
  <c r="G402" i="23"/>
  <c r="G251" i="23"/>
  <c r="G205" i="26" l="1"/>
  <c r="G204" i="26" s="1"/>
  <c r="H205" i="26"/>
  <c r="H204" i="26" s="1"/>
  <c r="F205" i="26"/>
  <c r="F204" i="26" s="1"/>
  <c r="G53" i="23" l="1"/>
  <c r="G109" i="23"/>
  <c r="G108" i="23" s="1"/>
  <c r="I70" i="23"/>
  <c r="H70" i="23"/>
  <c r="I33" i="23"/>
  <c r="H33" i="23"/>
  <c r="G33" i="23"/>
  <c r="G138" i="25" l="1"/>
  <c r="F65" i="26"/>
  <c r="I594" i="23"/>
  <c r="H594" i="23"/>
  <c r="G594" i="23"/>
  <c r="G435" i="23"/>
  <c r="G415" i="23"/>
  <c r="G506" i="23" l="1"/>
  <c r="I28" i="23"/>
  <c r="H28" i="23"/>
  <c r="F469" i="26" l="1"/>
  <c r="G293" i="25"/>
  <c r="H79" i="26"/>
  <c r="H80" i="26"/>
  <c r="G81" i="26"/>
  <c r="H81" i="26"/>
  <c r="F81" i="26"/>
  <c r="I40" i="25"/>
  <c r="H42" i="25"/>
  <c r="I42" i="25"/>
  <c r="G41" i="25"/>
  <c r="G42" i="25"/>
  <c r="F79" i="26"/>
  <c r="I41" i="25"/>
  <c r="G80" i="26"/>
  <c r="F80" i="26"/>
  <c r="G69" i="23"/>
  <c r="G342" i="23"/>
  <c r="I340" i="23"/>
  <c r="H340" i="23"/>
  <c r="G340" i="23"/>
  <c r="I339" i="23"/>
  <c r="H339" i="23"/>
  <c r="G339" i="23"/>
  <c r="I308" i="23"/>
  <c r="H308" i="23"/>
  <c r="I287" i="23"/>
  <c r="I286" i="23"/>
  <c r="H287" i="23"/>
  <c r="H286" i="23"/>
  <c r="I39" i="25" l="1"/>
  <c r="H78" i="26"/>
  <c r="H41" i="25"/>
  <c r="H69" i="23"/>
  <c r="G40" i="25"/>
  <c r="G39" i="25" s="1"/>
  <c r="H40" i="25"/>
  <c r="I69" i="23"/>
  <c r="G79" i="26"/>
  <c r="G78" i="26" s="1"/>
  <c r="F78" i="26"/>
  <c r="H39" i="25" l="1"/>
  <c r="G365" i="23" l="1"/>
  <c r="G364" i="23"/>
  <c r="G363" i="23"/>
  <c r="G317" i="23"/>
  <c r="G316" i="23" s="1"/>
  <c r="G304" i="23"/>
  <c r="G257" i="23"/>
  <c r="G247" i="23"/>
  <c r="G82" i="25" s="1"/>
  <c r="G574" i="23" l="1"/>
  <c r="G555" i="23"/>
  <c r="G434" i="23" l="1"/>
  <c r="G433" i="23" s="1"/>
  <c r="G431" i="23"/>
  <c r="G430" i="23"/>
  <c r="G582" i="23"/>
  <c r="G546" i="23"/>
  <c r="G175" i="26" l="1"/>
  <c r="G174" i="26" s="1"/>
  <c r="H175" i="26"/>
  <c r="H174" i="26" s="1"/>
  <c r="F175" i="26"/>
  <c r="F174" i="26" s="1"/>
  <c r="H133" i="25"/>
  <c r="I133" i="25"/>
  <c r="G133" i="25"/>
  <c r="H106" i="23"/>
  <c r="I106" i="23"/>
  <c r="G106" i="23"/>
  <c r="H171" i="26"/>
  <c r="F171" i="26"/>
  <c r="F170" i="26"/>
  <c r="H168" i="26"/>
  <c r="H167" i="26" s="1"/>
  <c r="F168" i="26"/>
  <c r="F167" i="26" s="1"/>
  <c r="I125" i="25"/>
  <c r="G125" i="25"/>
  <c r="G124" i="25"/>
  <c r="I122" i="25"/>
  <c r="I121" i="25" s="1"/>
  <c r="G122" i="25"/>
  <c r="G121" i="25" s="1"/>
  <c r="I101" i="23"/>
  <c r="G101" i="23"/>
  <c r="H105" i="23"/>
  <c r="H125" i="25" s="1"/>
  <c r="I104" i="23"/>
  <c r="I103" i="23" s="1"/>
  <c r="H104" i="23"/>
  <c r="G170" i="26" s="1"/>
  <c r="H102" i="23"/>
  <c r="H122" i="25" s="1"/>
  <c r="H121" i="25" s="1"/>
  <c r="H103" i="23" l="1"/>
  <c r="G168" i="26"/>
  <c r="G167" i="26" s="1"/>
  <c r="H101" i="23"/>
  <c r="I124" i="25"/>
  <c r="I123" i="25" s="1"/>
  <c r="G171" i="26"/>
  <c r="G169" i="26" s="1"/>
  <c r="H124" i="25"/>
  <c r="H123" i="25" s="1"/>
  <c r="H170" i="26"/>
  <c r="H169" i="26" s="1"/>
  <c r="F169" i="26"/>
  <c r="G123" i="25"/>
  <c r="G103" i="23"/>
  <c r="G499" i="26" l="1"/>
  <c r="H499" i="26"/>
  <c r="F499" i="26"/>
  <c r="G136" i="25"/>
  <c r="G160" i="23"/>
  <c r="G310" i="23" l="1"/>
  <c r="G553" i="23" l="1"/>
  <c r="H98" i="23" l="1"/>
  <c r="I568" i="23" l="1"/>
  <c r="I567" i="23" s="1"/>
  <c r="H568" i="23"/>
  <c r="H567" i="23" s="1"/>
  <c r="F201" i="26"/>
  <c r="F200" i="26" s="1"/>
  <c r="G567" i="23" l="1"/>
  <c r="G201" i="26"/>
  <c r="G200" i="26" s="1"/>
  <c r="H201" i="26"/>
  <c r="H200" i="26" s="1"/>
  <c r="F133" i="26" l="1"/>
  <c r="G464" i="25"/>
  <c r="G466" i="25"/>
  <c r="F203" i="26"/>
  <c r="F202" i="26" s="1"/>
  <c r="G569" i="23"/>
  <c r="G521" i="23" l="1"/>
  <c r="G522" i="23"/>
  <c r="H146" i="23" l="1"/>
  <c r="I146" i="23" l="1"/>
  <c r="I216" i="23"/>
  <c r="H216" i="23"/>
  <c r="G216" i="23"/>
  <c r="I121" i="23" l="1"/>
  <c r="H121" i="23"/>
  <c r="G121" i="23"/>
  <c r="I37" i="23" l="1"/>
  <c r="G37" i="23"/>
  <c r="H446" i="25" l="1"/>
  <c r="H445" i="25" s="1"/>
  <c r="H444" i="25" s="1"/>
  <c r="I446" i="25"/>
  <c r="I445" i="25" s="1"/>
  <c r="I444" i="25" s="1"/>
  <c r="G446" i="25"/>
  <c r="G445" i="25" s="1"/>
  <c r="G444" i="25" s="1"/>
  <c r="H468" i="25"/>
  <c r="I468" i="25"/>
  <c r="H220" i="26"/>
  <c r="H219" i="26" s="1"/>
  <c r="G220" i="26"/>
  <c r="G219" i="26" s="1"/>
  <c r="F220" i="26"/>
  <c r="F219" i="26" s="1"/>
  <c r="I449" i="25"/>
  <c r="I448" i="25" s="1"/>
  <c r="I447" i="25" s="1"/>
  <c r="H449" i="25"/>
  <c r="H448" i="25" s="1"/>
  <c r="H447" i="25" s="1"/>
  <c r="G449" i="25"/>
  <c r="G448" i="25" s="1"/>
  <c r="G447" i="25" s="1"/>
  <c r="H586" i="23"/>
  <c r="I586" i="23"/>
  <c r="G586" i="23"/>
  <c r="I570" i="23"/>
  <c r="H570" i="23"/>
  <c r="I540" i="23"/>
  <c r="H540" i="23"/>
  <c r="G203" i="26" l="1"/>
  <c r="G202" i="26" s="1"/>
  <c r="H569" i="23"/>
  <c r="H466" i="25"/>
  <c r="H464" i="25"/>
  <c r="G133" i="26"/>
  <c r="H203" i="26"/>
  <c r="H202" i="26" s="1"/>
  <c r="I569" i="23"/>
  <c r="I466" i="25"/>
  <c r="I464" i="25"/>
  <c r="H133" i="26"/>
  <c r="I583" i="23"/>
  <c r="H583" i="23"/>
  <c r="G551" i="23"/>
  <c r="I488" i="23" l="1"/>
  <c r="H488" i="23"/>
  <c r="G488" i="23"/>
  <c r="I461" i="23" l="1"/>
  <c r="H461" i="23"/>
  <c r="G461" i="23"/>
  <c r="I464" i="23"/>
  <c r="I463" i="23"/>
  <c r="H464" i="23"/>
  <c r="H463" i="23"/>
  <c r="G463" i="23"/>
  <c r="G464" i="23"/>
  <c r="H356" i="23" l="1"/>
  <c r="I276" i="23"/>
  <c r="H276" i="23"/>
  <c r="I274" i="23"/>
  <c r="H274" i="23"/>
  <c r="G274" i="23"/>
  <c r="I270" i="23" l="1"/>
  <c r="H270" i="23"/>
  <c r="G270" i="23"/>
  <c r="I295" i="23" l="1"/>
  <c r="I208" i="25" s="1"/>
  <c r="H295" i="23"/>
  <c r="H208" i="25" s="1"/>
  <c r="I320" i="23" l="1"/>
  <c r="H320" i="23"/>
  <c r="I201" i="23" l="1"/>
  <c r="I200" i="23" s="1"/>
  <c r="H201" i="23"/>
  <c r="H200" i="23" s="1"/>
  <c r="G201" i="23"/>
  <c r="G202" i="23"/>
  <c r="G200" i="23" l="1"/>
  <c r="H155" i="26"/>
  <c r="G155" i="26"/>
  <c r="F155" i="26"/>
  <c r="H153" i="26"/>
  <c r="G153" i="26"/>
  <c r="F153" i="26"/>
  <c r="H151" i="26"/>
  <c r="G151" i="26"/>
  <c r="F151" i="26"/>
  <c r="H149" i="26"/>
  <c r="G149" i="26"/>
  <c r="F149" i="26"/>
  <c r="H147" i="26"/>
  <c r="G147" i="26"/>
  <c r="F147" i="26"/>
  <c r="H145" i="26"/>
  <c r="G145" i="26"/>
  <c r="F145" i="26"/>
  <c r="H485" i="25"/>
  <c r="H484" i="25" s="1"/>
  <c r="I485" i="25"/>
  <c r="I484" i="25" s="1"/>
  <c r="G485" i="25"/>
  <c r="G484" i="25" s="1"/>
  <c r="H483" i="25"/>
  <c r="H482" i="25" s="1"/>
  <c r="I483" i="25"/>
  <c r="I482" i="25" s="1"/>
  <c r="G483" i="25"/>
  <c r="G482" i="25" s="1"/>
  <c r="H481" i="25"/>
  <c r="H480" i="25" s="1"/>
  <c r="I481" i="25"/>
  <c r="I480" i="25" s="1"/>
  <c r="G481" i="25"/>
  <c r="G480" i="25" s="1"/>
  <c r="H479" i="25"/>
  <c r="H478" i="25" s="1"/>
  <c r="I479" i="25"/>
  <c r="I478" i="25" s="1"/>
  <c r="G479" i="25"/>
  <c r="G478" i="25" s="1"/>
  <c r="H477" i="25"/>
  <c r="H476" i="25" s="1"/>
  <c r="I477" i="25"/>
  <c r="I476" i="25" s="1"/>
  <c r="G477" i="25"/>
  <c r="G476" i="25" s="1"/>
  <c r="H475" i="25"/>
  <c r="H474" i="25" s="1"/>
  <c r="I475" i="25"/>
  <c r="I474" i="25" s="1"/>
  <c r="G475" i="25"/>
  <c r="G474" i="25" s="1"/>
  <c r="G488" i="25"/>
  <c r="H488" i="25"/>
  <c r="I488" i="25"/>
  <c r="G489" i="25"/>
  <c r="H489" i="25"/>
  <c r="I489" i="25"/>
  <c r="G491" i="25"/>
  <c r="G490" i="25" s="1"/>
  <c r="H491" i="25"/>
  <c r="H490" i="25" s="1"/>
  <c r="I491" i="25"/>
  <c r="I490" i="25" s="1"/>
  <c r="G496" i="25"/>
  <c r="H496" i="25"/>
  <c r="I496" i="25"/>
  <c r="G497" i="25"/>
  <c r="H497" i="25"/>
  <c r="I497" i="25"/>
  <c r="J381" i="23"/>
  <c r="K381" i="23"/>
  <c r="L381" i="23"/>
  <c r="M381" i="23"/>
  <c r="N381" i="23"/>
  <c r="O381" i="23"/>
  <c r="P381" i="23"/>
  <c r="Q381" i="23"/>
  <c r="I394" i="23"/>
  <c r="H394" i="23"/>
  <c r="G394" i="23"/>
  <c r="I392" i="23"/>
  <c r="H392" i="23"/>
  <c r="G392" i="23"/>
  <c r="I390" i="23"/>
  <c r="H390" i="23"/>
  <c r="G390" i="23"/>
  <c r="I388" i="23"/>
  <c r="H388" i="23"/>
  <c r="G388" i="23"/>
  <c r="I386" i="23"/>
  <c r="H386" i="23"/>
  <c r="G386" i="23"/>
  <c r="H384" i="23"/>
  <c r="I384" i="23"/>
  <c r="G384" i="23"/>
  <c r="I383" i="23" l="1"/>
  <c r="I382" i="23" s="1"/>
  <c r="G383" i="23"/>
  <c r="G382" i="23" s="1"/>
  <c r="H473" i="25"/>
  <c r="I473" i="25"/>
  <c r="H383" i="23"/>
  <c r="H382" i="23" s="1"/>
  <c r="G473" i="25"/>
  <c r="I487" i="25"/>
  <c r="H487" i="25"/>
  <c r="G487" i="25"/>
  <c r="I18" i="23"/>
  <c r="H18" i="23"/>
  <c r="H64" i="26" l="1"/>
  <c r="G64" i="26"/>
  <c r="F64" i="26"/>
  <c r="I52" i="23"/>
  <c r="H52" i="23"/>
  <c r="G52" i="23"/>
  <c r="G277" i="26" l="1"/>
  <c r="G276" i="26" s="1"/>
  <c r="H277" i="26"/>
  <c r="H276" i="26" s="1"/>
  <c r="F277" i="26"/>
  <c r="F276" i="26" s="1"/>
  <c r="H159" i="25"/>
  <c r="H158" i="25" s="1"/>
  <c r="I159" i="25"/>
  <c r="I158" i="25" s="1"/>
  <c r="G159" i="25"/>
  <c r="G158" i="25" s="1"/>
  <c r="H291" i="23"/>
  <c r="I291" i="23"/>
  <c r="G291" i="23"/>
  <c r="I257" i="23"/>
  <c r="H257" i="23"/>
  <c r="I255" i="23"/>
  <c r="H255" i="23"/>
  <c r="G25" i="26" l="1"/>
  <c r="H25" i="26"/>
  <c r="F25" i="26"/>
  <c r="H235" i="23"/>
  <c r="I235" i="23"/>
  <c r="G235" i="23"/>
  <c r="F493" i="26"/>
  <c r="G372" i="25"/>
  <c r="H520" i="23" l="1"/>
  <c r="I520" i="23"/>
  <c r="G520" i="23"/>
  <c r="I227" i="23" l="1"/>
  <c r="I493" i="25" s="1"/>
  <c r="I492" i="25" s="1"/>
  <c r="I223" i="23"/>
  <c r="I495" i="25" s="1"/>
  <c r="I494" i="25" s="1"/>
  <c r="H227" i="23"/>
  <c r="H493" i="25" s="1"/>
  <c r="H492" i="25" s="1"/>
  <c r="H223" i="23"/>
  <c r="H495" i="25" s="1"/>
  <c r="H494" i="25" s="1"/>
  <c r="G223" i="23"/>
  <c r="G495" i="25" s="1"/>
  <c r="G494" i="25" s="1"/>
  <c r="G227" i="23"/>
  <c r="G493" i="25" s="1"/>
  <c r="G492" i="25" s="1"/>
  <c r="I226" i="23" l="1"/>
  <c r="H226" i="23"/>
  <c r="G106" i="26"/>
  <c r="G105" i="26" s="1"/>
  <c r="H106" i="26"/>
  <c r="H105" i="26" s="1"/>
  <c r="F106" i="26"/>
  <c r="F105" i="26" s="1"/>
  <c r="H95" i="25"/>
  <c r="H94" i="25" s="1"/>
  <c r="I95" i="25"/>
  <c r="I94" i="25" s="1"/>
  <c r="G95" i="25"/>
  <c r="G94" i="25" s="1"/>
  <c r="G93" i="25"/>
  <c r="H93" i="25"/>
  <c r="I93" i="25"/>
  <c r="H535" i="23" l="1"/>
  <c r="G186" i="26" l="1"/>
  <c r="G185" i="26" s="1"/>
  <c r="H186" i="26"/>
  <c r="H185" i="26" s="1"/>
  <c r="F186" i="26"/>
  <c r="F185" i="26" s="1"/>
  <c r="H401" i="25"/>
  <c r="H400" i="25" s="1"/>
  <c r="I401" i="25"/>
  <c r="I400" i="25" s="1"/>
  <c r="G401" i="25"/>
  <c r="G400" i="25" s="1"/>
  <c r="H552" i="23"/>
  <c r="I552" i="23"/>
  <c r="G552" i="23"/>
  <c r="G595" i="23"/>
  <c r="I63" i="23" l="1"/>
  <c r="H63" i="23"/>
  <c r="G64" i="23"/>
  <c r="G63" i="23"/>
  <c r="I21" i="23" l="1"/>
  <c r="H21" i="23"/>
  <c r="G21" i="23"/>
  <c r="I24" i="23"/>
  <c r="H24" i="23"/>
  <c r="G24" i="23"/>
  <c r="I354" i="23" l="1"/>
  <c r="H354" i="23"/>
  <c r="G354" i="23"/>
  <c r="I347" i="23"/>
  <c r="H347" i="23"/>
  <c r="G347" i="23"/>
  <c r="I439" i="23"/>
  <c r="H439" i="23"/>
  <c r="G439" i="23"/>
  <c r="I294" i="23" l="1"/>
  <c r="H294" i="23"/>
  <c r="G282" i="26" l="1"/>
  <c r="H282" i="26"/>
  <c r="F282" i="26"/>
  <c r="G388" i="26"/>
  <c r="H388" i="26"/>
  <c r="F388" i="26"/>
  <c r="H150" i="25"/>
  <c r="I150" i="25"/>
  <c r="G150" i="25"/>
  <c r="G212" i="25" l="1"/>
  <c r="G216" i="25"/>
  <c r="G217" i="25"/>
  <c r="G219" i="25"/>
  <c r="G218" i="25" s="1"/>
  <c r="G221" i="25"/>
  <c r="G220" i="25" s="1"/>
  <c r="G223" i="25"/>
  <c r="G224" i="25"/>
  <c r="G225" i="25"/>
  <c r="G227" i="25"/>
  <c r="G228" i="25"/>
  <c r="G230" i="25"/>
  <c r="G231" i="25"/>
  <c r="G233" i="25"/>
  <c r="G232" i="25" s="1"/>
  <c r="G235" i="25"/>
  <c r="G234" i="25" s="1"/>
  <c r="G237" i="25"/>
  <c r="G236" i="25" s="1"/>
  <c r="G239" i="25"/>
  <c r="G240" i="25"/>
  <c r="G242" i="25"/>
  <c r="G241" i="25" s="1"/>
  <c r="G244" i="25"/>
  <c r="G243" i="25" s="1"/>
  <c r="G246" i="25"/>
  <c r="G245" i="25" s="1"/>
  <c r="G248" i="25"/>
  <c r="G247" i="25" s="1"/>
  <c r="G250" i="25"/>
  <c r="G251" i="25"/>
  <c r="G253" i="25"/>
  <c r="G254" i="25"/>
  <c r="G257" i="25"/>
  <c r="G258" i="25"/>
  <c r="G260" i="25"/>
  <c r="G259" i="25" s="1"/>
  <c r="G262" i="25"/>
  <c r="G263" i="25"/>
  <c r="G264" i="25"/>
  <c r="G265" i="25"/>
  <c r="G267" i="25"/>
  <c r="G268" i="25"/>
  <c r="G271" i="25"/>
  <c r="G270" i="25" s="1"/>
  <c r="G273" i="25"/>
  <c r="G274" i="25"/>
  <c r="G276" i="25"/>
  <c r="G275" i="25" s="1"/>
  <c r="G278" i="25"/>
  <c r="G279" i="25"/>
  <c r="G281" i="25"/>
  <c r="G282" i="25"/>
  <c r="G283" i="25"/>
  <c r="G285" i="25"/>
  <c r="G286" i="25"/>
  <c r="G291" i="25"/>
  <c r="G290" i="25" s="1"/>
  <c r="G289" i="25" s="1"/>
  <c r="G294" i="25"/>
  <c r="G296" i="25"/>
  <c r="G295" i="25" s="1"/>
  <c r="G298" i="25"/>
  <c r="G299" i="25"/>
  <c r="G301" i="25"/>
  <c r="G303" i="25"/>
  <c r="G302" i="25" s="1"/>
  <c r="G305" i="25"/>
  <c r="G304" i="25" s="1"/>
  <c r="G307" i="25"/>
  <c r="G306" i="25" s="1"/>
  <c r="G310" i="25"/>
  <c r="G311" i="25"/>
  <c r="G314" i="25"/>
  <c r="G315" i="25"/>
  <c r="G316" i="25"/>
  <c r="G320" i="25"/>
  <c r="G319" i="25" s="1"/>
  <c r="G318" i="25" s="1"/>
  <c r="G324" i="25"/>
  <c r="G323" i="25" s="1"/>
  <c r="G326" i="25"/>
  <c r="G327" i="25"/>
  <c r="G328" i="25"/>
  <c r="G330" i="25"/>
  <c r="G331" i="25"/>
  <c r="G335" i="25"/>
  <c r="G334" i="25" s="1"/>
  <c r="G337" i="25"/>
  <c r="G336" i="25" s="1"/>
  <c r="G338" i="25"/>
  <c r="G340" i="25"/>
  <c r="G339" i="25" s="1"/>
  <c r="G342" i="25"/>
  <c r="G343" i="25"/>
  <c r="G345" i="25"/>
  <c r="G344" i="25" s="1"/>
  <c r="G347" i="25"/>
  <c r="G346" i="25" s="1"/>
  <c r="G349" i="25"/>
  <c r="G348" i="25" s="1"/>
  <c r="G351" i="25"/>
  <c r="G350" i="25" s="1"/>
  <c r="G353" i="25"/>
  <c r="G352" i="25" s="1"/>
  <c r="G355" i="25"/>
  <c r="G354" i="25" s="1"/>
  <c r="G357" i="25"/>
  <c r="G358" i="25"/>
  <c r="G360" i="25"/>
  <c r="G359" i="25" s="1"/>
  <c r="G362" i="25"/>
  <c r="G363" i="25"/>
  <c r="G365" i="25"/>
  <c r="G366" i="25"/>
  <c r="G367" i="25"/>
  <c r="G370" i="25"/>
  <c r="G371" i="25"/>
  <c r="G375" i="25"/>
  <c r="G374" i="25" s="1"/>
  <c r="G377" i="25"/>
  <c r="G378" i="25"/>
  <c r="G380" i="25"/>
  <c r="G379" i="25" s="1"/>
  <c r="G382" i="25"/>
  <c r="G383" i="25"/>
  <c r="G385" i="25"/>
  <c r="G384" i="25" s="1"/>
  <c r="G387" i="25"/>
  <c r="G386" i="25" s="1"/>
  <c r="G389" i="25"/>
  <c r="G388" i="25" s="1"/>
  <c r="G393" i="25"/>
  <c r="G392" i="25" s="1"/>
  <c r="G397" i="25"/>
  <c r="G396" i="25" s="1"/>
  <c r="G399" i="25"/>
  <c r="G398" i="25" s="1"/>
  <c r="G404" i="25"/>
  <c r="G403" i="25" s="1"/>
  <c r="G406" i="25"/>
  <c r="G405" i="25" s="1"/>
  <c r="G408" i="25"/>
  <c r="G407" i="25" s="1"/>
  <c r="G410" i="25"/>
  <c r="G409" i="25" s="1"/>
  <c r="G412" i="25"/>
  <c r="G411" i="25" s="1"/>
  <c r="G415" i="25"/>
  <c r="G416" i="25"/>
  <c r="G420" i="25"/>
  <c r="G419" i="25" s="1"/>
  <c r="G421" i="25"/>
  <c r="G425" i="25"/>
  <c r="G424" i="25" s="1"/>
  <c r="G427" i="25"/>
  <c r="G426" i="25" s="1"/>
  <c r="G430" i="25"/>
  <c r="G429" i="25" s="1"/>
  <c r="G428" i="25" s="1"/>
  <c r="G433" i="25"/>
  <c r="G432" i="25" s="1"/>
  <c r="G431" i="25" s="1"/>
  <c r="G436" i="25"/>
  <c r="G437" i="25"/>
  <c r="G440" i="25"/>
  <c r="G439" i="25" s="1"/>
  <c r="G438" i="25" s="1"/>
  <c r="G443" i="25"/>
  <c r="G442" i="25" s="1"/>
  <c r="G441" i="25" s="1"/>
  <c r="G452" i="25"/>
  <c r="G451" i="25" s="1"/>
  <c r="G450" i="25" s="1"/>
  <c r="G455" i="25"/>
  <c r="G454" i="25" s="1"/>
  <c r="G453" i="25" s="1"/>
  <c r="G458" i="25"/>
  <c r="G457" i="25" s="1"/>
  <c r="G460" i="25"/>
  <c r="G459" i="25" s="1"/>
  <c r="G468" i="25"/>
  <c r="G467" i="25" s="1"/>
  <c r="G500" i="25"/>
  <c r="G395" i="25" l="1"/>
  <c r="G418" i="25"/>
  <c r="G456" i="25"/>
  <c r="G402" i="25"/>
  <c r="G333" i="25"/>
  <c r="G284" i="25"/>
  <c r="G369" i="25"/>
  <c r="G368" i="25" s="1"/>
  <c r="G356" i="25"/>
  <c r="G252" i="25"/>
  <c r="G361" i="25"/>
  <c r="G272" i="25"/>
  <c r="G463" i="25"/>
  <c r="G309" i="25"/>
  <c r="G308" i="25" s="1"/>
  <c r="G266" i="25"/>
  <c r="G280" i="25"/>
  <c r="G249" i="25"/>
  <c r="G414" i="25"/>
  <c r="G413" i="25" s="1"/>
  <c r="G313" i="25"/>
  <c r="G312" i="25" s="1"/>
  <c r="G277" i="25"/>
  <c r="G229" i="25"/>
  <c r="G215" i="25"/>
  <c r="G376" i="25"/>
  <c r="G238" i="25"/>
  <c r="G226" i="25"/>
  <c r="G364" i="25"/>
  <c r="G222" i="25"/>
  <c r="G435" i="25"/>
  <c r="G434" i="25" s="1"/>
  <c r="G341" i="25"/>
  <c r="G325" i="25"/>
  <c r="G297" i="25"/>
  <c r="G261" i="25"/>
  <c r="G292" i="25"/>
  <c r="G256" i="25"/>
  <c r="G423" i="25"/>
  <c r="G329" i="25"/>
  <c r="G381" i="26"/>
  <c r="H381" i="26"/>
  <c r="F381" i="26"/>
  <c r="H330" i="25"/>
  <c r="I330" i="25"/>
  <c r="H466" i="23"/>
  <c r="I466" i="23"/>
  <c r="J466" i="23"/>
  <c r="K466" i="23"/>
  <c r="L466" i="23"/>
  <c r="M466" i="23"/>
  <c r="N466" i="23"/>
  <c r="O466" i="23"/>
  <c r="P466" i="23"/>
  <c r="Q466" i="23"/>
  <c r="G466" i="23"/>
  <c r="G317" i="25" l="1"/>
  <c r="G394" i="25"/>
  <c r="G288" i="25"/>
  <c r="G332" i="25"/>
  <c r="G269" i="25"/>
  <c r="G417" i="25"/>
  <c r="G255" i="25"/>
  <c r="G214" i="25"/>
  <c r="G287" i="25" l="1"/>
  <c r="G164" i="26" l="1"/>
  <c r="H164" i="26"/>
  <c r="F164" i="26"/>
  <c r="G161" i="26"/>
  <c r="H161" i="26"/>
  <c r="F161" i="26"/>
  <c r="H120" i="25"/>
  <c r="I120" i="25"/>
  <c r="G120" i="25"/>
  <c r="H117" i="25"/>
  <c r="I117" i="25"/>
  <c r="G117" i="25"/>
  <c r="H96" i="23"/>
  <c r="I96" i="23"/>
  <c r="G96" i="23"/>
  <c r="H93" i="23"/>
  <c r="I93" i="23"/>
  <c r="G93" i="23"/>
  <c r="G122" i="26"/>
  <c r="H122" i="26"/>
  <c r="F122" i="26"/>
  <c r="H291" i="25"/>
  <c r="I291" i="25"/>
  <c r="I443" i="23"/>
  <c r="I442" i="23" s="1"/>
  <c r="H443" i="23"/>
  <c r="H442" i="23" s="1"/>
  <c r="G443" i="23"/>
  <c r="G442" i="23" s="1"/>
  <c r="G526" i="26" l="1"/>
  <c r="G525" i="26" s="1"/>
  <c r="G523" i="26" s="1"/>
  <c r="H526" i="26"/>
  <c r="H525" i="26" s="1"/>
  <c r="H523" i="26" s="1"/>
  <c r="F526" i="26"/>
  <c r="F525" i="26" s="1"/>
  <c r="F523" i="26" s="1"/>
  <c r="H52" i="25"/>
  <c r="I52" i="25"/>
  <c r="G52" i="25"/>
  <c r="H137" i="23"/>
  <c r="H136" i="23" s="1"/>
  <c r="H135" i="23" s="1"/>
  <c r="I137" i="23"/>
  <c r="I136" i="23" s="1"/>
  <c r="I135" i="23" s="1"/>
  <c r="G137" i="23"/>
  <c r="G136" i="23" s="1"/>
  <c r="G135" i="23" s="1"/>
  <c r="F524" i="26" l="1"/>
  <c r="H524" i="26"/>
  <c r="G524" i="26"/>
  <c r="H51" i="25" l="1"/>
  <c r="I51" i="25"/>
  <c r="G51" i="25"/>
  <c r="H212" i="25" l="1"/>
  <c r="I212" i="25"/>
  <c r="G281" i="26" l="1"/>
  <c r="H281" i="26"/>
  <c r="F281" i="26"/>
  <c r="H149" i="25"/>
  <c r="H148" i="25" s="1"/>
  <c r="I149" i="25"/>
  <c r="I148" i="25" s="1"/>
  <c r="G149" i="25"/>
  <c r="G148" i="25" s="1"/>
  <c r="H280" i="23"/>
  <c r="I280" i="23"/>
  <c r="G280" i="23"/>
  <c r="G198" i="26" l="1"/>
  <c r="G197" i="26" s="1"/>
  <c r="H198" i="26"/>
  <c r="H197" i="26" s="1"/>
  <c r="F198" i="26"/>
  <c r="F197" i="26" s="1"/>
  <c r="H412" i="25"/>
  <c r="H411" i="25" s="1"/>
  <c r="I412" i="25"/>
  <c r="I411" i="25" s="1"/>
  <c r="I564" i="23"/>
  <c r="H564" i="23"/>
  <c r="G564" i="23"/>
  <c r="H60" i="23" l="1"/>
  <c r="I60" i="23"/>
  <c r="G60" i="23"/>
  <c r="G508" i="26" l="1"/>
  <c r="G507" i="26" s="1"/>
  <c r="H508" i="26"/>
  <c r="H507" i="26" s="1"/>
  <c r="F508" i="26"/>
  <c r="F507" i="26" s="1"/>
  <c r="H389" i="25"/>
  <c r="H388" i="25" s="1"/>
  <c r="I389" i="25"/>
  <c r="I388" i="25" s="1"/>
  <c r="I379" i="23"/>
  <c r="I378" i="23" s="1"/>
  <c r="I377" i="23" s="1"/>
  <c r="H379" i="23"/>
  <c r="H378" i="23" s="1"/>
  <c r="H377" i="23" s="1"/>
  <c r="G379" i="23"/>
  <c r="G378" i="23" s="1"/>
  <c r="G377" i="23" s="1"/>
  <c r="F243" i="26" l="1"/>
  <c r="G196" i="26" l="1"/>
  <c r="G195" i="26" s="1"/>
  <c r="H196" i="26"/>
  <c r="H195" i="26" s="1"/>
  <c r="F196" i="26"/>
  <c r="F195" i="26" s="1"/>
  <c r="H410" i="25"/>
  <c r="H409" i="25" s="1"/>
  <c r="I410" i="25"/>
  <c r="I409" i="25" s="1"/>
  <c r="G562" i="23"/>
  <c r="I562" i="23"/>
  <c r="H562" i="23"/>
  <c r="F306" i="26" l="1"/>
  <c r="G306" i="26"/>
  <c r="H306" i="26"/>
  <c r="G310" i="26"/>
  <c r="H310" i="26"/>
  <c r="H177" i="25"/>
  <c r="I177" i="25"/>
  <c r="H254" i="25"/>
  <c r="I254" i="25"/>
  <c r="G177" i="25" l="1"/>
  <c r="G121" i="26" l="1"/>
  <c r="G120" i="26" s="1"/>
  <c r="H121" i="26"/>
  <c r="H120" i="26" s="1"/>
  <c r="F121" i="26"/>
  <c r="F120" i="26" s="1"/>
  <c r="H290" i="25"/>
  <c r="H289" i="25" s="1"/>
  <c r="I290" i="25"/>
  <c r="I289" i="25" s="1"/>
  <c r="G215" i="26" l="1"/>
  <c r="H215" i="26"/>
  <c r="F215" i="26"/>
  <c r="H436" i="25"/>
  <c r="I436" i="25"/>
  <c r="H581" i="23"/>
  <c r="I581" i="23"/>
  <c r="H81" i="23" l="1"/>
  <c r="I81" i="23"/>
  <c r="G81" i="23"/>
  <c r="G160" i="26" l="1"/>
  <c r="G159" i="26" s="1"/>
  <c r="H160" i="26"/>
  <c r="H159" i="26" s="1"/>
  <c r="F160" i="26"/>
  <c r="F159" i="26" s="1"/>
  <c r="H119" i="25"/>
  <c r="H118" i="25" s="1"/>
  <c r="I119" i="25"/>
  <c r="I118" i="25" s="1"/>
  <c r="G119" i="25"/>
  <c r="G118" i="25" s="1"/>
  <c r="I116" i="25"/>
  <c r="I115" i="25" s="1"/>
  <c r="H116" i="25"/>
  <c r="H115" i="25" s="1"/>
  <c r="G116" i="25"/>
  <c r="G115" i="25" s="1"/>
  <c r="H114" i="25" l="1"/>
  <c r="I114" i="25"/>
  <c r="G512" i="26" l="1"/>
  <c r="G511" i="26" s="1"/>
  <c r="H512" i="26"/>
  <c r="H511" i="26" s="1"/>
  <c r="F512" i="26"/>
  <c r="F511" i="26" s="1"/>
  <c r="H393" i="25"/>
  <c r="H392" i="25" s="1"/>
  <c r="I393" i="25"/>
  <c r="I392" i="25" s="1"/>
  <c r="I171" i="23"/>
  <c r="H171" i="23"/>
  <c r="G171" i="23"/>
  <c r="F309" i="26" l="1"/>
  <c r="F310" i="26"/>
  <c r="G382" i="26"/>
  <c r="G380" i="26" s="1"/>
  <c r="H382" i="26"/>
  <c r="H380" i="26" s="1"/>
  <c r="F382" i="26"/>
  <c r="F380" i="26" s="1"/>
  <c r="H331" i="25"/>
  <c r="H329" i="25" s="1"/>
  <c r="I331" i="25"/>
  <c r="I329" i="25" s="1"/>
  <c r="F308" i="26" l="1"/>
  <c r="G116" i="26"/>
  <c r="G115" i="26" s="1"/>
  <c r="H116" i="26"/>
  <c r="H115" i="26" s="1"/>
  <c r="F116" i="26"/>
  <c r="F115" i="26" s="1"/>
  <c r="H85" i="25"/>
  <c r="H84" i="25" s="1"/>
  <c r="I85" i="25"/>
  <c r="I84" i="25" s="1"/>
  <c r="G85" i="25"/>
  <c r="G84" i="25" s="1"/>
  <c r="G140" i="26" l="1"/>
  <c r="G139" i="26" s="1"/>
  <c r="H140" i="26"/>
  <c r="H139" i="26" s="1"/>
  <c r="F140" i="26"/>
  <c r="F139" i="26" s="1"/>
  <c r="H460" i="25"/>
  <c r="H459" i="25" s="1"/>
  <c r="I460" i="25"/>
  <c r="I459" i="25" s="1"/>
  <c r="H89" i="23"/>
  <c r="I89" i="23"/>
  <c r="G89" i="23"/>
  <c r="G112" i="26" l="1"/>
  <c r="G111" i="26" s="1"/>
  <c r="H112" i="26"/>
  <c r="H111" i="26" s="1"/>
  <c r="F112" i="26"/>
  <c r="F111" i="26" s="1"/>
  <c r="H79" i="25"/>
  <c r="H78" i="25" s="1"/>
  <c r="H77" i="25" s="1"/>
  <c r="I79" i="25"/>
  <c r="I78" i="25" s="1"/>
  <c r="I77" i="25" s="1"/>
  <c r="G79" i="25"/>
  <c r="G78" i="25" s="1"/>
  <c r="G77" i="25" s="1"/>
  <c r="H77" i="23"/>
  <c r="I77" i="23"/>
  <c r="G77" i="23"/>
  <c r="G118" i="26"/>
  <c r="G117" i="26" s="1"/>
  <c r="H118" i="26"/>
  <c r="H117" i="26" s="1"/>
  <c r="F118" i="26"/>
  <c r="F117" i="26" s="1"/>
  <c r="H87" i="25"/>
  <c r="H86" i="25" s="1"/>
  <c r="I87" i="25"/>
  <c r="I86" i="25" s="1"/>
  <c r="G87" i="25"/>
  <c r="G86" i="25" s="1"/>
  <c r="F114" i="26"/>
  <c r="F113" i="26" s="1"/>
  <c r="H114" i="26"/>
  <c r="H113" i="26" s="1"/>
  <c r="G114" i="26"/>
  <c r="G113" i="26" s="1"/>
  <c r="H76" i="23" l="1"/>
  <c r="I76" i="23"/>
  <c r="G474" i="26"/>
  <c r="H474" i="26"/>
  <c r="G475" i="26"/>
  <c r="H475" i="26"/>
  <c r="F474" i="26"/>
  <c r="H298" i="25"/>
  <c r="I298" i="25"/>
  <c r="H299" i="25"/>
  <c r="I299" i="25"/>
  <c r="H301" i="25"/>
  <c r="I301" i="25"/>
  <c r="H132" i="23"/>
  <c r="I132" i="23"/>
  <c r="G132" i="23"/>
  <c r="I297" i="25" l="1"/>
  <c r="H297" i="25"/>
  <c r="G302" i="26"/>
  <c r="G301" i="26" s="1"/>
  <c r="H302" i="26"/>
  <c r="H301" i="26" s="1"/>
  <c r="F302" i="26"/>
  <c r="F301" i="26" s="1"/>
  <c r="H164" i="25"/>
  <c r="H163" i="25" s="1"/>
  <c r="I164" i="25"/>
  <c r="I163" i="25" s="1"/>
  <c r="G164" i="25"/>
  <c r="G163" i="25" s="1"/>
  <c r="H309" i="23"/>
  <c r="I309" i="23"/>
  <c r="G309" i="23"/>
  <c r="J343" i="23" l="1"/>
  <c r="K343" i="23"/>
  <c r="L343" i="23"/>
  <c r="M343" i="23"/>
  <c r="N343" i="23"/>
  <c r="O343" i="23"/>
  <c r="P343" i="23"/>
  <c r="Q343" i="23"/>
  <c r="G163" i="26" l="1"/>
  <c r="G162" i="26" s="1"/>
  <c r="H163" i="26"/>
  <c r="H162" i="26" s="1"/>
  <c r="F163" i="26"/>
  <c r="F162" i="26" s="1"/>
  <c r="G76" i="23"/>
  <c r="G252" i="26"/>
  <c r="G251" i="26" s="1"/>
  <c r="H252" i="26"/>
  <c r="H251" i="26" s="1"/>
  <c r="F252" i="26"/>
  <c r="F251" i="26" s="1"/>
  <c r="H187" i="25"/>
  <c r="H186" i="25" s="1"/>
  <c r="I187" i="25"/>
  <c r="I186" i="25" s="1"/>
  <c r="G187" i="25"/>
  <c r="G186" i="25" s="1"/>
  <c r="G261" i="23"/>
  <c r="I261" i="23"/>
  <c r="H261" i="23"/>
  <c r="G581" i="23" l="1"/>
  <c r="G255" i="26" l="1"/>
  <c r="G253" i="26" s="1"/>
  <c r="H255" i="26"/>
  <c r="H253" i="26" s="1"/>
  <c r="H190" i="25"/>
  <c r="H188" i="25" s="1"/>
  <c r="I190" i="25"/>
  <c r="I188" i="25" s="1"/>
  <c r="F255" i="26"/>
  <c r="F253" i="26" s="1"/>
  <c r="G489" i="26"/>
  <c r="G488" i="26" s="1"/>
  <c r="H489" i="26"/>
  <c r="H488" i="26" s="1"/>
  <c r="F489" i="26"/>
  <c r="F488" i="26" s="1"/>
  <c r="H320" i="25"/>
  <c r="H319" i="25" s="1"/>
  <c r="H318" i="25" s="1"/>
  <c r="I320" i="25"/>
  <c r="I319" i="25" s="1"/>
  <c r="I318" i="25" s="1"/>
  <c r="J504" i="23"/>
  <c r="K504" i="23"/>
  <c r="L504" i="23"/>
  <c r="M504" i="23"/>
  <c r="N504" i="23"/>
  <c r="O504" i="23"/>
  <c r="P504" i="23"/>
  <c r="Q504" i="23"/>
  <c r="H518" i="23"/>
  <c r="I518" i="23"/>
  <c r="G518" i="23"/>
  <c r="G190" i="25" l="1"/>
  <c r="G188" i="25" s="1"/>
  <c r="G275" i="26" l="1"/>
  <c r="H275" i="26"/>
  <c r="F275" i="26"/>
  <c r="H167" i="25"/>
  <c r="I167" i="25"/>
  <c r="G167" i="25"/>
  <c r="I288" i="23"/>
  <c r="G288" i="23"/>
  <c r="H527" i="23" l="1"/>
  <c r="H526" i="23" s="1"/>
  <c r="I527" i="23"/>
  <c r="I526" i="23" s="1"/>
  <c r="G527" i="23"/>
  <c r="G526" i="23" s="1"/>
  <c r="G173" i="26"/>
  <c r="G172" i="26" s="1"/>
  <c r="H173" i="26"/>
  <c r="H172" i="26" s="1"/>
  <c r="F173" i="26"/>
  <c r="F172" i="26" s="1"/>
  <c r="H131" i="25"/>
  <c r="H130" i="25" s="1"/>
  <c r="I131" i="25"/>
  <c r="I130" i="25" s="1"/>
  <c r="G131" i="25"/>
  <c r="G130" i="25" s="1"/>
  <c r="J544" i="23"/>
  <c r="K544" i="23"/>
  <c r="L544" i="23"/>
  <c r="M544" i="23"/>
  <c r="N544" i="23"/>
  <c r="O544" i="23"/>
  <c r="P544" i="23"/>
  <c r="Q544" i="23"/>
  <c r="H547" i="23"/>
  <c r="I547" i="23"/>
  <c r="G547" i="23"/>
  <c r="I525" i="23" l="1"/>
  <c r="H525" i="23"/>
  <c r="G525" i="23"/>
  <c r="G184" i="26"/>
  <c r="H184" i="26"/>
  <c r="J549" i="23"/>
  <c r="K549" i="23"/>
  <c r="L549" i="23"/>
  <c r="M549" i="23"/>
  <c r="N549" i="23"/>
  <c r="O549" i="23"/>
  <c r="P549" i="23"/>
  <c r="Q549" i="23"/>
  <c r="G131" i="26" l="1"/>
  <c r="G130" i="26" s="1"/>
  <c r="H131" i="26"/>
  <c r="H130" i="26" s="1"/>
  <c r="F131" i="26"/>
  <c r="F130" i="26" s="1"/>
  <c r="H539" i="23"/>
  <c r="G132" i="26" s="1"/>
  <c r="I539" i="23"/>
  <c r="H132" i="26" s="1"/>
  <c r="G537" i="23"/>
  <c r="I537" i="23"/>
  <c r="H537" i="23"/>
  <c r="G539" i="23" l="1"/>
  <c r="F132" i="26" s="1"/>
  <c r="G515" i="26" l="1"/>
  <c r="H515" i="26"/>
  <c r="F515" i="26"/>
  <c r="H382" i="25"/>
  <c r="I382" i="25"/>
  <c r="G174" i="23"/>
  <c r="H174" i="23"/>
  <c r="G514" i="26" s="1"/>
  <c r="I174" i="23"/>
  <c r="H514" i="26" s="1"/>
  <c r="F514" i="26" l="1"/>
  <c r="G381" i="25"/>
  <c r="G373" i="25" s="1"/>
  <c r="H381" i="25"/>
  <c r="I381" i="25"/>
  <c r="G530" i="26" l="1"/>
  <c r="H530" i="26"/>
  <c r="F530" i="26"/>
  <c r="G516" i="26"/>
  <c r="H516" i="26"/>
  <c r="F516" i="26"/>
  <c r="G504" i="26"/>
  <c r="H504" i="26"/>
  <c r="F504" i="26"/>
  <c r="G500" i="26"/>
  <c r="G498" i="26" s="1"/>
  <c r="H500" i="26"/>
  <c r="H498" i="26" s="1"/>
  <c r="G491" i="26"/>
  <c r="H491" i="26"/>
  <c r="G492" i="26"/>
  <c r="H492" i="26"/>
  <c r="F492" i="26"/>
  <c r="G486" i="26"/>
  <c r="H486" i="26"/>
  <c r="G487" i="26"/>
  <c r="H487" i="26"/>
  <c r="F486" i="26"/>
  <c r="F487" i="26"/>
  <c r="G483" i="26"/>
  <c r="H483" i="26"/>
  <c r="F483" i="26"/>
  <c r="G481" i="26"/>
  <c r="H481" i="26"/>
  <c r="F481" i="26"/>
  <c r="G479" i="26"/>
  <c r="H479" i="26"/>
  <c r="F479" i="26"/>
  <c r="G477" i="26"/>
  <c r="G473" i="26" s="1"/>
  <c r="H477" i="26"/>
  <c r="H473" i="26" s="1"/>
  <c r="F477" i="26"/>
  <c r="F475" i="26"/>
  <c r="F472" i="26"/>
  <c r="G469" i="26"/>
  <c r="H469" i="26"/>
  <c r="G470" i="26"/>
  <c r="H470" i="26"/>
  <c r="G466" i="26"/>
  <c r="H466" i="26"/>
  <c r="G467" i="26"/>
  <c r="H467" i="26"/>
  <c r="F467" i="26"/>
  <c r="F466" i="26"/>
  <c r="G463" i="26"/>
  <c r="G462" i="26" s="1"/>
  <c r="H463" i="26"/>
  <c r="H462" i="26" s="1"/>
  <c r="F463" i="26"/>
  <c r="F462" i="26" s="1"/>
  <c r="G461" i="26"/>
  <c r="H461" i="26"/>
  <c r="F461" i="26"/>
  <c r="G458" i="26"/>
  <c r="H458" i="26"/>
  <c r="G459" i="26"/>
  <c r="H459" i="26"/>
  <c r="F459" i="26"/>
  <c r="F458" i="26"/>
  <c r="G456" i="26"/>
  <c r="F456" i="26"/>
  <c r="G454" i="26"/>
  <c r="H454" i="26"/>
  <c r="F454" i="26"/>
  <c r="G450" i="26"/>
  <c r="H450" i="26"/>
  <c r="F450" i="26"/>
  <c r="G446" i="26"/>
  <c r="H446" i="26"/>
  <c r="G447" i="26"/>
  <c r="H447" i="26"/>
  <c r="G448" i="26"/>
  <c r="H448" i="26"/>
  <c r="F448" i="26"/>
  <c r="F447" i="26"/>
  <c r="F446" i="26"/>
  <c r="G444" i="26"/>
  <c r="H444" i="26"/>
  <c r="F444" i="26"/>
  <c r="G442" i="26"/>
  <c r="H442" i="26"/>
  <c r="G440" i="26"/>
  <c r="H440" i="26"/>
  <c r="F440" i="26"/>
  <c r="G438" i="26"/>
  <c r="G437" i="26" s="1"/>
  <c r="H438" i="26"/>
  <c r="H437" i="26" s="1"/>
  <c r="F438" i="26"/>
  <c r="F437" i="26" s="1"/>
  <c r="G433" i="26"/>
  <c r="H433" i="26"/>
  <c r="G434" i="26"/>
  <c r="H434" i="26"/>
  <c r="G435" i="26"/>
  <c r="H435" i="26"/>
  <c r="F434" i="26"/>
  <c r="F435" i="26"/>
  <c r="F433" i="26"/>
  <c r="G430" i="26"/>
  <c r="H430" i="26"/>
  <c r="G431" i="26"/>
  <c r="H431" i="26"/>
  <c r="F431" i="26"/>
  <c r="F430" i="26"/>
  <c r="G428" i="26"/>
  <c r="H428" i="26"/>
  <c r="F428" i="26"/>
  <c r="G414" i="26"/>
  <c r="H414" i="26"/>
  <c r="G415" i="26"/>
  <c r="H415" i="26"/>
  <c r="F415" i="26"/>
  <c r="F414" i="26"/>
  <c r="G412" i="26"/>
  <c r="H412" i="26"/>
  <c r="F412" i="26"/>
  <c r="G409" i="26"/>
  <c r="H409" i="26"/>
  <c r="F409" i="26"/>
  <c r="G407" i="26"/>
  <c r="H407" i="26"/>
  <c r="F407" i="26"/>
  <c r="G405" i="26"/>
  <c r="H405" i="26"/>
  <c r="F405" i="26"/>
  <c r="G400" i="26"/>
  <c r="H400" i="26"/>
  <c r="F400" i="26"/>
  <c r="G398" i="26"/>
  <c r="H398" i="26"/>
  <c r="F398" i="26"/>
  <c r="G394" i="26"/>
  <c r="H394" i="26"/>
  <c r="F387" i="26"/>
  <c r="F386" i="26" s="1"/>
  <c r="F473" i="26" l="1"/>
  <c r="G490" i="26"/>
  <c r="H490" i="26"/>
  <c r="G384" i="26"/>
  <c r="H384" i="26"/>
  <c r="F384" i="26"/>
  <c r="G379" i="26"/>
  <c r="H379" i="26"/>
  <c r="F379" i="26"/>
  <c r="G369" i="26"/>
  <c r="H369" i="26"/>
  <c r="G370" i="26"/>
  <c r="H370" i="26"/>
  <c r="F370" i="26"/>
  <c r="F369" i="26"/>
  <c r="G364" i="26"/>
  <c r="H364" i="26"/>
  <c r="G365" i="26"/>
  <c r="H365" i="26"/>
  <c r="F365" i="26"/>
  <c r="G360" i="26"/>
  <c r="H360" i="26"/>
  <c r="G361" i="26"/>
  <c r="H361" i="26"/>
  <c r="G362" i="26"/>
  <c r="H362" i="26"/>
  <c r="F361" i="26"/>
  <c r="F362" i="26"/>
  <c r="F360" i="26"/>
  <c r="G356" i="26"/>
  <c r="H356" i="26"/>
  <c r="F356" i="26"/>
  <c r="G354" i="26"/>
  <c r="H354" i="26"/>
  <c r="G351" i="26"/>
  <c r="H351" i="26"/>
  <c r="F351" i="26"/>
  <c r="G349" i="26"/>
  <c r="H349" i="26"/>
  <c r="F349" i="26"/>
  <c r="G347" i="26"/>
  <c r="H347" i="26"/>
  <c r="F347" i="26"/>
  <c r="G338" i="26"/>
  <c r="H338" i="26"/>
  <c r="G339" i="26"/>
  <c r="H339" i="26"/>
  <c r="H340" i="26"/>
  <c r="G341" i="26"/>
  <c r="H341" i="26"/>
  <c r="F339" i="26"/>
  <c r="F340" i="26"/>
  <c r="F341" i="26"/>
  <c r="F338" i="26"/>
  <c r="F336" i="26"/>
  <c r="G333" i="26"/>
  <c r="H333" i="26"/>
  <c r="G334" i="26"/>
  <c r="H334" i="26"/>
  <c r="F334" i="26"/>
  <c r="F333" i="26"/>
  <c r="G329" i="26"/>
  <c r="H329" i="26"/>
  <c r="G330" i="26"/>
  <c r="H330" i="26"/>
  <c r="G331" i="26"/>
  <c r="H331" i="26"/>
  <c r="F330" i="26"/>
  <c r="F331" i="26"/>
  <c r="F329" i="26"/>
  <c r="G326" i="26"/>
  <c r="H326" i="26"/>
  <c r="G327" i="26"/>
  <c r="H327" i="26"/>
  <c r="F327" i="26"/>
  <c r="F326" i="26"/>
  <c r="G324" i="26"/>
  <c r="H324" i="26"/>
  <c r="F324" i="26"/>
  <c r="G322" i="26"/>
  <c r="H322" i="26"/>
  <c r="F322" i="26"/>
  <c r="G318" i="26"/>
  <c r="H318" i="26"/>
  <c r="F318" i="26"/>
  <c r="G316" i="26"/>
  <c r="G315" i="26" s="1"/>
  <c r="H316" i="26"/>
  <c r="H315" i="26" s="1"/>
  <c r="F316" i="26"/>
  <c r="F315" i="26" s="1"/>
  <c r="G363" i="26" l="1"/>
  <c r="H363" i="26"/>
  <c r="G305" i="26"/>
  <c r="H305" i="26"/>
  <c r="F305" i="26"/>
  <c r="G299" i="26"/>
  <c r="H299" i="26"/>
  <c r="F299" i="26"/>
  <c r="G295" i="26"/>
  <c r="H295" i="26"/>
  <c r="F295" i="26"/>
  <c r="H293" i="26"/>
  <c r="G293" i="26"/>
  <c r="G287" i="26"/>
  <c r="H287" i="26"/>
  <c r="G288" i="26"/>
  <c r="H288" i="26"/>
  <c r="F288" i="26"/>
  <c r="F287" i="26"/>
  <c r="G284" i="26"/>
  <c r="H284" i="26"/>
  <c r="G285" i="26"/>
  <c r="H285" i="26"/>
  <c r="F285" i="26"/>
  <c r="F284" i="26"/>
  <c r="G279" i="26"/>
  <c r="H279" i="26"/>
  <c r="F279" i="26"/>
  <c r="H274" i="26"/>
  <c r="H273" i="26" s="1"/>
  <c r="G270" i="26"/>
  <c r="H270" i="26"/>
  <c r="G272" i="26"/>
  <c r="H272" i="26"/>
  <c r="F271" i="26"/>
  <c r="F272" i="26"/>
  <c r="F270" i="26"/>
  <c r="F268" i="26"/>
  <c r="G259" i="26"/>
  <c r="H259" i="26"/>
  <c r="F259" i="26"/>
  <c r="G241" i="26"/>
  <c r="H241" i="26"/>
  <c r="G244" i="26"/>
  <c r="H244" i="26"/>
  <c r="F242" i="26"/>
  <c r="F244" i="26"/>
  <c r="F241" i="26"/>
  <c r="G230" i="26"/>
  <c r="H230" i="26"/>
  <c r="G227" i="26"/>
  <c r="H227" i="26"/>
  <c r="G228" i="26"/>
  <c r="H228" i="26"/>
  <c r="F228" i="26"/>
  <c r="F227" i="26"/>
  <c r="G218" i="26"/>
  <c r="H218" i="26"/>
  <c r="F218" i="26"/>
  <c r="G216" i="26"/>
  <c r="G214" i="26" s="1"/>
  <c r="H216" i="26"/>
  <c r="H214" i="26" s="1"/>
  <c r="G213" i="26"/>
  <c r="H213" i="26"/>
  <c r="F213" i="26"/>
  <c r="G211" i="26"/>
  <c r="H211" i="26"/>
  <c r="F211" i="26"/>
  <c r="G209" i="26"/>
  <c r="H209" i="26"/>
  <c r="F209" i="26"/>
  <c r="H207" i="26"/>
  <c r="G194" i="26"/>
  <c r="H194" i="26"/>
  <c r="F194" i="26"/>
  <c r="G192" i="26"/>
  <c r="H192" i="26"/>
  <c r="F192" i="26"/>
  <c r="G190" i="26"/>
  <c r="H190" i="26"/>
  <c r="G188" i="26"/>
  <c r="H188" i="26"/>
  <c r="F188" i="26"/>
  <c r="G181" i="26"/>
  <c r="H181" i="26"/>
  <c r="F181" i="26"/>
  <c r="G179" i="26"/>
  <c r="H179" i="26"/>
  <c r="F179" i="26"/>
  <c r="G177" i="26"/>
  <c r="G176" i="26" s="1"/>
  <c r="H177" i="26"/>
  <c r="H176" i="26" s="1"/>
  <c r="F177" i="26"/>
  <c r="F176" i="26" s="1"/>
  <c r="G166" i="26"/>
  <c r="H166" i="26"/>
  <c r="F166" i="26"/>
  <c r="G144" i="26"/>
  <c r="H144" i="26"/>
  <c r="G142" i="26"/>
  <c r="H142" i="26"/>
  <c r="G138" i="26"/>
  <c r="H138" i="26"/>
  <c r="F138" i="26"/>
  <c r="G129" i="26"/>
  <c r="H129" i="26"/>
  <c r="F129" i="26"/>
  <c r="H127" i="26"/>
  <c r="G127" i="26"/>
  <c r="G125" i="26"/>
  <c r="H125" i="26"/>
  <c r="F125" i="26"/>
  <c r="G110" i="26"/>
  <c r="G104" i="26"/>
  <c r="H104" i="26"/>
  <c r="F104" i="26"/>
  <c r="G95" i="26"/>
  <c r="G94" i="26" s="1"/>
  <c r="H95" i="26"/>
  <c r="H94" i="26" s="1"/>
  <c r="F95" i="26"/>
  <c r="F94" i="26" s="1"/>
  <c r="G93" i="26"/>
  <c r="H93" i="26"/>
  <c r="G89" i="26"/>
  <c r="H89" i="26"/>
  <c r="G91" i="26"/>
  <c r="H91" i="26"/>
  <c r="F91" i="26"/>
  <c r="F89" i="26"/>
  <c r="G87" i="26"/>
  <c r="H87" i="26"/>
  <c r="F87" i="26"/>
  <c r="G85" i="26"/>
  <c r="H85" i="26"/>
  <c r="G83" i="26"/>
  <c r="H83" i="26"/>
  <c r="G77" i="26"/>
  <c r="H77" i="26"/>
  <c r="F77" i="26"/>
  <c r="G75" i="26"/>
  <c r="H75" i="26"/>
  <c r="F75" i="26"/>
  <c r="G73" i="26"/>
  <c r="H73" i="26"/>
  <c r="F73" i="26"/>
  <c r="G71" i="26"/>
  <c r="H71" i="26"/>
  <c r="G69" i="26"/>
  <c r="H69" i="26"/>
  <c r="F69" i="26"/>
  <c r="G67" i="26"/>
  <c r="H67" i="26"/>
  <c r="F67" i="26"/>
  <c r="G56" i="26"/>
  <c r="H56" i="26"/>
  <c r="F56" i="26"/>
  <c r="G51" i="26"/>
  <c r="H51" i="26"/>
  <c r="F51" i="26"/>
  <c r="G46" i="26"/>
  <c r="H46" i="26"/>
  <c r="F46" i="26"/>
  <c r="G40" i="26"/>
  <c r="H40" i="26"/>
  <c r="F40" i="26"/>
  <c r="G34" i="26"/>
  <c r="H34" i="26"/>
  <c r="F34" i="26"/>
  <c r="G31" i="26"/>
  <c r="H31" i="26"/>
  <c r="F31" i="26"/>
  <c r="G27" i="26"/>
  <c r="H27" i="26"/>
  <c r="G24" i="26"/>
  <c r="G23" i="26" s="1"/>
  <c r="H24" i="26"/>
  <c r="H23" i="26" s="1"/>
  <c r="G20" i="26"/>
  <c r="H20" i="26"/>
  <c r="G21" i="26"/>
  <c r="H21" i="26"/>
  <c r="G22" i="26"/>
  <c r="H22" i="26"/>
  <c r="F21" i="26"/>
  <c r="F22" i="26"/>
  <c r="H458" i="25"/>
  <c r="I458" i="25"/>
  <c r="H452" i="25"/>
  <c r="I452" i="25"/>
  <c r="H443" i="25"/>
  <c r="I443" i="25"/>
  <c r="H440" i="25"/>
  <c r="I440" i="25"/>
  <c r="H437" i="25"/>
  <c r="H435" i="25" s="1"/>
  <c r="H434" i="25" s="1"/>
  <c r="I437" i="25"/>
  <c r="I435" i="25" s="1"/>
  <c r="I434" i="25" s="1"/>
  <c r="H433" i="25"/>
  <c r="I433" i="25"/>
  <c r="H430" i="25"/>
  <c r="I430" i="25"/>
  <c r="H427" i="25"/>
  <c r="I427" i="25"/>
  <c r="H425" i="25"/>
  <c r="I425" i="25"/>
  <c r="I422" i="25"/>
  <c r="H422" i="25"/>
  <c r="H420" i="25"/>
  <c r="I420" i="25"/>
  <c r="H415" i="25"/>
  <c r="I415" i="25"/>
  <c r="H416" i="25"/>
  <c r="I416" i="25"/>
  <c r="H408" i="25"/>
  <c r="I408" i="25"/>
  <c r="H406" i="25"/>
  <c r="I406" i="25"/>
  <c r="H404" i="25"/>
  <c r="I404" i="25"/>
  <c r="H399" i="25"/>
  <c r="I399" i="25"/>
  <c r="H397" i="25"/>
  <c r="I397" i="25"/>
  <c r="F110" i="26" l="1"/>
  <c r="H110" i="26"/>
  <c r="G88" i="26"/>
  <c r="F88" i="26"/>
  <c r="H88" i="26"/>
  <c r="H385" i="25"/>
  <c r="I385" i="25"/>
  <c r="H383" i="25"/>
  <c r="I383" i="25"/>
  <c r="H370" i="25"/>
  <c r="I370" i="25"/>
  <c r="H371" i="25"/>
  <c r="I371" i="25"/>
  <c r="H365" i="25"/>
  <c r="I365" i="25"/>
  <c r="H366" i="25"/>
  <c r="I366" i="25"/>
  <c r="H367" i="25"/>
  <c r="I367" i="25"/>
  <c r="H362" i="25"/>
  <c r="I362" i="25"/>
  <c r="H363" i="25"/>
  <c r="I363" i="25"/>
  <c r="H360" i="25"/>
  <c r="I360" i="25"/>
  <c r="H358" i="25"/>
  <c r="I358" i="25"/>
  <c r="H345" i="25"/>
  <c r="H344" i="25" s="1"/>
  <c r="I345" i="25"/>
  <c r="I344" i="25" s="1"/>
  <c r="H342" i="25"/>
  <c r="I342" i="25"/>
  <c r="H343" i="25"/>
  <c r="I343" i="25"/>
  <c r="H340" i="25"/>
  <c r="I340" i="25"/>
  <c r="H338" i="25"/>
  <c r="I338" i="25"/>
  <c r="H335" i="25"/>
  <c r="H334" i="25" s="1"/>
  <c r="I335" i="25"/>
  <c r="I334" i="25" s="1"/>
  <c r="H328" i="25"/>
  <c r="I328" i="25"/>
  <c r="H315" i="25"/>
  <c r="I315" i="25"/>
  <c r="H316" i="25"/>
  <c r="I316" i="25"/>
  <c r="H310" i="25"/>
  <c r="I310" i="25"/>
  <c r="H311" i="25"/>
  <c r="I311" i="25"/>
  <c r="H307" i="25"/>
  <c r="I307" i="25"/>
  <c r="H305" i="25"/>
  <c r="I305" i="25"/>
  <c r="H303" i="25"/>
  <c r="I303" i="25"/>
  <c r="H294" i="25"/>
  <c r="I294" i="25"/>
  <c r="H296" i="25"/>
  <c r="I296" i="25"/>
  <c r="H285" i="25"/>
  <c r="I285" i="25"/>
  <c r="H286" i="25"/>
  <c r="I286" i="25"/>
  <c r="H281" i="25"/>
  <c r="I281" i="25"/>
  <c r="H282" i="25"/>
  <c r="I282" i="25"/>
  <c r="H283" i="25"/>
  <c r="I283" i="25"/>
  <c r="H278" i="25"/>
  <c r="I278" i="25"/>
  <c r="H276" i="25"/>
  <c r="I276" i="25"/>
  <c r="H273" i="25"/>
  <c r="I273" i="25"/>
  <c r="H271" i="25"/>
  <c r="I271" i="25"/>
  <c r="H284" i="25" l="1"/>
  <c r="I284" i="25"/>
  <c r="I369" i="25"/>
  <c r="I368" i="25" s="1"/>
  <c r="H369" i="25"/>
  <c r="H368" i="25" s="1"/>
  <c r="H268" i="25"/>
  <c r="I268" i="25"/>
  <c r="H262" i="25"/>
  <c r="I262" i="25"/>
  <c r="H263" i="25"/>
  <c r="I263" i="25"/>
  <c r="I264" i="25"/>
  <c r="H265" i="25"/>
  <c r="I265" i="25"/>
  <c r="H257" i="25"/>
  <c r="I257" i="25"/>
  <c r="H258" i="25"/>
  <c r="I258" i="25"/>
  <c r="H250" i="25"/>
  <c r="I250" i="25"/>
  <c r="H251" i="25"/>
  <c r="I251" i="25"/>
  <c r="H248" i="25"/>
  <c r="H246" i="25"/>
  <c r="I246" i="25"/>
  <c r="H242" i="25"/>
  <c r="I242" i="25"/>
  <c r="H239" i="25"/>
  <c r="I239" i="25"/>
  <c r="H237" i="25"/>
  <c r="I237" i="25"/>
  <c r="H235" i="25"/>
  <c r="I235" i="25"/>
  <c r="H233" i="25"/>
  <c r="I233" i="25"/>
  <c r="H227" i="25"/>
  <c r="I227" i="25"/>
  <c r="H228" i="25"/>
  <c r="I228" i="25"/>
  <c r="H223" i="25"/>
  <c r="I223" i="25"/>
  <c r="H224" i="25"/>
  <c r="I224" i="25"/>
  <c r="H225" i="25"/>
  <c r="I225" i="25"/>
  <c r="H221" i="25"/>
  <c r="I221" i="25"/>
  <c r="H219" i="25"/>
  <c r="I219" i="25"/>
  <c r="H216" i="25"/>
  <c r="I216" i="25"/>
  <c r="H217" i="25"/>
  <c r="I217" i="25"/>
  <c r="H210" i="25"/>
  <c r="I210" i="25"/>
  <c r="G210" i="25"/>
  <c r="H207" i="25"/>
  <c r="I207" i="25"/>
  <c r="G207" i="25"/>
  <c r="H198" i="25"/>
  <c r="I198" i="25"/>
  <c r="G198" i="25"/>
  <c r="H183" i="25"/>
  <c r="I183" i="25"/>
  <c r="H184" i="25"/>
  <c r="I184" i="25"/>
  <c r="H185" i="25"/>
  <c r="I185" i="25"/>
  <c r="G184" i="25"/>
  <c r="G185" i="25"/>
  <c r="G183" i="25"/>
  <c r="H180" i="25"/>
  <c r="I180" i="25"/>
  <c r="H181" i="25"/>
  <c r="I181" i="25"/>
  <c r="G181" i="25"/>
  <c r="G180" i="25"/>
  <c r="H176" i="25"/>
  <c r="I176" i="25"/>
  <c r="G176" i="25"/>
  <c r="H174" i="25"/>
  <c r="I174" i="25"/>
  <c r="G174" i="25"/>
  <c r="H173" i="25"/>
  <c r="I173" i="25"/>
  <c r="G173" i="25"/>
  <c r="H169" i="25"/>
  <c r="I169" i="25"/>
  <c r="H171" i="25"/>
  <c r="I171" i="25"/>
  <c r="G170" i="25"/>
  <c r="G171" i="25"/>
  <c r="G169" i="25"/>
  <c r="I166" i="25"/>
  <c r="I165" i="25" s="1"/>
  <c r="H161" i="25"/>
  <c r="I161" i="25"/>
  <c r="G161" i="25"/>
  <c r="G157" i="25"/>
  <c r="H152" i="25"/>
  <c r="I152" i="25"/>
  <c r="H155" i="25"/>
  <c r="I155" i="25"/>
  <c r="G153" i="25"/>
  <c r="G154" i="25"/>
  <c r="G155" i="25"/>
  <c r="G152" i="25"/>
  <c r="H145" i="25"/>
  <c r="I145" i="25"/>
  <c r="G145" i="25"/>
  <c r="H143" i="25"/>
  <c r="I143" i="25"/>
  <c r="G143" i="25"/>
  <c r="H140" i="25"/>
  <c r="I140" i="25"/>
  <c r="G140" i="25"/>
  <c r="H136" i="25"/>
  <c r="I136" i="25"/>
  <c r="I135" i="25" l="1"/>
  <c r="H135" i="25"/>
  <c r="H129" i="25" l="1"/>
  <c r="I129" i="25"/>
  <c r="G129" i="25"/>
  <c r="H127" i="25"/>
  <c r="I127" i="25"/>
  <c r="G127" i="25"/>
  <c r="H112" i="25"/>
  <c r="I112" i="25"/>
  <c r="G112" i="25"/>
  <c r="I109" i="25"/>
  <c r="H109" i="25"/>
  <c r="H107" i="25"/>
  <c r="I107" i="25"/>
  <c r="G107" i="25"/>
  <c r="H105" i="25"/>
  <c r="I105" i="25"/>
  <c r="H71" i="25" l="1"/>
  <c r="H70" i="25" s="1"/>
  <c r="I71" i="25"/>
  <c r="I70" i="25" s="1"/>
  <c r="G71" i="25"/>
  <c r="G70" i="25" s="1"/>
  <c r="H69" i="25"/>
  <c r="H68" i="25" s="1"/>
  <c r="I69" i="25"/>
  <c r="I68" i="25" s="1"/>
  <c r="H65" i="25"/>
  <c r="I65" i="25"/>
  <c r="H67" i="25"/>
  <c r="I67" i="25"/>
  <c r="G67" i="25"/>
  <c r="G65" i="25"/>
  <c r="H63" i="25"/>
  <c r="H62" i="25" s="1"/>
  <c r="I63" i="25"/>
  <c r="I62" i="25" s="1"/>
  <c r="G63" i="25"/>
  <c r="G62" i="25" s="1"/>
  <c r="H61" i="25"/>
  <c r="H60" i="25" s="1"/>
  <c r="I61" i="25"/>
  <c r="I60" i="25" s="1"/>
  <c r="H59" i="25"/>
  <c r="H58" i="25" s="1"/>
  <c r="I59" i="25"/>
  <c r="I58" i="25" s="1"/>
  <c r="H57" i="25"/>
  <c r="H56" i="25" s="1"/>
  <c r="I57" i="25"/>
  <c r="I56" i="25" s="1"/>
  <c r="H55" i="25"/>
  <c r="H54" i="25" s="1"/>
  <c r="I55" i="25"/>
  <c r="I54" i="25" s="1"/>
  <c r="H50" i="25"/>
  <c r="H49" i="25" s="1"/>
  <c r="I50" i="25"/>
  <c r="I49" i="25" s="1"/>
  <c r="G50" i="25"/>
  <c r="G49" i="25" s="1"/>
  <c r="H48" i="25"/>
  <c r="I48" i="25"/>
  <c r="G48" i="25"/>
  <c r="H45" i="25"/>
  <c r="I45" i="25"/>
  <c r="G45" i="25"/>
  <c r="H38" i="25"/>
  <c r="H37" i="25" s="1"/>
  <c r="I38" i="25"/>
  <c r="I37" i="25" s="1"/>
  <c r="G38" i="25"/>
  <c r="G37" i="25" s="1"/>
  <c r="H36" i="25"/>
  <c r="H35" i="25" s="1"/>
  <c r="I36" i="25"/>
  <c r="I35" i="25" s="1"/>
  <c r="G36" i="25"/>
  <c r="G35" i="25" s="1"/>
  <c r="H33" i="25"/>
  <c r="I33" i="25"/>
  <c r="H34" i="25"/>
  <c r="I34" i="25"/>
  <c r="G34" i="25"/>
  <c r="G33" i="25"/>
  <c r="H31" i="25"/>
  <c r="H30" i="25" s="1"/>
  <c r="I31" i="25"/>
  <c r="I30" i="25" s="1"/>
  <c r="G31" i="25"/>
  <c r="G30" i="25" s="1"/>
  <c r="H28" i="25"/>
  <c r="H27" i="25" s="1"/>
  <c r="I28" i="25"/>
  <c r="I27" i="25" s="1"/>
  <c r="G28" i="25"/>
  <c r="G27" i="25" s="1"/>
  <c r="H26" i="25"/>
  <c r="H25" i="25" s="1"/>
  <c r="I26" i="25"/>
  <c r="I25" i="25" s="1"/>
  <c r="H529" i="26"/>
  <c r="H528" i="26" s="1"/>
  <c r="H527" i="26" s="1"/>
  <c r="G529" i="26"/>
  <c r="G528" i="26" s="1"/>
  <c r="G527" i="26" s="1"/>
  <c r="F529" i="26"/>
  <c r="F528" i="26" s="1"/>
  <c r="F527" i="26" s="1"/>
  <c r="H513" i="26"/>
  <c r="G513" i="26"/>
  <c r="F513" i="26"/>
  <c r="H503" i="26"/>
  <c r="G503" i="26"/>
  <c r="F503" i="26"/>
  <c r="H482" i="26"/>
  <c r="G482" i="26"/>
  <c r="F482" i="26"/>
  <c r="H480" i="26"/>
  <c r="G480" i="26"/>
  <c r="F480" i="26"/>
  <c r="H478" i="26"/>
  <c r="G478" i="26"/>
  <c r="F478" i="26"/>
  <c r="H471" i="26"/>
  <c r="G471" i="26"/>
  <c r="F471" i="26"/>
  <c r="H468" i="26"/>
  <c r="G468" i="26"/>
  <c r="H465" i="26"/>
  <c r="G465" i="26"/>
  <c r="F465" i="26"/>
  <c r="H460" i="26"/>
  <c r="G460" i="26"/>
  <c r="F460" i="26"/>
  <c r="H457" i="26"/>
  <c r="G457" i="26"/>
  <c r="F457" i="26"/>
  <c r="G455" i="26"/>
  <c r="F455" i="26"/>
  <c r="H453" i="26"/>
  <c r="G453" i="26"/>
  <c r="F453" i="26"/>
  <c r="H449" i="26"/>
  <c r="G449" i="26"/>
  <c r="F449" i="26"/>
  <c r="H445" i="26"/>
  <c r="G445" i="26"/>
  <c r="F445" i="26"/>
  <c r="H443" i="26"/>
  <c r="G443" i="26"/>
  <c r="F443" i="26"/>
  <c r="H441" i="26"/>
  <c r="G441" i="26"/>
  <c r="H439" i="26"/>
  <c r="G439" i="26"/>
  <c r="F439" i="26"/>
  <c r="H432" i="26"/>
  <c r="G432" i="26"/>
  <c r="F432" i="26"/>
  <c r="H429" i="26"/>
  <c r="G429" i="26"/>
  <c r="F429" i="26"/>
  <c r="H413" i="26"/>
  <c r="G413" i="26"/>
  <c r="F413" i="26"/>
  <c r="H411" i="26"/>
  <c r="G411" i="26"/>
  <c r="F411" i="26"/>
  <c r="H406" i="26"/>
  <c r="G406" i="26"/>
  <c r="F406" i="26"/>
  <c r="H404" i="26"/>
  <c r="G404" i="26"/>
  <c r="F404" i="26"/>
  <c r="H399" i="26"/>
  <c r="G399" i="26"/>
  <c r="F399" i="26"/>
  <c r="H397" i="26"/>
  <c r="G397" i="26"/>
  <c r="F397" i="26"/>
  <c r="H395" i="26"/>
  <c r="G395" i="26"/>
  <c r="F395" i="26"/>
  <c r="H393" i="26"/>
  <c r="G393" i="26"/>
  <c r="H383" i="26"/>
  <c r="G383" i="26"/>
  <c r="F383" i="26"/>
  <c r="H368" i="26"/>
  <c r="H367" i="26" s="1"/>
  <c r="G368" i="26"/>
  <c r="G367" i="26" s="1"/>
  <c r="F368" i="26"/>
  <c r="F367" i="26" s="1"/>
  <c r="H359" i="26"/>
  <c r="G359" i="26"/>
  <c r="F359" i="26"/>
  <c r="H353" i="26"/>
  <c r="G353" i="26"/>
  <c r="H348" i="26"/>
  <c r="G348" i="26"/>
  <c r="F348" i="26"/>
  <c r="H346" i="26"/>
  <c r="G346" i="26"/>
  <c r="F346" i="26"/>
  <c r="H337" i="26"/>
  <c r="F337" i="26"/>
  <c r="F335" i="26"/>
  <c r="H332" i="26"/>
  <c r="G332" i="26"/>
  <c r="F332" i="26"/>
  <c r="H328" i="26"/>
  <c r="G328" i="26"/>
  <c r="F328" i="26"/>
  <c r="G325" i="26"/>
  <c r="H325" i="26"/>
  <c r="F325" i="26"/>
  <c r="H323" i="26"/>
  <c r="G323" i="26"/>
  <c r="F323" i="26"/>
  <c r="H304" i="26"/>
  <c r="G304" i="26"/>
  <c r="F304" i="26"/>
  <c r="F303" i="26" s="1"/>
  <c r="H294" i="26"/>
  <c r="G294" i="26"/>
  <c r="F294" i="26"/>
  <c r="H292" i="26"/>
  <c r="G292" i="26"/>
  <c r="H286" i="26"/>
  <c r="G286" i="26"/>
  <c r="F286" i="26"/>
  <c r="H283" i="26"/>
  <c r="G283" i="26"/>
  <c r="F283" i="26"/>
  <c r="F269" i="26"/>
  <c r="F267" i="26"/>
  <c r="F240" i="26"/>
  <c r="H229" i="26"/>
  <c r="G229" i="26"/>
  <c r="H226" i="26"/>
  <c r="G226" i="26"/>
  <c r="F226" i="26"/>
  <c r="H217" i="26"/>
  <c r="G217" i="26"/>
  <c r="F217" i="26"/>
  <c r="H212" i="26"/>
  <c r="G212" i="26"/>
  <c r="F212" i="26"/>
  <c r="H210" i="26"/>
  <c r="G210" i="26"/>
  <c r="F210" i="26"/>
  <c r="H208" i="26"/>
  <c r="G208" i="26"/>
  <c r="F208" i="26"/>
  <c r="H206" i="26"/>
  <c r="H193" i="26"/>
  <c r="G193" i="26"/>
  <c r="F193" i="26"/>
  <c r="H191" i="26"/>
  <c r="G191" i="26"/>
  <c r="F191" i="26"/>
  <c r="H189" i="26"/>
  <c r="G189" i="26"/>
  <c r="H187" i="26"/>
  <c r="G187" i="26"/>
  <c r="F187" i="26"/>
  <c r="H183" i="26"/>
  <c r="G183" i="26"/>
  <c r="H180" i="26"/>
  <c r="G180" i="26"/>
  <c r="F180" i="26"/>
  <c r="H178" i="26"/>
  <c r="G178" i="26"/>
  <c r="F178" i="26"/>
  <c r="F165" i="26"/>
  <c r="H143" i="26"/>
  <c r="G143" i="26"/>
  <c r="H141" i="26"/>
  <c r="G141" i="26"/>
  <c r="H137" i="26"/>
  <c r="G137" i="26"/>
  <c r="F137" i="26"/>
  <c r="H128" i="26"/>
  <c r="G128" i="26"/>
  <c r="F128" i="26"/>
  <c r="H126" i="26"/>
  <c r="G126" i="26"/>
  <c r="H124" i="26"/>
  <c r="G124" i="26"/>
  <c r="F124" i="26"/>
  <c r="H103" i="26"/>
  <c r="G103" i="26"/>
  <c r="F103" i="26"/>
  <c r="H92" i="26"/>
  <c r="G92" i="26"/>
  <c r="H86" i="26"/>
  <c r="G86" i="26"/>
  <c r="F86" i="26"/>
  <c r="H84" i="26"/>
  <c r="G84" i="26"/>
  <c r="H82" i="26"/>
  <c r="G82" i="26"/>
  <c r="H76" i="26"/>
  <c r="G76" i="26"/>
  <c r="F76" i="26"/>
  <c r="H74" i="26"/>
  <c r="F74" i="26"/>
  <c r="G74" i="26"/>
  <c r="H72" i="26"/>
  <c r="G72" i="26"/>
  <c r="F72" i="26"/>
  <c r="H70" i="26"/>
  <c r="G70" i="26"/>
  <c r="H68" i="26"/>
  <c r="G68" i="26"/>
  <c r="F68" i="26"/>
  <c r="H66" i="26"/>
  <c r="G66" i="26"/>
  <c r="F66" i="26"/>
  <c r="H55" i="26"/>
  <c r="H54" i="26" s="1"/>
  <c r="G55" i="26"/>
  <c r="G54" i="26" s="1"/>
  <c r="F55" i="26"/>
  <c r="F54" i="26" s="1"/>
  <c r="H45" i="26"/>
  <c r="H44" i="26" s="1"/>
  <c r="G45" i="26"/>
  <c r="G44" i="26" s="1"/>
  <c r="F45" i="26"/>
  <c r="F44" i="26" s="1"/>
  <c r="H39" i="26"/>
  <c r="G39" i="26"/>
  <c r="F39" i="26"/>
  <c r="H26" i="26"/>
  <c r="G26" i="26"/>
  <c r="H19" i="26"/>
  <c r="G19" i="26"/>
  <c r="G92" i="25"/>
  <c r="H92" i="25"/>
  <c r="I92" i="25"/>
  <c r="G98" i="25"/>
  <c r="H98" i="25"/>
  <c r="I98" i="25"/>
  <c r="H104" i="25"/>
  <c r="I104" i="25"/>
  <c r="G106" i="25"/>
  <c r="H106" i="25"/>
  <c r="I106" i="25"/>
  <c r="H108" i="25"/>
  <c r="I108" i="25"/>
  <c r="G111" i="25"/>
  <c r="G110" i="25" s="1"/>
  <c r="H111" i="25"/>
  <c r="H110" i="25" s="1"/>
  <c r="I111" i="25"/>
  <c r="I110" i="25" s="1"/>
  <c r="G126" i="25"/>
  <c r="H126" i="25"/>
  <c r="H113" i="25" s="1"/>
  <c r="I126" i="25"/>
  <c r="I113" i="25" s="1"/>
  <c r="G128" i="25"/>
  <c r="G114" i="25" s="1"/>
  <c r="G139" i="25"/>
  <c r="H139" i="25"/>
  <c r="I139" i="25"/>
  <c r="G142" i="25"/>
  <c r="H142" i="25"/>
  <c r="I142" i="25"/>
  <c r="G144" i="25"/>
  <c r="H144" i="25"/>
  <c r="I144" i="25"/>
  <c r="G151" i="25"/>
  <c r="G156" i="25"/>
  <c r="G168" i="25"/>
  <c r="G172" i="25"/>
  <c r="I172" i="25"/>
  <c r="H172" i="25"/>
  <c r="G175" i="25"/>
  <c r="H175" i="25"/>
  <c r="I175" i="25"/>
  <c r="G179" i="25"/>
  <c r="H179" i="25"/>
  <c r="I179" i="25"/>
  <c r="G182" i="25"/>
  <c r="H182" i="25"/>
  <c r="I182" i="25"/>
  <c r="H215" i="25"/>
  <c r="I215" i="25"/>
  <c r="H218" i="25"/>
  <c r="I218" i="25"/>
  <c r="H220" i="25"/>
  <c r="I220" i="25"/>
  <c r="H222" i="25"/>
  <c r="I222" i="25"/>
  <c r="H226" i="25"/>
  <c r="I226" i="25"/>
  <c r="H232" i="25"/>
  <c r="I232" i="25"/>
  <c r="H234" i="25"/>
  <c r="I234" i="25"/>
  <c r="H236" i="25"/>
  <c r="I236" i="25"/>
  <c r="H241" i="25"/>
  <c r="I241" i="25"/>
  <c r="H245" i="25"/>
  <c r="I245" i="25"/>
  <c r="H247" i="25"/>
  <c r="H249" i="25"/>
  <c r="I249" i="25"/>
  <c r="H256" i="25"/>
  <c r="I256" i="25"/>
  <c r="I261" i="25"/>
  <c r="H270" i="25"/>
  <c r="I270" i="25"/>
  <c r="H275" i="25"/>
  <c r="I275" i="25"/>
  <c r="H280" i="25"/>
  <c r="I280" i="25"/>
  <c r="H292" i="25"/>
  <c r="I292" i="25"/>
  <c r="H295" i="25"/>
  <c r="I295" i="25"/>
  <c r="H302" i="25"/>
  <c r="I302" i="25"/>
  <c r="H304" i="25"/>
  <c r="I304" i="25"/>
  <c r="H306" i="25"/>
  <c r="I306" i="25"/>
  <c r="H309" i="25"/>
  <c r="H308" i="25" s="1"/>
  <c r="I309" i="25"/>
  <c r="I308" i="25" s="1"/>
  <c r="H339" i="25"/>
  <c r="I339" i="25"/>
  <c r="H341" i="25"/>
  <c r="I341" i="25"/>
  <c r="H359" i="25"/>
  <c r="I359" i="25"/>
  <c r="H361" i="25"/>
  <c r="I361" i="25"/>
  <c r="H364" i="25"/>
  <c r="I364" i="25"/>
  <c r="H384" i="25"/>
  <c r="I384" i="25"/>
  <c r="H396" i="25"/>
  <c r="I396" i="25"/>
  <c r="H398" i="25"/>
  <c r="I398" i="25"/>
  <c r="H403" i="25"/>
  <c r="I403" i="25"/>
  <c r="H405" i="25"/>
  <c r="I405" i="25"/>
  <c r="H407" i="25"/>
  <c r="I407" i="25"/>
  <c r="H414" i="25"/>
  <c r="H413" i="25" s="1"/>
  <c r="I414" i="25"/>
  <c r="I413" i="25" s="1"/>
  <c r="H419" i="25"/>
  <c r="I419" i="25"/>
  <c r="H421" i="25"/>
  <c r="I421" i="25"/>
  <c r="I418" i="25" s="1"/>
  <c r="H424" i="25"/>
  <c r="I424" i="25"/>
  <c r="H426" i="25"/>
  <c r="I426" i="25"/>
  <c r="H429" i="25"/>
  <c r="H428" i="25" s="1"/>
  <c r="I429" i="25"/>
  <c r="I428" i="25" s="1"/>
  <c r="H432" i="25"/>
  <c r="H431" i="25" s="1"/>
  <c r="I432" i="25"/>
  <c r="I431" i="25" s="1"/>
  <c r="H439" i="25"/>
  <c r="H438" i="25" s="1"/>
  <c r="I439" i="25"/>
  <c r="I438" i="25" s="1"/>
  <c r="H442" i="25"/>
  <c r="H441" i="25" s="1"/>
  <c r="I442" i="25"/>
  <c r="I441" i="25" s="1"/>
  <c r="H451" i="25"/>
  <c r="H450" i="25" s="1"/>
  <c r="I451" i="25"/>
  <c r="I450" i="25" s="1"/>
  <c r="H457" i="25"/>
  <c r="H456" i="25" s="1"/>
  <c r="I457" i="25"/>
  <c r="I456" i="25" s="1"/>
  <c r="I463" i="25"/>
  <c r="I467" i="25"/>
  <c r="H500" i="25"/>
  <c r="I500" i="25"/>
  <c r="G123" i="26" l="1"/>
  <c r="H418" i="25"/>
  <c r="H123" i="26"/>
  <c r="G225" i="26"/>
  <c r="G182" i="26"/>
  <c r="H199" i="26"/>
  <c r="H225" i="26"/>
  <c r="H182" i="26"/>
  <c r="G136" i="26"/>
  <c r="H136" i="26"/>
  <c r="I402" i="25"/>
  <c r="I395" i="25"/>
  <c r="H402" i="25"/>
  <c r="H395" i="25"/>
  <c r="I288" i="25"/>
  <c r="H288" i="25"/>
  <c r="F158" i="26"/>
  <c r="G113" i="25"/>
  <c r="H158" i="26"/>
  <c r="G158" i="26"/>
  <c r="G64" i="25"/>
  <c r="I64" i="25"/>
  <c r="H64" i="25"/>
  <c r="G18" i="26"/>
  <c r="H32" i="25"/>
  <c r="G32" i="25"/>
  <c r="I423" i="25"/>
  <c r="H141" i="25"/>
  <c r="H18" i="26"/>
  <c r="I141" i="25"/>
  <c r="H358" i="26"/>
  <c r="I32" i="25"/>
  <c r="G358" i="26"/>
  <c r="G141" i="25"/>
  <c r="H423" i="25"/>
  <c r="I24" i="25"/>
  <c r="H24" i="25"/>
  <c r="I132" i="25"/>
  <c r="H132" i="25"/>
  <c r="I394" i="25" l="1"/>
  <c r="H119" i="26"/>
  <c r="G119" i="26"/>
  <c r="H394" i="25"/>
  <c r="H417" i="25"/>
  <c r="I417" i="25"/>
  <c r="H157" i="26"/>
  <c r="F93" i="26" l="1"/>
  <c r="F92" i="26" s="1"/>
  <c r="G69" i="25"/>
  <c r="G68" i="25" s="1"/>
  <c r="F83" i="26"/>
  <c r="F82" i="26" s="1"/>
  <c r="G59" i="25"/>
  <c r="G58" i="25" s="1"/>
  <c r="F85" i="26"/>
  <c r="F84" i="26" s="1"/>
  <c r="G61" i="25"/>
  <c r="G60" i="25" s="1"/>
  <c r="F144" i="26"/>
  <c r="F143" i="26" s="1"/>
  <c r="G57" i="25"/>
  <c r="G56" i="25" s="1"/>
  <c r="J530" i="23"/>
  <c r="K530" i="23"/>
  <c r="L530" i="23"/>
  <c r="M530" i="23"/>
  <c r="N530" i="23"/>
  <c r="O530" i="23"/>
  <c r="P530" i="23"/>
  <c r="Q530" i="23"/>
  <c r="J524" i="23"/>
  <c r="K524" i="23"/>
  <c r="L524" i="23"/>
  <c r="M524" i="23"/>
  <c r="N524" i="23"/>
  <c r="O524" i="23"/>
  <c r="P524" i="23"/>
  <c r="Q524" i="23"/>
  <c r="H323" i="23"/>
  <c r="I323" i="23"/>
  <c r="G323" i="23"/>
  <c r="H321" i="23"/>
  <c r="I321" i="23"/>
  <c r="G321" i="23"/>
  <c r="H65" i="23"/>
  <c r="I65" i="23"/>
  <c r="H87" i="23"/>
  <c r="H86" i="23" s="1"/>
  <c r="H85" i="23" s="1"/>
  <c r="I87" i="23"/>
  <c r="I86" i="23" s="1"/>
  <c r="I85" i="23" s="1"/>
  <c r="H92" i="23"/>
  <c r="I92" i="23"/>
  <c r="H122" i="23"/>
  <c r="I122" i="23"/>
  <c r="H124" i="23"/>
  <c r="I124" i="23"/>
  <c r="H160" i="23"/>
  <c r="I160" i="23"/>
  <c r="H211" i="23"/>
  <c r="H210" i="23" s="1"/>
  <c r="H209" i="23" s="1"/>
  <c r="I211" i="23"/>
  <c r="I210" i="23" s="1"/>
  <c r="I209" i="23" s="1"/>
  <c r="H416" i="23"/>
  <c r="I416" i="23"/>
  <c r="H505" i="23"/>
  <c r="I505" i="23"/>
  <c r="H508" i="23"/>
  <c r="I508" i="23"/>
  <c r="H510" i="23"/>
  <c r="I510" i="23"/>
  <c r="H512" i="23"/>
  <c r="I512" i="23"/>
  <c r="H531" i="23"/>
  <c r="I531" i="23"/>
  <c r="I535" i="23"/>
  <c r="H545" i="23"/>
  <c r="I545" i="23"/>
  <c r="H554" i="23"/>
  <c r="I554" i="23"/>
  <c r="H556" i="23"/>
  <c r="I556" i="23"/>
  <c r="H558" i="23"/>
  <c r="I558" i="23"/>
  <c r="H560" i="23"/>
  <c r="I560" i="23"/>
  <c r="H571" i="23"/>
  <c r="I571" i="23"/>
  <c r="H575" i="23"/>
  <c r="I575" i="23"/>
  <c r="H577" i="23"/>
  <c r="I577" i="23"/>
  <c r="H579" i="23"/>
  <c r="I579" i="23"/>
  <c r="H584" i="23"/>
  <c r="I584" i="23"/>
  <c r="H600" i="23"/>
  <c r="I600" i="23"/>
  <c r="H602" i="23"/>
  <c r="I602" i="23"/>
  <c r="H604" i="23"/>
  <c r="I604" i="23"/>
  <c r="H544" i="23" l="1"/>
  <c r="I544" i="23"/>
  <c r="F293" i="26"/>
  <c r="F292" i="26" s="1"/>
  <c r="F300" i="26"/>
  <c r="F298" i="26" s="1"/>
  <c r="G162" i="25"/>
  <c r="G160" i="25" s="1"/>
  <c r="F364" i="26"/>
  <c r="F363" i="26" s="1"/>
  <c r="F357" i="26"/>
  <c r="F355" i="26" s="1"/>
  <c r="G352" i="26"/>
  <c r="G350" i="26" s="1"/>
  <c r="H274" i="25"/>
  <c r="H272" i="25" s="1"/>
  <c r="F352" i="26"/>
  <c r="F350" i="26" s="1"/>
  <c r="H352" i="26"/>
  <c r="H350" i="26" s="1"/>
  <c r="I274" i="25"/>
  <c r="I272" i="25" s="1"/>
  <c r="F354" i="26"/>
  <c r="F353" i="26" s="1"/>
  <c r="I599" i="23"/>
  <c r="I598" i="23" s="1"/>
  <c r="H599" i="23"/>
  <c r="H598" i="23" s="1"/>
  <c r="F358" i="26" l="1"/>
  <c r="F20" i="26"/>
  <c r="F19" i="26" s="1"/>
  <c r="F24" i="26" l="1"/>
  <c r="F23" i="26" s="1"/>
  <c r="F53" i="26"/>
  <c r="F52" i="26" s="1"/>
  <c r="F27" i="26"/>
  <c r="F26" i="26" s="1"/>
  <c r="F49" i="26"/>
  <c r="F18" i="26" l="1"/>
  <c r="F71" i="26"/>
  <c r="F70" i="26" s="1"/>
  <c r="G26" i="25"/>
  <c r="G25" i="25" s="1"/>
  <c r="G24" i="25" s="1"/>
  <c r="F230" i="26"/>
  <c r="F229" i="26" s="1"/>
  <c r="F225" i="26" s="1"/>
  <c r="F42" i="26"/>
  <c r="G22" i="25"/>
  <c r="F101" i="26"/>
  <c r="G90" i="25"/>
  <c r="H268" i="26" l="1"/>
  <c r="H267" i="26" s="1"/>
  <c r="I157" i="25"/>
  <c r="I156" i="25" s="1"/>
  <c r="H534" i="26"/>
  <c r="H533" i="26" s="1"/>
  <c r="H532" i="26" s="1"/>
  <c r="H531" i="26" s="1"/>
  <c r="I508" i="25"/>
  <c r="I507" i="25" s="1"/>
  <c r="I506" i="25" s="1"/>
  <c r="I505" i="25" s="1"/>
  <c r="F500" i="26" l="1"/>
  <c r="F498" i="26" s="1"/>
  <c r="G135" i="25" l="1"/>
  <c r="G132" i="25" s="1"/>
  <c r="F142" i="26"/>
  <c r="F141" i="26" s="1"/>
  <c r="F136" i="26" s="1"/>
  <c r="G55" i="25"/>
  <c r="G54" i="25" s="1"/>
  <c r="I609" i="23"/>
  <c r="H609" i="23"/>
  <c r="G609" i="23"/>
  <c r="G604" i="23"/>
  <c r="G602" i="23"/>
  <c r="G600" i="23"/>
  <c r="I596" i="23"/>
  <c r="H596" i="23"/>
  <c r="G596" i="23"/>
  <c r="I593" i="23"/>
  <c r="H593" i="23"/>
  <c r="H592" i="23" s="1"/>
  <c r="G593" i="23"/>
  <c r="G584" i="23"/>
  <c r="G579" i="23"/>
  <c r="G577" i="23"/>
  <c r="G575" i="23"/>
  <c r="I573" i="23"/>
  <c r="I566" i="23" s="1"/>
  <c r="G571" i="23"/>
  <c r="G560" i="23"/>
  <c r="G558" i="23"/>
  <c r="G554" i="23"/>
  <c r="I550" i="23"/>
  <c r="I549" i="23" s="1"/>
  <c r="H550" i="23"/>
  <c r="H549" i="23" s="1"/>
  <c r="G545" i="23"/>
  <c r="G535" i="23"/>
  <c r="I533" i="23"/>
  <c r="H533" i="23"/>
  <c r="G531" i="23"/>
  <c r="G512" i="23"/>
  <c r="G510" i="23"/>
  <c r="G508" i="23"/>
  <c r="I500" i="23"/>
  <c r="I497" i="23" s="1"/>
  <c r="H500" i="23"/>
  <c r="H497" i="23" s="1"/>
  <c r="G500" i="23"/>
  <c r="G497" i="23" s="1"/>
  <c r="I493" i="23"/>
  <c r="H493" i="23"/>
  <c r="G493" i="23"/>
  <c r="I490" i="23"/>
  <c r="H490" i="23"/>
  <c r="G490" i="23"/>
  <c r="I474" i="23"/>
  <c r="H474" i="23"/>
  <c r="G474" i="23"/>
  <c r="I469" i="23"/>
  <c r="H469" i="23"/>
  <c r="G469" i="23"/>
  <c r="Q462" i="23"/>
  <c r="P462" i="23"/>
  <c r="O462" i="23"/>
  <c r="N462" i="23"/>
  <c r="M462" i="23"/>
  <c r="L462" i="23"/>
  <c r="K462" i="23"/>
  <c r="J462" i="23"/>
  <c r="I454" i="23"/>
  <c r="I453" i="23" s="1"/>
  <c r="H454" i="23"/>
  <c r="H453" i="23" s="1"/>
  <c r="G454" i="23"/>
  <c r="G453" i="23" s="1"/>
  <c r="I450" i="23"/>
  <c r="H450" i="23"/>
  <c r="G450" i="23"/>
  <c r="I438" i="23"/>
  <c r="I437" i="23" s="1"/>
  <c r="I436" i="23" s="1"/>
  <c r="H438" i="23"/>
  <c r="H437" i="23" s="1"/>
  <c r="H436" i="23" s="1"/>
  <c r="G438" i="23"/>
  <c r="G437" i="23" s="1"/>
  <c r="G436" i="23" s="1"/>
  <c r="I429" i="23"/>
  <c r="H429" i="23"/>
  <c r="G429" i="23"/>
  <c r="G425" i="23"/>
  <c r="I423" i="23"/>
  <c r="H423" i="23"/>
  <c r="G423" i="23"/>
  <c r="I420" i="23"/>
  <c r="H420" i="23"/>
  <c r="G420" i="23"/>
  <c r="I418" i="23"/>
  <c r="H418" i="23"/>
  <c r="G418" i="23"/>
  <c r="G416" i="23"/>
  <c r="Q413" i="23"/>
  <c r="P413" i="23"/>
  <c r="O413" i="23"/>
  <c r="N413" i="23"/>
  <c r="M413" i="23"/>
  <c r="L413" i="23"/>
  <c r="K413" i="23"/>
  <c r="J413" i="23"/>
  <c r="I410" i="23"/>
  <c r="H410" i="23"/>
  <c r="G410" i="23"/>
  <c r="I408" i="23"/>
  <c r="H408" i="23"/>
  <c r="G408" i="23"/>
  <c r="G404" i="23"/>
  <c r="I400" i="23"/>
  <c r="H400" i="23"/>
  <c r="G400" i="23"/>
  <c r="I398" i="23"/>
  <c r="H398" i="23"/>
  <c r="G398" i="23"/>
  <c r="I374" i="23"/>
  <c r="H374" i="23"/>
  <c r="G374" i="23"/>
  <c r="H372" i="23"/>
  <c r="G372" i="23"/>
  <c r="I370" i="23"/>
  <c r="H370" i="23"/>
  <c r="G370" i="23"/>
  <c r="I366" i="23"/>
  <c r="H366" i="23"/>
  <c r="G366" i="23"/>
  <c r="I362" i="23"/>
  <c r="H362" i="23"/>
  <c r="G362" i="23"/>
  <c r="I360" i="23"/>
  <c r="H360" i="23"/>
  <c r="G360" i="23"/>
  <c r="I357" i="23"/>
  <c r="H357" i="23"/>
  <c r="G357" i="23"/>
  <c r="I355" i="23"/>
  <c r="H355" i="23"/>
  <c r="G355" i="23"/>
  <c r="I352" i="23"/>
  <c r="I350" i="23"/>
  <c r="H350" i="23"/>
  <c r="G350" i="23"/>
  <c r="I348" i="23"/>
  <c r="H348" i="23"/>
  <c r="G348" i="23"/>
  <c r="I338" i="23"/>
  <c r="G338" i="23"/>
  <c r="G336" i="23"/>
  <c r="I333" i="23"/>
  <c r="H333" i="23"/>
  <c r="G333" i="23"/>
  <c r="I326" i="23"/>
  <c r="H326" i="23"/>
  <c r="G326" i="23"/>
  <c r="I312" i="23"/>
  <c r="H312" i="23"/>
  <c r="G312" i="23"/>
  <c r="G311" i="23" s="1"/>
  <c r="I307" i="23"/>
  <c r="H307" i="23"/>
  <c r="G307" i="23"/>
  <c r="I305" i="23"/>
  <c r="H305" i="23"/>
  <c r="G305" i="23"/>
  <c r="I299" i="23"/>
  <c r="H299" i="23"/>
  <c r="G299" i="23"/>
  <c r="I296" i="23"/>
  <c r="H296" i="23"/>
  <c r="G296" i="23"/>
  <c r="H288" i="23"/>
  <c r="G284" i="23"/>
  <c r="I282" i="23"/>
  <c r="G282" i="23"/>
  <c r="H248" i="26"/>
  <c r="G248" i="26"/>
  <c r="F248" i="26"/>
  <c r="H247" i="26"/>
  <c r="G247" i="26"/>
  <c r="F247" i="26"/>
  <c r="H235" i="26"/>
  <c r="G235" i="26"/>
  <c r="F235" i="26"/>
  <c r="I241" i="23"/>
  <c r="I240" i="23" s="1"/>
  <c r="H241" i="23"/>
  <c r="H240" i="23" s="1"/>
  <c r="G241" i="23"/>
  <c r="G240" i="23" s="1"/>
  <c r="I238" i="23"/>
  <c r="H238" i="23"/>
  <c r="G238" i="23"/>
  <c r="I231" i="23"/>
  <c r="H231" i="23"/>
  <c r="G231" i="23"/>
  <c r="G226" i="23"/>
  <c r="I217" i="23"/>
  <c r="H217" i="23"/>
  <c r="I215" i="23"/>
  <c r="H215" i="23"/>
  <c r="G215" i="23"/>
  <c r="G211" i="23"/>
  <c r="G210" i="23" s="1"/>
  <c r="G209" i="23" s="1"/>
  <c r="I207" i="23"/>
  <c r="H207" i="23"/>
  <c r="G207" i="23"/>
  <c r="I205" i="23"/>
  <c r="H205" i="23"/>
  <c r="G205" i="23"/>
  <c r="I195" i="23"/>
  <c r="H195" i="23"/>
  <c r="G195" i="23"/>
  <c r="I192" i="23"/>
  <c r="H192" i="23"/>
  <c r="G192" i="23"/>
  <c r="I190" i="23"/>
  <c r="H190" i="23"/>
  <c r="G190" i="23"/>
  <c r="I188" i="23"/>
  <c r="H188" i="23"/>
  <c r="G188" i="23"/>
  <c r="I186" i="23"/>
  <c r="H186" i="23"/>
  <c r="G186" i="23"/>
  <c r="I173" i="23"/>
  <c r="H173" i="23"/>
  <c r="G173" i="23"/>
  <c r="I165" i="23"/>
  <c r="H165" i="23"/>
  <c r="G165" i="23"/>
  <c r="I145" i="23"/>
  <c r="I144" i="23" s="1"/>
  <c r="I143" i="23" s="1"/>
  <c r="I141" i="23"/>
  <c r="I140" i="23" s="1"/>
  <c r="I139" i="23" s="1"/>
  <c r="H141" i="23"/>
  <c r="H140" i="23" s="1"/>
  <c r="H139" i="23" s="1"/>
  <c r="G141" i="23"/>
  <c r="G140" i="23" s="1"/>
  <c r="G139" i="23" s="1"/>
  <c r="I129" i="23"/>
  <c r="I128" i="23" s="1"/>
  <c r="H129" i="23"/>
  <c r="H128" i="23" s="1"/>
  <c r="G129" i="23"/>
  <c r="G128" i="23" s="1"/>
  <c r="I126" i="23"/>
  <c r="H126" i="23"/>
  <c r="G126" i="23"/>
  <c r="G124" i="23"/>
  <c r="G122" i="23"/>
  <c r="I120" i="23"/>
  <c r="H120" i="23"/>
  <c r="I112" i="23"/>
  <c r="I111" i="23" s="1"/>
  <c r="I110" i="23" s="1"/>
  <c r="H112" i="23"/>
  <c r="H111" i="23" s="1"/>
  <c r="H110" i="23" s="1"/>
  <c r="G112" i="23"/>
  <c r="G111" i="23" s="1"/>
  <c r="G110" i="23" s="1"/>
  <c r="G99" i="23"/>
  <c r="G87" i="23"/>
  <c r="G86" i="23" s="1"/>
  <c r="G85" i="23" s="1"/>
  <c r="Q67" i="23"/>
  <c r="Q41" i="23" s="1"/>
  <c r="P67" i="23"/>
  <c r="P41" i="23" s="1"/>
  <c r="O67" i="23"/>
  <c r="O41" i="23" s="1"/>
  <c r="N67" i="23"/>
  <c r="N41" i="23" s="1"/>
  <c r="M67" i="23"/>
  <c r="M41" i="23" s="1"/>
  <c r="L67" i="23"/>
  <c r="L41" i="23" s="1"/>
  <c r="K67" i="23"/>
  <c r="K41" i="23" s="1"/>
  <c r="J67" i="23"/>
  <c r="J41" i="23" s="1"/>
  <c r="I67" i="23"/>
  <c r="H67" i="23"/>
  <c r="G67" i="23"/>
  <c r="G65" i="23"/>
  <c r="I58" i="23"/>
  <c r="H58" i="23"/>
  <c r="G58" i="23"/>
  <c r="I56" i="23"/>
  <c r="H56" i="23"/>
  <c r="G56" i="23"/>
  <c r="I54" i="23"/>
  <c r="H54" i="23"/>
  <c r="G54" i="23"/>
  <c r="G83" i="25"/>
  <c r="I46" i="23"/>
  <c r="H46" i="23"/>
  <c r="G46" i="23"/>
  <c r="I44" i="23"/>
  <c r="H44" i="23"/>
  <c r="G44" i="23"/>
  <c r="I39" i="23"/>
  <c r="I38" i="23" s="1"/>
  <c r="H39" i="23"/>
  <c r="H38" i="23" s="1"/>
  <c r="G39" i="23"/>
  <c r="G38" i="23" s="1"/>
  <c r="I36" i="23"/>
  <c r="I35" i="23" s="1"/>
  <c r="I499" i="25" s="1"/>
  <c r="I498" i="25" s="1"/>
  <c r="I486" i="25" s="1"/>
  <c r="H36" i="23"/>
  <c r="H35" i="23" s="1"/>
  <c r="H499" i="25" s="1"/>
  <c r="H498" i="25" s="1"/>
  <c r="G36" i="23"/>
  <c r="G35" i="23" s="1"/>
  <c r="G499" i="25" s="1"/>
  <c r="G498" i="25" s="1"/>
  <c r="G486" i="25" s="1"/>
  <c r="I30" i="23"/>
  <c r="H30" i="23"/>
  <c r="G30" i="23"/>
  <c r="H530" i="23" l="1"/>
  <c r="H529" i="23" s="1"/>
  <c r="I530" i="23"/>
  <c r="I529" i="23" s="1"/>
  <c r="G592" i="23"/>
  <c r="I592" i="23"/>
  <c r="G599" i="23"/>
  <c r="I311" i="23"/>
  <c r="H311" i="23"/>
  <c r="G397" i="23"/>
  <c r="G92" i="23"/>
  <c r="G91" i="23" s="1"/>
  <c r="I465" i="25"/>
  <c r="I462" i="25" s="1"/>
  <c r="I461" i="25" s="1"/>
  <c r="G544" i="23"/>
  <c r="G246" i="26"/>
  <c r="H246" i="26"/>
  <c r="I253" i="25"/>
  <c r="I252" i="25" s="1"/>
  <c r="H309" i="26"/>
  <c r="H308" i="26" s="1"/>
  <c r="H303" i="26" s="1"/>
  <c r="G309" i="26"/>
  <c r="G308" i="26" s="1"/>
  <c r="G303" i="26" s="1"/>
  <c r="H253" i="25"/>
  <c r="H252" i="25" s="1"/>
  <c r="I83" i="25"/>
  <c r="H83" i="25"/>
  <c r="H91" i="23"/>
  <c r="I91" i="23"/>
  <c r="F246" i="26"/>
  <c r="G20" i="23"/>
  <c r="F30" i="26"/>
  <c r="F29" i="26" s="1"/>
  <c r="G44" i="25"/>
  <c r="G43" i="25" s="1"/>
  <c r="H36" i="26"/>
  <c r="I18" i="25"/>
  <c r="I50" i="23"/>
  <c r="H63" i="26"/>
  <c r="H62" i="26" s="1"/>
  <c r="G102" i="26"/>
  <c r="H91" i="25"/>
  <c r="H118" i="23"/>
  <c r="G392" i="26"/>
  <c r="G391" i="26" s="1"/>
  <c r="H103" i="25"/>
  <c r="H102" i="25" s="1"/>
  <c r="H158" i="23"/>
  <c r="G497" i="26"/>
  <c r="G496" i="26" s="1"/>
  <c r="H520" i="26"/>
  <c r="I378" i="25"/>
  <c r="F237" i="26"/>
  <c r="G192" i="25"/>
  <c r="H243" i="26"/>
  <c r="I154" i="25"/>
  <c r="H258" i="26"/>
  <c r="I197" i="25"/>
  <c r="G263" i="26"/>
  <c r="H202" i="25"/>
  <c r="G274" i="26"/>
  <c r="G273" i="26" s="1"/>
  <c r="H166" i="25"/>
  <c r="H165" i="25" s="1"/>
  <c r="F402" i="26"/>
  <c r="I414" i="23"/>
  <c r="H345" i="26"/>
  <c r="H344" i="26" s="1"/>
  <c r="H425" i="23"/>
  <c r="G357" i="26"/>
  <c r="G355" i="26" s="1"/>
  <c r="H279" i="25"/>
  <c r="H277" i="25" s="1"/>
  <c r="H269" i="25" s="1"/>
  <c r="G377" i="26"/>
  <c r="H326" i="25"/>
  <c r="H378" i="26"/>
  <c r="I327" i="25"/>
  <c r="F417" i="26"/>
  <c r="F416" i="26" s="1"/>
  <c r="H419" i="26"/>
  <c r="H418" i="26" s="1"/>
  <c r="I349" i="25"/>
  <c r="I348" i="25" s="1"/>
  <c r="F421" i="26"/>
  <c r="H387" i="26"/>
  <c r="H386" i="26" s="1"/>
  <c r="I337" i="25"/>
  <c r="I336" i="25" s="1"/>
  <c r="I333" i="25" s="1"/>
  <c r="F423" i="26"/>
  <c r="F422" i="26" s="1"/>
  <c r="G487" i="23"/>
  <c r="G471" i="23" s="1"/>
  <c r="F427" i="26"/>
  <c r="F426" i="26" s="1"/>
  <c r="F491" i="26"/>
  <c r="F490" i="26" s="1"/>
  <c r="H573" i="23"/>
  <c r="H566" i="23" s="1"/>
  <c r="G207" i="26"/>
  <c r="G206" i="26" s="1"/>
  <c r="G199" i="26" s="1"/>
  <c r="H467" i="25"/>
  <c r="F216" i="26"/>
  <c r="F214" i="26" s="1"/>
  <c r="F17" i="26"/>
  <c r="F16" i="26" s="1"/>
  <c r="F15" i="26" s="1"/>
  <c r="G16" i="25"/>
  <c r="G15" i="25" s="1"/>
  <c r="G17" i="23"/>
  <c r="G16" i="23" s="1"/>
  <c r="H20" i="23"/>
  <c r="G30" i="26"/>
  <c r="G29" i="26" s="1"/>
  <c r="H44" i="25"/>
  <c r="H43" i="25" s="1"/>
  <c r="I23" i="23"/>
  <c r="H33" i="26"/>
  <c r="H32" i="26" s="1"/>
  <c r="I47" i="25"/>
  <c r="I46" i="25" s="1"/>
  <c r="F37" i="26"/>
  <c r="G19" i="25"/>
  <c r="G38" i="26"/>
  <c r="H20" i="25"/>
  <c r="G43" i="26"/>
  <c r="H23" i="25"/>
  <c r="I48" i="23"/>
  <c r="H61" i="26"/>
  <c r="H60" i="26" s="1"/>
  <c r="I455" i="25"/>
  <c r="I454" i="25" s="1"/>
  <c r="I453" i="25" s="1"/>
  <c r="G101" i="26"/>
  <c r="H90" i="25"/>
  <c r="H102" i="26"/>
  <c r="I91" i="25"/>
  <c r="I116" i="23"/>
  <c r="H390" i="26"/>
  <c r="H389" i="26" s="1"/>
  <c r="I101" i="25"/>
  <c r="I100" i="25" s="1"/>
  <c r="I118" i="23"/>
  <c r="H392" i="26"/>
  <c r="H391" i="26" s="1"/>
  <c r="I103" i="25"/>
  <c r="I102" i="25" s="1"/>
  <c r="I158" i="23"/>
  <c r="H497" i="26"/>
  <c r="H496" i="26" s="1"/>
  <c r="I163" i="23"/>
  <c r="H502" i="26"/>
  <c r="H501" i="26" s="1"/>
  <c r="I375" i="25"/>
  <c r="I374" i="25" s="1"/>
  <c r="G167" i="23"/>
  <c r="F506" i="26"/>
  <c r="F505" i="26" s="1"/>
  <c r="H519" i="26"/>
  <c r="I377" i="25"/>
  <c r="G181" i="23"/>
  <c r="F522" i="26"/>
  <c r="F521" i="26" s="1"/>
  <c r="F99" i="26"/>
  <c r="G75" i="25"/>
  <c r="G49" i="26"/>
  <c r="H50" i="26"/>
  <c r="F234" i="26"/>
  <c r="F233" i="26" s="1"/>
  <c r="G81" i="25"/>
  <c r="G80" i="25" s="1"/>
  <c r="G237" i="26"/>
  <c r="H192" i="25"/>
  <c r="H238" i="26"/>
  <c r="I193" i="25"/>
  <c r="G242" i="26"/>
  <c r="H153" i="25"/>
  <c r="H257" i="26"/>
  <c r="I196" i="25"/>
  <c r="F261" i="26"/>
  <c r="G200" i="25"/>
  <c r="G262" i="26"/>
  <c r="H201" i="25"/>
  <c r="H263" i="26"/>
  <c r="I202" i="25"/>
  <c r="H284" i="23"/>
  <c r="G271" i="26"/>
  <c r="G269" i="26" s="1"/>
  <c r="H170" i="25"/>
  <c r="H168" i="25" s="1"/>
  <c r="G293" i="23"/>
  <c r="F280" i="26"/>
  <c r="F278" i="26" s="1"/>
  <c r="G206" i="25"/>
  <c r="H330" i="23"/>
  <c r="G321" i="26"/>
  <c r="G320" i="26" s="1"/>
  <c r="H267" i="25"/>
  <c r="H266" i="25" s="1"/>
  <c r="G402" i="26"/>
  <c r="H230" i="25"/>
  <c r="H403" i="26"/>
  <c r="I231" i="25"/>
  <c r="G352" i="23"/>
  <c r="F410" i="26"/>
  <c r="F408" i="26" s="1"/>
  <c r="I368" i="23"/>
  <c r="H452" i="26"/>
  <c r="H451" i="26" s="1"/>
  <c r="I244" i="25"/>
  <c r="I243" i="25" s="1"/>
  <c r="I425" i="23"/>
  <c r="I413" i="23" s="1"/>
  <c r="H357" i="26"/>
  <c r="H355" i="26" s="1"/>
  <c r="H343" i="26" s="1"/>
  <c r="I279" i="25"/>
  <c r="I277" i="25" s="1"/>
  <c r="I269" i="25" s="1"/>
  <c r="I447" i="23"/>
  <c r="I446" i="23" s="1"/>
  <c r="I445" i="23" s="1"/>
  <c r="I441" i="23" s="1"/>
  <c r="H460" i="23"/>
  <c r="G375" i="26"/>
  <c r="G374" i="26" s="1"/>
  <c r="H324" i="25"/>
  <c r="H323" i="25" s="1"/>
  <c r="H377" i="26"/>
  <c r="I326" i="25"/>
  <c r="G417" i="26"/>
  <c r="G416" i="26" s="1"/>
  <c r="H347" i="25"/>
  <c r="H346" i="25" s="1"/>
  <c r="G421" i="26"/>
  <c r="H351" i="25"/>
  <c r="H350" i="25" s="1"/>
  <c r="G423" i="26"/>
  <c r="G422" i="26" s="1"/>
  <c r="H353" i="25"/>
  <c r="H352" i="25" s="1"/>
  <c r="F425" i="26"/>
  <c r="F424" i="26" s="1"/>
  <c r="H487" i="23"/>
  <c r="H471" i="23" s="1"/>
  <c r="G427" i="26"/>
  <c r="G426" i="26" s="1"/>
  <c r="H357" i="25"/>
  <c r="H356" i="25" s="1"/>
  <c r="F470" i="26"/>
  <c r="G514" i="23"/>
  <c r="F485" i="26"/>
  <c r="F484" i="26" s="1"/>
  <c r="G556" i="23"/>
  <c r="F190" i="26"/>
  <c r="F189" i="26" s="1"/>
  <c r="F43" i="26"/>
  <c r="F41" i="26" s="1"/>
  <c r="G23" i="25"/>
  <c r="G21" i="25" s="1"/>
  <c r="G50" i="26"/>
  <c r="I303" i="23"/>
  <c r="I302" i="23" s="1"/>
  <c r="H291" i="26"/>
  <c r="H290" i="26" s="1"/>
  <c r="G330" i="23"/>
  <c r="F321" i="26"/>
  <c r="F320" i="26" s="1"/>
  <c r="H447" i="23"/>
  <c r="H446" i="23" s="1"/>
  <c r="H445" i="23" s="1"/>
  <c r="H441" i="23" s="1"/>
  <c r="G17" i="26"/>
  <c r="G16" i="26" s="1"/>
  <c r="G15" i="26" s="1"/>
  <c r="H16" i="25"/>
  <c r="H15" i="25" s="1"/>
  <c r="H17" i="23"/>
  <c r="H16" i="23" s="1"/>
  <c r="F36" i="26"/>
  <c r="G18" i="25"/>
  <c r="G42" i="26"/>
  <c r="H22" i="25"/>
  <c r="H49" i="26"/>
  <c r="G234" i="26"/>
  <c r="G233" i="26" s="1"/>
  <c r="F239" i="26"/>
  <c r="G194" i="25"/>
  <c r="H242" i="26"/>
  <c r="I153" i="25"/>
  <c r="F258" i="26"/>
  <c r="G197" i="25"/>
  <c r="G261" i="26"/>
  <c r="H200" i="25"/>
  <c r="H262" i="26"/>
  <c r="I201" i="25"/>
  <c r="H282" i="23"/>
  <c r="G268" i="26"/>
  <c r="G267" i="26" s="1"/>
  <c r="H157" i="25"/>
  <c r="H156" i="25" s="1"/>
  <c r="I284" i="23"/>
  <c r="H271" i="26"/>
  <c r="H269" i="26" s="1"/>
  <c r="I170" i="25"/>
  <c r="I168" i="25" s="1"/>
  <c r="H293" i="23"/>
  <c r="G280" i="26"/>
  <c r="G278" i="26" s="1"/>
  <c r="H206" i="25"/>
  <c r="G303" i="23"/>
  <c r="G302" i="23" s="1"/>
  <c r="F291" i="26"/>
  <c r="F290" i="26" s="1"/>
  <c r="F289" i="26" s="1"/>
  <c r="G318" i="23"/>
  <c r="F319" i="26"/>
  <c r="F317" i="26" s="1"/>
  <c r="G211" i="25"/>
  <c r="G209" i="25" s="1"/>
  <c r="H321" i="26"/>
  <c r="H320" i="26" s="1"/>
  <c r="I267" i="25"/>
  <c r="I266" i="25" s="1"/>
  <c r="H402" i="26"/>
  <c r="I230" i="25"/>
  <c r="H352" i="23"/>
  <c r="G410" i="26"/>
  <c r="G408" i="26" s="1"/>
  <c r="H240" i="25"/>
  <c r="H238" i="25" s="1"/>
  <c r="H404" i="23"/>
  <c r="H397" i="23" s="1"/>
  <c r="G300" i="26"/>
  <c r="G298" i="26" s="1"/>
  <c r="H162" i="25"/>
  <c r="H160" i="25" s="1"/>
  <c r="G414" i="23"/>
  <c r="G413" i="23" s="1"/>
  <c r="F345" i="26"/>
  <c r="F344" i="26" s="1"/>
  <c r="F343" i="26" s="1"/>
  <c r="I460" i="23"/>
  <c r="H375" i="26"/>
  <c r="H374" i="26" s="1"/>
  <c r="I324" i="25"/>
  <c r="I323" i="25" s="1"/>
  <c r="F378" i="26"/>
  <c r="H417" i="26"/>
  <c r="H416" i="26" s="1"/>
  <c r="I347" i="25"/>
  <c r="I346" i="25" s="1"/>
  <c r="F419" i="26"/>
  <c r="F418" i="26" s="1"/>
  <c r="H421" i="26"/>
  <c r="I351" i="25"/>
  <c r="I350" i="25" s="1"/>
  <c r="H423" i="26"/>
  <c r="H422" i="26" s="1"/>
  <c r="I353" i="25"/>
  <c r="I352" i="25" s="1"/>
  <c r="G425" i="26"/>
  <c r="G424" i="26" s="1"/>
  <c r="H355" i="25"/>
  <c r="H354" i="25" s="1"/>
  <c r="I487" i="23"/>
  <c r="I471" i="23" s="1"/>
  <c r="H427" i="26"/>
  <c r="H426" i="26" s="1"/>
  <c r="I357" i="25"/>
  <c r="I356" i="25" s="1"/>
  <c r="H514" i="23"/>
  <c r="H504" i="23" s="1"/>
  <c r="G485" i="26"/>
  <c r="G484" i="26" s="1"/>
  <c r="G464" i="26" s="1"/>
  <c r="H314" i="25"/>
  <c r="H313" i="25" s="1"/>
  <c r="H312" i="25" s="1"/>
  <c r="G533" i="23"/>
  <c r="F127" i="26"/>
  <c r="F126" i="26" s="1"/>
  <c r="F123" i="26" s="1"/>
  <c r="H23" i="23"/>
  <c r="G33" i="26"/>
  <c r="G32" i="26" s="1"/>
  <c r="H47" i="25"/>
  <c r="H46" i="25" s="1"/>
  <c r="F38" i="26"/>
  <c r="G20" i="25"/>
  <c r="H48" i="23"/>
  <c r="H455" i="25"/>
  <c r="H454" i="25" s="1"/>
  <c r="H453" i="25" s="1"/>
  <c r="G61" i="26"/>
  <c r="G60" i="26" s="1"/>
  <c r="H116" i="23"/>
  <c r="G390" i="26"/>
  <c r="G389" i="26" s="1"/>
  <c r="H101" i="25"/>
  <c r="H100" i="25" s="1"/>
  <c r="G120" i="23"/>
  <c r="F394" i="26"/>
  <c r="F393" i="26" s="1"/>
  <c r="G105" i="25"/>
  <c r="G104" i="25" s="1"/>
  <c r="H145" i="23"/>
  <c r="H144" i="23" s="1"/>
  <c r="H143" i="23" s="1"/>
  <c r="G534" i="26"/>
  <c r="G533" i="26" s="1"/>
  <c r="G532" i="26" s="1"/>
  <c r="G531" i="26" s="1"/>
  <c r="H508" i="25"/>
  <c r="H507" i="25" s="1"/>
  <c r="H506" i="25" s="1"/>
  <c r="H505" i="25" s="1"/>
  <c r="H486" i="25" s="1"/>
  <c r="H163" i="23"/>
  <c r="G502" i="26"/>
  <c r="G501" i="26" s="1"/>
  <c r="H375" i="25"/>
  <c r="H374" i="25" s="1"/>
  <c r="G519" i="26"/>
  <c r="H377" i="25"/>
  <c r="H98" i="26"/>
  <c r="I74" i="25"/>
  <c r="G217" i="23"/>
  <c r="G214" i="23" s="1"/>
  <c r="G213" i="23" s="1"/>
  <c r="F442" i="26"/>
  <c r="F441" i="26" s="1"/>
  <c r="G109" i="25"/>
  <c r="G108" i="25" s="1"/>
  <c r="H53" i="26"/>
  <c r="H52" i="26" s="1"/>
  <c r="G238" i="26"/>
  <c r="H193" i="25"/>
  <c r="H239" i="26"/>
  <c r="I194" i="25"/>
  <c r="G257" i="26"/>
  <c r="H196" i="25"/>
  <c r="F262" i="26"/>
  <c r="G201" i="25"/>
  <c r="I318" i="23"/>
  <c r="H319" i="26"/>
  <c r="H317" i="26" s="1"/>
  <c r="I211" i="25"/>
  <c r="I209" i="25" s="1"/>
  <c r="I336" i="23"/>
  <c r="H336" i="26"/>
  <c r="H335" i="26" s="1"/>
  <c r="I260" i="25"/>
  <c r="I259" i="25" s="1"/>
  <c r="G403" i="26"/>
  <c r="H231" i="25"/>
  <c r="H368" i="23"/>
  <c r="H359" i="23" s="1"/>
  <c r="G452" i="26"/>
  <c r="G451" i="26" s="1"/>
  <c r="G436" i="26" s="1"/>
  <c r="H244" i="25"/>
  <c r="H243" i="25" s="1"/>
  <c r="G460" i="23"/>
  <c r="F375" i="26"/>
  <c r="F374" i="26" s="1"/>
  <c r="I20" i="23"/>
  <c r="H30" i="26"/>
  <c r="H29" i="26" s="1"/>
  <c r="I44" i="25"/>
  <c r="I43" i="25" s="1"/>
  <c r="G37" i="26"/>
  <c r="H19" i="25"/>
  <c r="H38" i="26"/>
  <c r="I20" i="25"/>
  <c r="H43" i="26"/>
  <c r="I23" i="25"/>
  <c r="G50" i="23"/>
  <c r="F63" i="26"/>
  <c r="F62" i="26" s="1"/>
  <c r="H101" i="26"/>
  <c r="I90" i="25"/>
  <c r="H167" i="23"/>
  <c r="G506" i="26"/>
  <c r="G505" i="26" s="1"/>
  <c r="H387" i="25"/>
  <c r="H386" i="25" s="1"/>
  <c r="F520" i="26"/>
  <c r="H181" i="23"/>
  <c r="G522" i="26"/>
  <c r="G521" i="26" s="1"/>
  <c r="H380" i="25"/>
  <c r="H379" i="25" s="1"/>
  <c r="F98" i="26"/>
  <c r="G74" i="25"/>
  <c r="G99" i="26"/>
  <c r="H75" i="25"/>
  <c r="H237" i="26"/>
  <c r="I192" i="25"/>
  <c r="H17" i="26"/>
  <c r="H16" i="26" s="1"/>
  <c r="H15" i="26" s="1"/>
  <c r="I16" i="25"/>
  <c r="I15" i="25" s="1"/>
  <c r="I17" i="23"/>
  <c r="I16" i="23" s="1"/>
  <c r="G23" i="23"/>
  <c r="F33" i="26"/>
  <c r="F32" i="26" s="1"/>
  <c r="G47" i="25"/>
  <c r="G46" i="25" s="1"/>
  <c r="G36" i="26"/>
  <c r="H18" i="25"/>
  <c r="H37" i="26"/>
  <c r="I19" i="25"/>
  <c r="H42" i="26"/>
  <c r="I22" i="25"/>
  <c r="G48" i="23"/>
  <c r="F61" i="26"/>
  <c r="F60" i="26" s="1"/>
  <c r="H50" i="23"/>
  <c r="G63" i="26"/>
  <c r="G62" i="26" s="1"/>
  <c r="F102" i="26"/>
  <c r="F100" i="26" s="1"/>
  <c r="G91" i="25"/>
  <c r="G89" i="25" s="1"/>
  <c r="G88" i="25" s="1"/>
  <c r="G116" i="23"/>
  <c r="F390" i="26"/>
  <c r="F389" i="26" s="1"/>
  <c r="G101" i="25"/>
  <c r="G100" i="25" s="1"/>
  <c r="G118" i="23"/>
  <c r="F392" i="26"/>
  <c r="F391" i="26" s="1"/>
  <c r="G103" i="25"/>
  <c r="G102" i="25" s="1"/>
  <c r="G158" i="23"/>
  <c r="F497" i="26"/>
  <c r="F496" i="26" s="1"/>
  <c r="G163" i="23"/>
  <c r="G157" i="23" s="1"/>
  <c r="F502" i="26"/>
  <c r="F501" i="26" s="1"/>
  <c r="I167" i="23"/>
  <c r="H506" i="26"/>
  <c r="H505" i="26" s="1"/>
  <c r="I387" i="25"/>
  <c r="I386" i="25" s="1"/>
  <c r="F519" i="26"/>
  <c r="G520" i="26"/>
  <c r="H378" i="25"/>
  <c r="I181" i="23"/>
  <c r="H522" i="26"/>
  <c r="H521" i="26" s="1"/>
  <c r="I380" i="25"/>
  <c r="I379" i="25" s="1"/>
  <c r="G98" i="26"/>
  <c r="H74" i="25"/>
  <c r="H99" i="26"/>
  <c r="I75" i="25"/>
  <c r="F50" i="26"/>
  <c r="F48" i="26" s="1"/>
  <c r="F47" i="26" s="1"/>
  <c r="G53" i="26"/>
  <c r="G52" i="26" s="1"/>
  <c r="H234" i="26"/>
  <c r="H233" i="26" s="1"/>
  <c r="F238" i="26"/>
  <c r="G193" i="25"/>
  <c r="G239" i="26"/>
  <c r="H194" i="25"/>
  <c r="G243" i="26"/>
  <c r="H154" i="25"/>
  <c r="F257" i="26"/>
  <c r="G196" i="25"/>
  <c r="G258" i="26"/>
  <c r="H197" i="25"/>
  <c r="H261" i="26"/>
  <c r="I200" i="25"/>
  <c r="F263" i="26"/>
  <c r="G202" i="25"/>
  <c r="F274" i="26"/>
  <c r="F273" i="26" s="1"/>
  <c r="G166" i="25"/>
  <c r="G165" i="25" s="1"/>
  <c r="I293" i="23"/>
  <c r="H280" i="26"/>
  <c r="H278" i="26" s="1"/>
  <c r="I206" i="25"/>
  <c r="H303" i="23"/>
  <c r="H302" i="23" s="1"/>
  <c r="G291" i="26"/>
  <c r="G290" i="26" s="1"/>
  <c r="H318" i="23"/>
  <c r="G319" i="26"/>
  <c r="G317" i="26" s="1"/>
  <c r="H211" i="25"/>
  <c r="H209" i="25" s="1"/>
  <c r="I330" i="23"/>
  <c r="I315" i="23" s="1"/>
  <c r="H336" i="23"/>
  <c r="G336" i="26"/>
  <c r="G335" i="26" s="1"/>
  <c r="H260" i="25"/>
  <c r="H259" i="25" s="1"/>
  <c r="H338" i="23"/>
  <c r="G340" i="26"/>
  <c r="G337" i="26" s="1"/>
  <c r="H264" i="25"/>
  <c r="H261" i="25" s="1"/>
  <c r="F403" i="26"/>
  <c r="H410" i="26"/>
  <c r="H408" i="26" s="1"/>
  <c r="I240" i="25"/>
  <c r="I238" i="25" s="1"/>
  <c r="G368" i="23"/>
  <c r="G359" i="23" s="1"/>
  <c r="F452" i="26"/>
  <c r="F451" i="26" s="1"/>
  <c r="I372" i="23"/>
  <c r="H456" i="26"/>
  <c r="H455" i="26" s="1"/>
  <c r="I248" i="25"/>
  <c r="I247" i="25" s="1"/>
  <c r="I404" i="23"/>
  <c r="I397" i="23" s="1"/>
  <c r="H300" i="26"/>
  <c r="H298" i="26" s="1"/>
  <c r="I162" i="25"/>
  <c r="I160" i="25" s="1"/>
  <c r="H414" i="23"/>
  <c r="G345" i="26"/>
  <c r="G344" i="26" s="1"/>
  <c r="G447" i="23"/>
  <c r="G446" i="23" s="1"/>
  <c r="G445" i="23" s="1"/>
  <c r="G441" i="23" s="1"/>
  <c r="F377" i="26"/>
  <c r="G378" i="26"/>
  <c r="H327" i="25"/>
  <c r="G419" i="26"/>
  <c r="G418" i="26" s="1"/>
  <c r="H349" i="25"/>
  <c r="H348" i="25" s="1"/>
  <c r="G387" i="26"/>
  <c r="G386" i="26" s="1"/>
  <c r="H337" i="25"/>
  <c r="H336" i="25" s="1"/>
  <c r="H333" i="25" s="1"/>
  <c r="H425" i="26"/>
  <c r="H424" i="26" s="1"/>
  <c r="I355" i="25"/>
  <c r="I354" i="25" s="1"/>
  <c r="I514" i="23"/>
  <c r="I504" i="23" s="1"/>
  <c r="H485" i="26"/>
  <c r="H484" i="26" s="1"/>
  <c r="H464" i="26" s="1"/>
  <c r="I314" i="25"/>
  <c r="I313" i="25" s="1"/>
  <c r="I312" i="25" s="1"/>
  <c r="G550" i="23"/>
  <c r="F184" i="26"/>
  <c r="F183" i="26" s="1"/>
  <c r="G573" i="23"/>
  <c r="G566" i="23" s="1"/>
  <c r="F207" i="26"/>
  <c r="F206" i="26" s="1"/>
  <c r="G462" i="23"/>
  <c r="H428" i="23"/>
  <c r="I222" i="23"/>
  <c r="I26" i="23"/>
  <c r="I246" i="23"/>
  <c r="G249" i="23"/>
  <c r="I249" i="23"/>
  <c r="I263" i="23"/>
  <c r="H273" i="23"/>
  <c r="H345" i="23"/>
  <c r="H185" i="23"/>
  <c r="H184" i="23" s="1"/>
  <c r="G222" i="23"/>
  <c r="G221" i="23" s="1"/>
  <c r="G220" i="23" s="1"/>
  <c r="G219" i="23" s="1"/>
  <c r="H32" i="23"/>
  <c r="G62" i="23"/>
  <c r="H204" i="23"/>
  <c r="H203" i="23" s="1"/>
  <c r="I269" i="23"/>
  <c r="I345" i="23"/>
  <c r="I344" i="23" s="1"/>
  <c r="I407" i="23"/>
  <c r="H462" i="23"/>
  <c r="I462" i="23"/>
  <c r="G178" i="23"/>
  <c r="I185" i="23"/>
  <c r="I184" i="23" s="1"/>
  <c r="G204" i="23"/>
  <c r="G203" i="23" s="1"/>
  <c r="H269" i="23"/>
  <c r="I273" i="23"/>
  <c r="I428" i="23"/>
  <c r="H62" i="23"/>
  <c r="G32" i="23"/>
  <c r="I178" i="23"/>
  <c r="I204" i="23"/>
  <c r="I203" i="23" s="1"/>
  <c r="H214" i="23"/>
  <c r="H213" i="23" s="1"/>
  <c r="G505" i="23"/>
  <c r="G504" i="23" s="1"/>
  <c r="G598" i="23"/>
  <c r="I230" i="23"/>
  <c r="I229" i="23" s="1"/>
  <c r="I228" i="23" s="1"/>
  <c r="I253" i="23"/>
  <c r="G185" i="23"/>
  <c r="G184" i="23" s="1"/>
  <c r="G345" i="23"/>
  <c r="I62" i="23"/>
  <c r="H222" i="23"/>
  <c r="G253" i="23"/>
  <c r="G263" i="23"/>
  <c r="G407" i="23"/>
  <c r="H407" i="23"/>
  <c r="G26" i="23"/>
  <c r="H26" i="23"/>
  <c r="G246" i="23"/>
  <c r="H253" i="23"/>
  <c r="H263" i="23"/>
  <c r="G428" i="23"/>
  <c r="I32" i="23"/>
  <c r="H230" i="23"/>
  <c r="H229" i="23" s="1"/>
  <c r="H228" i="23" s="1"/>
  <c r="H246" i="23"/>
  <c r="G273" i="23"/>
  <c r="H178" i="23"/>
  <c r="G230" i="23"/>
  <c r="G229" i="23" s="1"/>
  <c r="G228" i="23" s="1"/>
  <c r="H249" i="23"/>
  <c r="I214" i="23"/>
  <c r="I213" i="23" s="1"/>
  <c r="G269" i="23"/>
  <c r="G115" i="23" l="1"/>
  <c r="H495" i="26"/>
  <c r="I157" i="23"/>
  <c r="F495" i="26"/>
  <c r="G495" i="26"/>
  <c r="H157" i="23"/>
  <c r="H258" i="23"/>
  <c r="I258" i="23"/>
  <c r="G457" i="23"/>
  <c r="I457" i="23"/>
  <c r="H457" i="23"/>
  <c r="G258" i="23"/>
  <c r="G530" i="23"/>
  <c r="G529" i="23" s="1"/>
  <c r="H315" i="23"/>
  <c r="H413" i="23"/>
  <c r="H245" i="23"/>
  <c r="G315" i="23"/>
  <c r="F436" i="26"/>
  <c r="H436" i="26"/>
  <c r="G343" i="26"/>
  <c r="G342" i="26" s="1"/>
  <c r="H314" i="26"/>
  <c r="G314" i="26"/>
  <c r="F314" i="26"/>
  <c r="F182" i="26"/>
  <c r="F199" i="26"/>
  <c r="F97" i="26"/>
  <c r="F57" i="26" s="1"/>
  <c r="G97" i="26"/>
  <c r="H97" i="26"/>
  <c r="I332" i="25"/>
  <c r="H332" i="25"/>
  <c r="G97" i="25"/>
  <c r="G96" i="25" s="1"/>
  <c r="G73" i="25"/>
  <c r="G53" i="25" s="1"/>
  <c r="H73" i="25"/>
  <c r="H53" i="25" s="1"/>
  <c r="I97" i="25"/>
  <c r="I96" i="25" s="1"/>
  <c r="H97" i="25"/>
  <c r="H96" i="25" s="1"/>
  <c r="I73" i="25"/>
  <c r="I53" i="25" s="1"/>
  <c r="I245" i="23"/>
  <c r="I244" i="23" s="1"/>
  <c r="G549" i="23"/>
  <c r="I115" i="23"/>
  <c r="G245" i="23"/>
  <c r="H115" i="23"/>
  <c r="H114" i="23" s="1"/>
  <c r="G41" i="23"/>
  <c r="H41" i="23"/>
  <c r="I41" i="23"/>
  <c r="H289" i="26"/>
  <c r="F119" i="26"/>
  <c r="I29" i="25"/>
  <c r="G289" i="26"/>
  <c r="H29" i="25"/>
  <c r="G29" i="25"/>
  <c r="H465" i="25"/>
  <c r="H543" i="23"/>
  <c r="G465" i="25"/>
  <c r="G462" i="25" s="1"/>
  <c r="G461" i="25" s="1"/>
  <c r="I359" i="23"/>
  <c r="I343" i="23" s="1"/>
  <c r="H151" i="25"/>
  <c r="I151" i="25"/>
  <c r="I412" i="23"/>
  <c r="F420" i="26"/>
  <c r="H412" i="23"/>
  <c r="H342" i="26"/>
  <c r="F109" i="26"/>
  <c r="H109" i="26"/>
  <c r="H75" i="23"/>
  <c r="G109" i="26"/>
  <c r="G75" i="23"/>
  <c r="I75" i="23"/>
  <c r="G195" i="25"/>
  <c r="F518" i="26"/>
  <c r="F517" i="26" s="1"/>
  <c r="G344" i="23"/>
  <c r="G343" i="23" s="1"/>
  <c r="G177" i="23"/>
  <c r="G240" i="26"/>
  <c r="I376" i="25"/>
  <c r="I373" i="25" s="1"/>
  <c r="H177" i="23"/>
  <c r="H100" i="26"/>
  <c r="I114" i="23"/>
  <c r="H344" i="23"/>
  <c r="H343" i="23" s="1"/>
  <c r="I177" i="23"/>
  <c r="I543" i="23"/>
  <c r="I325" i="25"/>
  <c r="I317" i="25" s="1"/>
  <c r="I195" i="25"/>
  <c r="F342" i="26"/>
  <c r="H21" i="25"/>
  <c r="I89" i="25"/>
  <c r="I88" i="25" s="1"/>
  <c r="G260" i="26"/>
  <c r="G100" i="26"/>
  <c r="H401" i="26"/>
  <c r="G420" i="26"/>
  <c r="G76" i="25"/>
  <c r="F376" i="26"/>
  <c r="F371" i="26" s="1"/>
  <c r="H191" i="25"/>
  <c r="G199" i="25"/>
  <c r="H463" i="25"/>
  <c r="H420" i="26"/>
  <c r="G114" i="23"/>
  <c r="H41" i="26"/>
  <c r="G35" i="26"/>
  <c r="H236" i="26"/>
  <c r="H48" i="26"/>
  <c r="H47" i="26" s="1"/>
  <c r="G41" i="26"/>
  <c r="H229" i="25"/>
  <c r="H214" i="25" s="1"/>
  <c r="F260" i="26"/>
  <c r="I255" i="25"/>
  <c r="F236" i="26"/>
  <c r="F232" i="26" s="1"/>
  <c r="F35" i="26"/>
  <c r="F28" i="26" s="1"/>
  <c r="H376" i="26"/>
  <c r="H371" i="26" s="1"/>
  <c r="H256" i="26"/>
  <c r="G256" i="26"/>
  <c r="H89" i="25"/>
  <c r="H88" i="25" s="1"/>
  <c r="G376" i="26"/>
  <c r="G371" i="26" s="1"/>
  <c r="H240" i="26"/>
  <c r="H35" i="26"/>
  <c r="H221" i="23"/>
  <c r="H220" i="23" s="1"/>
  <c r="H219" i="23" s="1"/>
  <c r="I221" i="23"/>
  <c r="I220" i="23" s="1"/>
  <c r="I219" i="23" s="1"/>
  <c r="H260" i="26"/>
  <c r="F256" i="26"/>
  <c r="G236" i="26"/>
  <c r="I191" i="25"/>
  <c r="G191" i="25"/>
  <c r="G17" i="25"/>
  <c r="G14" i="25" s="1"/>
  <c r="G401" i="26"/>
  <c r="F468" i="26"/>
  <c r="F464" i="26" s="1"/>
  <c r="H376" i="25"/>
  <c r="H373" i="25" s="1"/>
  <c r="H255" i="25"/>
  <c r="I21" i="25"/>
  <c r="H17" i="25"/>
  <c r="H195" i="25"/>
  <c r="G518" i="26"/>
  <c r="G517" i="26" s="1"/>
  <c r="I229" i="25"/>
  <c r="I214" i="25" s="1"/>
  <c r="I199" i="25"/>
  <c r="G48" i="26"/>
  <c r="G47" i="26" s="1"/>
  <c r="H518" i="26"/>
  <c r="H517" i="26" s="1"/>
  <c r="H325" i="25"/>
  <c r="H317" i="25" s="1"/>
  <c r="F401" i="26"/>
  <c r="H199" i="25"/>
  <c r="I17" i="25"/>
  <c r="H19" i="23"/>
  <c r="H81" i="25"/>
  <c r="H80" i="25" s="1"/>
  <c r="I81" i="25"/>
  <c r="I80" i="25" s="1"/>
  <c r="G183" i="23"/>
  <c r="I19" i="23"/>
  <c r="I396" i="23"/>
  <c r="H396" i="23"/>
  <c r="I183" i="23"/>
  <c r="G396" i="23"/>
  <c r="H183" i="23"/>
  <c r="G19" i="23"/>
  <c r="G412" i="23"/>
  <c r="G147" i="25" l="1"/>
  <c r="F245" i="26"/>
  <c r="F231" i="26" s="1"/>
  <c r="H147" i="25"/>
  <c r="H146" i="25" s="1"/>
  <c r="G245" i="26"/>
  <c r="H245" i="26"/>
  <c r="I147" i="25"/>
  <c r="I146" i="25" s="1"/>
  <c r="H244" i="23"/>
  <c r="G244" i="23"/>
  <c r="G243" i="23" s="1"/>
  <c r="G385" i="26"/>
  <c r="G366" i="26" s="1"/>
  <c r="F385" i="26"/>
  <c r="F366" i="26" s="1"/>
  <c r="H385" i="26"/>
  <c r="H366" i="26" s="1"/>
  <c r="G232" i="26"/>
  <c r="H232" i="26"/>
  <c r="H57" i="26"/>
  <c r="G57" i="26"/>
  <c r="G146" i="25"/>
  <c r="I381" i="23"/>
  <c r="H462" i="25"/>
  <c r="H461" i="25" s="1"/>
  <c r="H381" i="23"/>
  <c r="G381" i="23"/>
  <c r="H15" i="23"/>
  <c r="H14" i="23" s="1"/>
  <c r="G156" i="23"/>
  <c r="G147" i="23" s="1"/>
  <c r="H156" i="23"/>
  <c r="H147" i="23" s="1"/>
  <c r="I156" i="23"/>
  <c r="I147" i="23" s="1"/>
  <c r="G15" i="23"/>
  <c r="G14" i="23" s="1"/>
  <c r="I76" i="25"/>
  <c r="H14" i="25"/>
  <c r="H13" i="25" s="1"/>
  <c r="G13" i="25"/>
  <c r="G452" i="23"/>
  <c r="G440" i="23" s="1"/>
  <c r="G28" i="26"/>
  <c r="G543" i="23"/>
  <c r="H494" i="26"/>
  <c r="H28" i="26"/>
  <c r="F157" i="26"/>
  <c r="H287" i="25"/>
  <c r="F14" i="26"/>
  <c r="F494" i="26"/>
  <c r="H76" i="25"/>
  <c r="G494" i="26"/>
  <c r="I15" i="23"/>
  <c r="I14" i="23" s="1"/>
  <c r="I14" i="25"/>
  <c r="I13" i="25" s="1"/>
  <c r="I287" i="25"/>
  <c r="G157" i="26"/>
  <c r="I243" i="23"/>
  <c r="H524" i="23"/>
  <c r="H243" i="23"/>
  <c r="G509" i="25" l="1"/>
  <c r="H509" i="25"/>
  <c r="I509" i="25"/>
  <c r="F535" i="26"/>
  <c r="F536" i="26" s="1"/>
  <c r="H14" i="26"/>
  <c r="G231" i="26"/>
  <c r="G14" i="26"/>
  <c r="H231" i="26"/>
  <c r="G524" i="23"/>
  <c r="G606" i="23" s="1"/>
  <c r="I524" i="23"/>
  <c r="G535" i="26" l="1"/>
  <c r="G536" i="26" s="1"/>
  <c r="H535" i="26"/>
  <c r="H536" i="26" s="1"/>
  <c r="G618" i="23"/>
  <c r="G610" i="23" l="1"/>
  <c r="G515" i="25"/>
  <c r="F541" i="26"/>
  <c r="I452" i="23" l="1"/>
  <c r="I440" i="23" s="1"/>
  <c r="H452" i="23"/>
  <c r="H440" i="23" l="1"/>
  <c r="H606" i="23" s="1"/>
  <c r="H618" i="23" s="1"/>
  <c r="I606" i="23"/>
  <c r="I618" i="23" s="1"/>
  <c r="H515" i="25" l="1"/>
  <c r="H610" i="23"/>
  <c r="G541" i="26"/>
  <c r="I610" i="23"/>
  <c r="H541" i="26"/>
  <c r="I515" i="25"/>
</calcChain>
</file>

<file path=xl/sharedStrings.xml><?xml version="1.0" encoding="utf-8"?>
<sst xmlns="http://schemas.openxmlformats.org/spreadsheetml/2006/main" count="6992" uniqueCount="701">
  <si>
    <t>Физическая культура</t>
  </si>
  <si>
    <t>Массовый спорт</t>
  </si>
  <si>
    <t>Обслуживание государственного внутреннего и муниципального долга</t>
  </si>
  <si>
    <t>Другие вопросы в области физической культуры и спорта</t>
  </si>
  <si>
    <t>Национальная безопасность и правоохранительная деятельность</t>
  </si>
  <si>
    <t>Управление культуры администрации Анжеро-Судженского городского округа</t>
  </si>
  <si>
    <t>Раздел</t>
  </si>
  <si>
    <t>Подраздел</t>
  </si>
  <si>
    <t>Целевая статья</t>
  </si>
  <si>
    <t>Вид расхода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</si>
  <si>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</si>
  <si>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</si>
  <si>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</si>
  <si>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</si>
  <si>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</si>
  <si>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</si>
  <si>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</si>
  <si>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07</t>
  </si>
  <si>
    <t>Обслуживание государственного и муниципального долга</t>
  </si>
  <si>
    <t>11</t>
  </si>
  <si>
    <t>Резервные фонды</t>
  </si>
  <si>
    <t>12</t>
  </si>
  <si>
    <t>Другие общегосударственные вопросы</t>
  </si>
  <si>
    <t>Другие вопросы в области культуры, кинематографии</t>
  </si>
  <si>
    <t>09</t>
  </si>
  <si>
    <t>Национальная экономика</t>
  </si>
  <si>
    <t>Другие вопросы в области национальной экономики</t>
  </si>
  <si>
    <t xml:space="preserve">Жилищно-коммунальное хозяйство </t>
  </si>
  <si>
    <t>05</t>
  </si>
  <si>
    <t>Жилищное хозяйство</t>
  </si>
  <si>
    <t>Коммунальное хозяйство</t>
  </si>
  <si>
    <t>Комитет по физической культуре и спорту администрации Анжеро-Судженского городского округа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</si>
  <si>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</si>
  <si>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</si>
  <si>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</si>
  <si>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</si>
  <si>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</si>
  <si>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</si>
  <si>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</si>
  <si>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Культура, кинематография, средства массовой информации</t>
  </si>
  <si>
    <t>08</t>
  </si>
  <si>
    <t>Культура</t>
  </si>
  <si>
    <t>Администрация Анжеро-Судженского городского округа</t>
  </si>
  <si>
    <t>Управление образования администрации Анжеро-Судженского городского округа</t>
  </si>
  <si>
    <t>Комитет по управлению муниципальным имуществом администрации Анжеро-Судженского городского округа</t>
  </si>
  <si>
    <t>Управление жилищно-коммунального хозяйства администрации Анжеро-Судженского городского округа</t>
  </si>
  <si>
    <t>Управление социальной защиты населения администрации Анжеро-Судженского городского округа</t>
  </si>
  <si>
    <t>06</t>
  </si>
  <si>
    <t>10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</si>
  <si>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</si>
  <si>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</si>
  <si>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</si>
  <si>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</si>
  <si>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</si>
  <si>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</si>
  <si>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ИТОГО:</t>
  </si>
  <si>
    <t>Ведомство</t>
  </si>
  <si>
    <t>Общегосударственные вопросы</t>
  </si>
  <si>
    <t>13</t>
  </si>
  <si>
    <t>(тыс. руб.)</t>
  </si>
  <si>
    <t>Контрольно - счетная палата Анжеро- Судженского городского округа</t>
  </si>
  <si>
    <t>Начальник финансового управления города Анжеро-Судженска-</t>
  </si>
  <si>
    <t>600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</si>
  <si>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</si>
  <si>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</si>
  <si>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200</t>
  </si>
  <si>
    <t>Социальное обеспечение и иные выплаты населению</t>
  </si>
  <si>
    <t>300</t>
  </si>
  <si>
    <t>400</t>
  </si>
  <si>
    <t>Иные бюджетные ассигнования</t>
  </si>
  <si>
    <t>800</t>
  </si>
  <si>
    <t>Обслуживание государственного (муниципального) долга</t>
  </si>
  <si>
    <t>700</t>
  </si>
  <si>
    <t>Закупка товаров работ и услуг для государственных (муниципальных) нужд</t>
  </si>
  <si>
    <t>Совет народных депутатов Анжеро-Судженского городского округа</t>
  </si>
  <si>
    <t>к решению Совета народных депутатов Анжеро-Судженского городского округа</t>
  </si>
  <si>
    <t>Дорожное хозяйство (дорожные фонды)</t>
  </si>
  <si>
    <t>Защита населения и территории от чрезвычайных ситуаций природного и техногенного характера, гражданская оборона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</si>
  <si>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</si>
  <si>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Капитальные вложения в объекты государственной (муниципальной) собственности</t>
  </si>
  <si>
    <t>Приложение 6</t>
  </si>
  <si>
    <t>05 2 00 72010</t>
  </si>
  <si>
    <t>01 4 00 79050</t>
  </si>
  <si>
    <t>01 5 00 79060</t>
  </si>
  <si>
    <t>01 5 00 71960</t>
  </si>
  <si>
    <t>04 1 00 51350</t>
  </si>
  <si>
    <t>04 3 00 51560</t>
  </si>
  <si>
    <t>08 6 00 80110</t>
  </si>
  <si>
    <t>08 6 00 70010</t>
  </si>
  <si>
    <t>08 6 00 70020</t>
  </si>
  <si>
    <t>08 6 00 70030</t>
  </si>
  <si>
    <t>08 6 00 70060</t>
  </si>
  <si>
    <t>08 6 00 70080</t>
  </si>
  <si>
    <t>08 4 00 70280</t>
  </si>
  <si>
    <t>08 5 00 70170</t>
  </si>
  <si>
    <t>08 6 00 52700</t>
  </si>
  <si>
    <t>08 6 00 52800</t>
  </si>
  <si>
    <t>08 6 00 53800</t>
  </si>
  <si>
    <t>08 6 00 80080</t>
  </si>
  <si>
    <t>08 6 00 70190</t>
  </si>
  <si>
    <t>05 1 00 71830</t>
  </si>
  <si>
    <t>05 1 00 71840</t>
  </si>
  <si>
    <t>05 1 00 71820</t>
  </si>
  <si>
    <t>05 3 00 72070</t>
  </si>
  <si>
    <t>05 1 00 71800</t>
  </si>
  <si>
    <t>05 2 00 72050</t>
  </si>
  <si>
    <t>05 2 00 72030</t>
  </si>
  <si>
    <t>05 2 00 80120</t>
  </si>
  <si>
    <t>05 2 00 71810</t>
  </si>
  <si>
    <t>05 2 00 80130</t>
  </si>
  <si>
    <t>05 2 00 52600</t>
  </si>
  <si>
    <t>911</t>
  </si>
  <si>
    <t>05 2 00 73050</t>
  </si>
  <si>
    <t>04 1 00 R0820</t>
  </si>
  <si>
    <t>Закупка товаров, работ и услуг для обеспечения государственных (муниципальных) нужд</t>
  </si>
  <si>
    <t>05 1 00 71940</t>
  </si>
  <si>
    <t>05 1 00 71930</t>
  </si>
  <si>
    <t>05 2 00 72000</t>
  </si>
  <si>
    <t>05 2 00 70490</t>
  </si>
  <si>
    <t>Предоставление субсидий бюджетным, автономным учреждениям и иным некоммерческим организациям</t>
  </si>
  <si>
    <t>01 1 00 11011</t>
  </si>
  <si>
    <t>Создание и функционирование комиссий по делам несовершеннолетних и защите их прав</t>
  </si>
  <si>
    <t>Создание и функционирование административных комиссий</t>
  </si>
  <si>
    <t>01 1 00 11021</t>
  </si>
  <si>
    <t>01 1 00 11031</t>
  </si>
  <si>
    <t>Обеспечение деятельности МАУ МФЦ</t>
  </si>
  <si>
    <t>13 0 00 11171</t>
  </si>
  <si>
    <t>Осуществление функций по хранению, комплектованию, учету и использованию документов Архивного фонда Кемеровской области</t>
  </si>
  <si>
    <t>Денежные выплаты гражданам, имеющим звание "Почетный гражданин Анжеро-Судженского городского округа"</t>
  </si>
  <si>
    <t>01 5 00 94041</t>
  </si>
  <si>
    <t>Развитие архивного дела на территории Анжеро-Судженского городского округа</t>
  </si>
  <si>
    <t>01 4 00 11401</t>
  </si>
  <si>
    <t>03 3 00 11151</t>
  </si>
  <si>
    <t>Охрана общественного порядка при проведении всех общественно-политических, культурно-массовых, религиозных и спортивных мероприятий на территории городского округа; предотвращение актов насилия и терроризма в отношении детей в общеобразовательных учреждениях, на отдыхе в загородных лагерях во время летних каникул; на водных объектах; оказание помощи отделу военного комиссариата во время призыва</t>
  </si>
  <si>
    <t>Охрана общественного порядка при проведении всех общественно-политических, культурно-массовых, религиозных и спортивных мероприятий на территории городского округа; охрана общественного порядка на водных объектах</t>
  </si>
  <si>
    <t>03 3 00 12161</t>
  </si>
  <si>
    <t>03 2 00 11701</t>
  </si>
  <si>
    <t>Обеспечение первичных мер пожарной безопасности с массовым пребыванием людей</t>
  </si>
  <si>
    <t>Противопожарное обустройство населенных пунктов</t>
  </si>
  <si>
    <t>03 2 00 12701</t>
  </si>
  <si>
    <t>14 0 00 12801</t>
  </si>
  <si>
    <t>Содействие формированию положительного имиджа предпринимательской деятельности</t>
  </si>
  <si>
    <t>Реализация программ местного развития и обеспечение занятости для шахтерских городов и поселков</t>
  </si>
  <si>
    <t>04 1 00 11501</t>
  </si>
  <si>
    <t>04 4 00 11201</t>
  </si>
  <si>
    <t>Строительство</t>
  </si>
  <si>
    <t>04 4 00 12201</t>
  </si>
  <si>
    <t>Проектные работы</t>
  </si>
  <si>
    <t>05 1 00 16071</t>
  </si>
  <si>
    <t>Развитие молодежной политики в Анжеро-Судженском городском округе</t>
  </si>
  <si>
    <t>Кадровое обеспечение - молодой специалист</t>
  </si>
  <si>
    <t>08 7 00 11005</t>
  </si>
  <si>
    <t>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</si>
  <si>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Обеспечение мер социальной поддержки ветеранов труда в соответствии с Законом Кемеровской области от 20 декабря 2004 года № 105-ОЗ "О мерах социальной поддержки отдельной категории ветеранов Великой Отечественной войны и ветеранов труда"</t>
  </si>
  <si>
    <t>Меры социальной поддержки отдельных категорий многодетных матерей в соответствии с Законом Кемеровской области от 8 апреля 2008 года № 14-ОЗ "О мерах социальной поддержки отдельных категорий многодетных матерей"</t>
  </si>
  <si>
    <t>Меры социальной поддержки отдельных категорий граждан в соответствии с Законом Кемеровской области от 27 января 2005 года № 15-ОЗ "О мерах социальной поддержки отдельных категорий граждан"</t>
  </si>
  <si>
    <t>01 5 00 15011</t>
  </si>
  <si>
    <t>Поддержка молодых семей и семей бюджетников</t>
  </si>
  <si>
    <t>12 0 00 11004</t>
  </si>
  <si>
    <t>Процентные платежи по муниципальному долгу Анжеро-Судженского городского округа</t>
  </si>
  <si>
    <t>Организация круглогодичного отдыха, оздоровления и занятости обучающихся</t>
  </si>
  <si>
    <t>05 1 00 13011</t>
  </si>
  <si>
    <t>09 0 00 11013</t>
  </si>
  <si>
    <t>Повышение доступности и качества спортивно-оздоровительных услуг</t>
  </si>
  <si>
    <t>09 0 00 14011</t>
  </si>
  <si>
    <t>Вовлечение детей и подростков в сферу физической культуры и спорта путем занятости молодежи в вечернее время спортивно-массовыми мероприятиями</t>
  </si>
  <si>
    <t>09 0 00 13012</t>
  </si>
  <si>
    <t>Создание условий для развития физической культуры и массового спорта в городском округе</t>
  </si>
  <si>
    <t>09 0 00 11042</t>
  </si>
  <si>
    <t>02 0 00 13001</t>
  </si>
  <si>
    <t>Техническая инвентаризация и паспортизация объектов муниципальной собственности</t>
  </si>
  <si>
    <t>Независимая оценка объектов муниципальной собственности</t>
  </si>
  <si>
    <t>02 0 00 14001</t>
  </si>
  <si>
    <t>Проведение капитальных ремонтов объектов инженерной инфраструктуры, находящихся в муниципальной собственности</t>
  </si>
  <si>
    <t>02 0 00 15001</t>
  </si>
  <si>
    <t>Содержание муниципального имущества</t>
  </si>
  <si>
    <t>02 0 00 16001</t>
  </si>
  <si>
    <t>02 0 00 17002</t>
  </si>
  <si>
    <t>Размещение информации в СМИ</t>
  </si>
  <si>
    <t>Создание и ликвидация муниципальных предприятий</t>
  </si>
  <si>
    <t>02 0 00 18001</t>
  </si>
  <si>
    <t>Обеспечение эффективности в сфере управления муниципальным имуществом</t>
  </si>
  <si>
    <t>02 0 00 19001</t>
  </si>
  <si>
    <t>02 0 00 11001</t>
  </si>
  <si>
    <t>Формирование и оформление границ земельных участков</t>
  </si>
  <si>
    <t>Оформление и выполнение работ по подготовке проектов межевания застроенных территорий и установлению границ под многоквартирными жилыми домами</t>
  </si>
  <si>
    <t>02 0 00 12001</t>
  </si>
  <si>
    <t>Капитальный ремонт общего имущества многоквартирных домов, находящихся в муниципальной собственности</t>
  </si>
  <si>
    <t>04 5 00 13003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</si>
  <si>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</si>
  <si>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99 0 00 24001</t>
  </si>
  <si>
    <t>Центральный аппарат</t>
  </si>
  <si>
    <t>Председатель Контрольно-счетной палаты</t>
  </si>
  <si>
    <t>99 0 00 20131</t>
  </si>
  <si>
    <t>Председатель представительного органа муниципального образования</t>
  </si>
  <si>
    <t>Депутаты представительного органа муниципального образования</t>
  </si>
  <si>
    <t>99 0 00 20111</t>
  </si>
  <si>
    <t>99 0 00 20121</t>
  </si>
  <si>
    <t>01 5 00 16131</t>
  </si>
  <si>
    <t>Поздравления и памятные подарки</t>
  </si>
  <si>
    <t>Обеспечение деятельности по содержанию организаций для детей-сирот и детей, оставшихся без попечения родителей</t>
  </si>
  <si>
    <t>Обеспечение образовательной деятельности образовательных организаций по адаптированным общеобразовательным программам</t>
  </si>
  <si>
    <t>Развитие единого образовательного пространства, повышение качества образовательных результатов</t>
  </si>
  <si>
    <t>05 1 00 11211</t>
  </si>
  <si>
    <t>05 1 00 11231</t>
  </si>
  <si>
    <t>05 1 00 12221</t>
  </si>
  <si>
    <t>Обеспечение деятельности образовательных учреждений для детей с ограниченными возможностями здоровья, детей-сирот и детей, оставшихся без попечения родителей, включая реализацию образовательных программ дошкольного и общего образования</t>
  </si>
  <si>
    <t>Адресная социальная поддержка участников образовательного процесса</t>
  </si>
  <si>
    <t>05 1 00 11202</t>
  </si>
  <si>
    <t>05 1 00 12051</t>
  </si>
  <si>
    <t>05 1 00 13211</t>
  </si>
  <si>
    <t>05 1 00 17011</t>
  </si>
  <si>
    <t>05 1 00 18221</t>
  </si>
  <si>
    <t>Развитие кадрового потенциала муниципальной системы образования</t>
  </si>
  <si>
    <t>05 3 00 11041</t>
  </si>
  <si>
    <t>05 3 00 11351</t>
  </si>
  <si>
    <t>05 3 00 11521</t>
  </si>
  <si>
    <t>Обеспечение детей-сирот и детей, оставшихся без попечения родителей, одеждой, обувью, единовременным денежным пособием при выпуске из общеобразовательных организаций</t>
  </si>
  <si>
    <t>Обеспечение зачисления денежных средств для детей-сирот и детей, оставшихся без попечения родителей, на специальные накопительные банковские счета</t>
  </si>
  <si>
    <t>Предоставление бесплатного проезда отдельным категориям обучающихся</t>
  </si>
  <si>
    <t>Меры социальной поддержки многодетных семей в соответствии с Законом Кемеровской области от 14 ноября 2005 года № 123-ОЗ "О мерах социальной поддержки многодетных семей в Кемеровской области"</t>
  </si>
  <si>
    <t>Выплата единовременного пособия при всех формах устройства детей, лишенных родительского попечения, в семью</t>
  </si>
  <si>
    <t>Компенсация части платы за присмотр и уход, взимаемой с родителей (законных представителей) детей, осваивающих образовательные программы дошкольного образования</t>
  </si>
  <si>
    <t>06 0 00 11402</t>
  </si>
  <si>
    <t>Обеспечение деятельности учреждений клубного типа</t>
  </si>
  <si>
    <t>06 0 00 12411</t>
  </si>
  <si>
    <t>Развитие музейного дела</t>
  </si>
  <si>
    <t>06 0 00 13421</t>
  </si>
  <si>
    <t>Развитие библиотечного дела</t>
  </si>
  <si>
    <t>06 0 00 14041</t>
  </si>
  <si>
    <t>Реализация мер в области государственной молодежной политики</t>
  </si>
  <si>
    <t>Выплата пенсии за выслугу лет в соответствии с Решением Анжеро-Судженского городского Совета народных депутатов от 26.11.2009г №396 "О пенсиях за выслугу лет лицам, замещавшим муниципальные должности, и должности муниципальной службы муниципального образования "Анжеро-Судженский городской округ""</t>
  </si>
  <si>
    <t>08 2 00 91001</t>
  </si>
  <si>
    <t>Обеспечение деятельности (оказание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</t>
  </si>
  <si>
    <t>Затраты на содержание муниципальных учреждений социального обслуживания</t>
  </si>
  <si>
    <t>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</t>
  </si>
  <si>
    <t>Меры социальной поддержки работников муниципальных учреждений социального обслуживания в виде пособий и компенсации в соответствии с Законом Кемеровской области от 30 октября 2007 года № 132-ОЗ "О мерах социальной поддержки работников муниципальных учреждений социального обслуживания"</t>
  </si>
  <si>
    <t>Выплата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</si>
  <si>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</si>
  <si>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Адресная помощь</t>
  </si>
  <si>
    <t>08 1 00 11403</t>
  </si>
  <si>
    <t>Поддержка общественных организаций</t>
  </si>
  <si>
    <t>08 1 00 12401</t>
  </si>
  <si>
    <t>Социальная поддержка и социальное обслуживание населения в части содержания органов местного самоуправления</t>
  </si>
  <si>
    <t>Резервный фонд</t>
  </si>
  <si>
    <t>Исполнение судебных актов</t>
  </si>
  <si>
    <t>01 5 00 13071</t>
  </si>
  <si>
    <t>01 5 00 17001</t>
  </si>
  <si>
    <t>11 1 00 11121</t>
  </si>
  <si>
    <t>Расходы по содержанию автомобильных дорог и инженерных сооружений на них</t>
  </si>
  <si>
    <t>11 2 00 11111</t>
  </si>
  <si>
    <t>Освещение автодорог местного значения и текущее содержание линий дорожного освещения</t>
  </si>
  <si>
    <t>10 1 00 11301</t>
  </si>
  <si>
    <t>Капитальный ремонт муниципальных сетей и котельного оборудования</t>
  </si>
  <si>
    <t>10 3 00 11203</t>
  </si>
  <si>
    <t>10 3 00 11302</t>
  </si>
  <si>
    <t>10 3 00 12402</t>
  </si>
  <si>
    <t>Компенсация выпадающих доходов организациям, предоставляющим населению услуги газоснабжения по тарифам, не обеспечивающим возмещение издержек</t>
  </si>
  <si>
    <t>11 2 00 12111</t>
  </si>
  <si>
    <t>Стоимость электроэнергии</t>
  </si>
  <si>
    <t>Организация работ по озеленению парков, скверов, аллей, улично-дорожной сети</t>
  </si>
  <si>
    <t>11 3 00 11131</t>
  </si>
  <si>
    <t>11 4 00 11141</t>
  </si>
  <si>
    <t>Текущее содержание и очистка кладбищ</t>
  </si>
  <si>
    <t>11 5 00 11152</t>
  </si>
  <si>
    <t>Прочие мероприятия по объектам внешнего благоустройства, направленные на охрану окружающей среды и отдых населения</t>
  </si>
  <si>
    <t>10 4 00 11043</t>
  </si>
  <si>
    <t>Осуществление функций по реализации вопросов местного значения в сфере жилищно-коммунального хозяйства</t>
  </si>
  <si>
    <t>11 6 00 11902</t>
  </si>
  <si>
    <t>Организация мероприятий по обеспечению надлежащего состояния уровня благоустройства территории Анжеро-Судженского городского округа</t>
  </si>
  <si>
    <t>Поддержка пенсионеров и инвалидов</t>
  </si>
  <si>
    <t>08 1 00 13401</t>
  </si>
  <si>
    <t>08 1 00 14401</t>
  </si>
  <si>
    <t>Возмещение затрат по содержанию специализированного муниципального жилого фонда</t>
  </si>
  <si>
    <t>08 1 00 15401</t>
  </si>
  <si>
    <t>Возмещение затрат по организации холодного водоснабжения путем подвоза питьевой воды населению города, проживающего в жилых домах, не подключенных к централизованной системе холодного водоснабжения и не возможностью проведения его, по причине отдаленности от сетей централизованного водоснабжения</t>
  </si>
  <si>
    <t>05 2 00 11012</t>
  </si>
  <si>
    <t>Дополнительное образование детей</t>
  </si>
  <si>
    <t>Обеспечение мер социальной поддержки ветеранов Великой Отечественной войны, проработавших в тылу в период с 22 июня 1941 года по 9 мая 1945 года не менее шести месяцев, исключая период работы на временно оккупированных территориях СССР, либо награжденных орденами и медалями СССР за самоотверженный труд в период Великой Отечественной войны, в соответствии с Законом Кемеровской области от 20 декабря 2004 года № 105-ОЗ "О мерах социальной поддержки отдельной категории ветеранов Великой Отечественной войны и ветеранов труда"</t>
  </si>
  <si>
    <t>08 5 00 11051</t>
  </si>
  <si>
    <t>Обеспечение жильем социально незащищенных категорий граждан, установленных законодательством Кемеровской области и Федеральными законами</t>
  </si>
  <si>
    <t>Государственная социальная помощь малоимущим семьям и малоимущим одиноко проживающим гражданам в соответствии с Законом Кемеровской области от 8 декабря 2005 года № 140-ОЗ "О государственной социальной помощи малоимущим семьям и малоимущим одиноко проживающим гражданам"</t>
  </si>
  <si>
    <t>Повышение эффективности деятельности органа местного самоуправления</t>
  </si>
  <si>
    <t>Обеспечение доступности дошкольного, общего и дополнительного образования детей, повышение качества образовательных результатов, включая образовательные программы дошкольного общего и дополнительного образования</t>
  </si>
  <si>
    <t>Организация круглогодичного отдыха, оздоровления и занятости обучающихся, закаливание беременных</t>
  </si>
  <si>
    <t>Поддержка талантливых детей и молодежи, обеспечение условий для их личностной самореализации и профессионального самоопределения, успешной социализации в обществе</t>
  </si>
  <si>
    <t>Социальная поддержка участников образовательного процесса</t>
  </si>
  <si>
    <t>Обеспечение деятельности прочих организаций в сфере образования Анжеро-Судженского городского округа</t>
  </si>
  <si>
    <t>Развитие управления в сфере культуры</t>
  </si>
  <si>
    <t>04 1 00 71660</t>
  </si>
  <si>
    <t>Обеспечение жильем социальных категорий граждан, установленных законодательством Кемеровской области</t>
  </si>
  <si>
    <t>04 1 00 71850</t>
  </si>
  <si>
    <t>10 1 00 18301</t>
  </si>
  <si>
    <t>ПИР котельной по ул. Прокопьевская, сети теплоснабжения</t>
  </si>
  <si>
    <t>Осуществление спортивной подготовки на территории городского округа</t>
  </si>
  <si>
    <t>09 0 00 15232</t>
  </si>
  <si>
    <t xml:space="preserve">Социальная поддержка работников образовательных организаций и участников образовательного процесса </t>
  </si>
  <si>
    <t xml:space="preserve">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</t>
  </si>
  <si>
    <t>Социальная поддержка работников образовательных организаций и участников образовательного процесса</t>
  </si>
  <si>
    <t>2020 год</t>
  </si>
  <si>
    <t>Условно утвержденные расходы</t>
  </si>
  <si>
    <t>99</t>
  </si>
  <si>
    <t>99 0 00 99999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</si>
  <si>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</si>
  <si>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</si>
  <si>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Содержание и обустройство сибиреязвенных захоронений и скотомогильников (биотермических ям)</t>
  </si>
  <si>
    <t>Ежемесячные выплаты стимулирующего характера работникам муниципальных библиотек, музеев и культурно-досуговых учреждений</t>
  </si>
  <si>
    <t>06 0 00 70420</t>
  </si>
  <si>
    <t>04 1 00 51760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</si>
  <si>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«О социальной защите инвалидов в Российской Федерации»</t>
  </si>
  <si>
    <t>Проведение обследования ветхого и аварийного муниципального жилого фонда, снос ветхого жилья</t>
  </si>
  <si>
    <t>04 3 00 14151</t>
  </si>
  <si>
    <t>Проектирование, строительство (реконструкция), капитальный ремонт и ремонт автомобильных дорог общего пользования муниципального значения, а также до сельских населенных пунктов, не имеющих круглогодичной связи с сетью автомобильных дорог общего пользования</t>
  </si>
  <si>
    <t>04 2 00 L4970</t>
  </si>
  <si>
    <t>Реализация мероприятий по обеспечению жильем молодых семей</t>
  </si>
  <si>
    <t>11 1 00 S2690</t>
  </si>
  <si>
    <t>Капитальный ремонт ул. Ленина</t>
  </si>
  <si>
    <t>11 8 00 11182</t>
  </si>
  <si>
    <t>99 0 00 51200</t>
  </si>
  <si>
    <t>Обеспечение деятельности строительного контроля в сфере проектирования, строительства, реконструкции и всех видов ремонта. Выполнение функции Заказчика</t>
  </si>
  <si>
    <t>04 4 00 13201</t>
  </si>
  <si>
    <t>15 0 00 11007</t>
  </si>
  <si>
    <t>15 0 0011007</t>
  </si>
  <si>
    <t>Благоустройство дворовых территорий Анжеро-Судженского городского округа</t>
  </si>
  <si>
    <t>2021 год</t>
  </si>
  <si>
    <t>09 0 00 11044</t>
  </si>
  <si>
    <t>08 1 00 16401</t>
  </si>
  <si>
    <t>Материальное стимулирование деятельности добровольных пожарных (волонтеров)</t>
  </si>
  <si>
    <t>03 2 00 14701</t>
  </si>
  <si>
    <t>Ремонт муниципального жилищного фонда</t>
  </si>
  <si>
    <t>04 5 00 14003</t>
  </si>
  <si>
    <t>05 2 00 11213</t>
  </si>
  <si>
    <t>Обеспечение мер социальной поддержки в виде льгот по родительской плате за присмотр и уход за детьми в муниципальных организациях</t>
  </si>
  <si>
    <t>Обеспечение мер социальной поддержки (в виде предоставления горячего питания) обучающимся муниципальных общеобразовательных организаций</t>
  </si>
  <si>
    <t>05 2 00 11212</t>
  </si>
  <si>
    <t>06 0 00 14522</t>
  </si>
  <si>
    <t>08 6 P1 55730</t>
  </si>
  <si>
    <t>Организация и осуществление деятельности по опеке и попечительству, осуществление контроля за использованием и сохранностью жилых помещений, нанимателями или членами семей нанимателей по договорам социального найма либо собственниками которых являются дети-сироты и дети, оставшиеся без попечения родителей, за обеспечением надлежащего санитарного и технического состояния жилых помещений, а также осуществления контроля за распоряжением ими</t>
  </si>
  <si>
    <t>Осуществление ежемесячной выплаты в связи с рождением (усыновлением) первого ребенка</t>
  </si>
  <si>
    <t>Реализация проектов инициативного бюджетирования "Твой Кузбасс - твоя инициатива"</t>
  </si>
  <si>
    <t>05 2 00 72060</t>
  </si>
  <si>
    <t>Профилактика безнадзорности и правонарушений несовершеннолетних</t>
  </si>
  <si>
    <t>05 2 00 80140</t>
  </si>
  <si>
    <t>Осуществление назначения и выплаты денежных средств семьям, взявшим на воспитание детей-сирот и детей, оставшихся без попечения родителей, предоставление им мер социальной поддержки, осуществление назначения и выплаты денежных средств лицам, находившимся под попечительством, лицам, являвшимся приемными родителями, в соответствии с Законом Кемеровской области от 14 декабря 2010 года № 124-ОЗ "О некоторых вопросах в сфере опеки и попечительства несовершеннолетних"</t>
  </si>
  <si>
    <t>08 6 P1 70050</t>
  </si>
  <si>
    <t>Обеспечение мер социальной поддержки реабилитированных лиц и лиц, признанных пострадавшими от политических репрессий, в соответствии с Законом Кемеровской области от 20 декабря 2004 года № 114-ОЗ "О мерах социальной поддержки реабилитированных лиц и лиц, признанных пострадавшими от политических репрессий"</t>
  </si>
  <si>
    <t>Ежемесячные денежные выплаты отдельным категориям граждан, воспитывающих детей в возрасте от 1,5 до 7 лет, в соответствии с Законом Кемеровской области от 10 декабря 2007 года № 162-ОЗ "О ежемесячной денежной выплате отдельным категориям граждан, воспитывающих детей в возрасте от 1,5 до 7 лет"</t>
  </si>
  <si>
    <t>Приложение 5</t>
  </si>
  <si>
    <t>Итого</t>
  </si>
  <si>
    <t>99999</t>
  </si>
  <si>
    <t>00</t>
  </si>
  <si>
    <t>0</t>
  </si>
  <si>
    <t>51200</t>
  </si>
  <si>
    <t>Закупка товаров, работ и услуг для государственных (муниципальных) нужд</t>
  </si>
  <si>
    <t>24001</t>
  </si>
  <si>
    <t>20131</t>
  </si>
  <si>
    <t>20121</t>
  </si>
  <si>
    <t>20111</t>
  </si>
  <si>
    <t>Непрограммное направление деятельности</t>
  </si>
  <si>
    <t>11007</t>
  </si>
  <si>
    <t>F2</t>
  </si>
  <si>
    <t>15</t>
  </si>
  <si>
    <t>Муниципальная программа "Формирование современной городской среды на территории Анжеро-Судженского городского округа"</t>
  </si>
  <si>
    <t>12801</t>
  </si>
  <si>
    <t>14</t>
  </si>
  <si>
    <t>Муниципальная программа "Развитие и поддержка субъектов малого и среднего предпринимательства Анжеро-Судженского городского округа"</t>
  </si>
  <si>
    <t>11171</t>
  </si>
  <si>
    <t xml:space="preserve">Муниципальная программа «Повышение качества предоставления государственных и муниципальных услуг» </t>
  </si>
  <si>
    <t>11004</t>
  </si>
  <si>
    <t>Муниципальная программа "Управление муниципальными финансами Анжеро-Судженского городского округа"</t>
  </si>
  <si>
    <t>11182</t>
  </si>
  <si>
    <t>8</t>
  </si>
  <si>
    <t>11902</t>
  </si>
  <si>
    <t>6</t>
  </si>
  <si>
    <t>Подпрограмма "Организация мероприятий по обеспечению надлежащего состояния уровня благоустройства территории Анжеро-Судженского городского округа"</t>
  </si>
  <si>
    <t>S3420</t>
  </si>
  <si>
    <t>11152</t>
  </si>
  <si>
    <t>5</t>
  </si>
  <si>
    <t>Подпрограмма "Прочие мероприятия по объектам внешнего благоустройства"</t>
  </si>
  <si>
    <t>11141</t>
  </si>
  <si>
    <t>4</t>
  </si>
  <si>
    <t xml:space="preserve">Подпрограмма "Организация и содержание мест захоронения" </t>
  </si>
  <si>
    <t>11131</t>
  </si>
  <si>
    <t>3</t>
  </si>
  <si>
    <t xml:space="preserve">Подпрограмма "Озеленение объектов внешнего благоустройства" </t>
  </si>
  <si>
    <t>12111</t>
  </si>
  <si>
    <t>11111</t>
  </si>
  <si>
    <t>2</t>
  </si>
  <si>
    <t>Подпрограмма "Уличное освещение объектов внешнего благоустройства"</t>
  </si>
  <si>
    <t>11121</t>
  </si>
  <si>
    <t>S2690</t>
  </si>
  <si>
    <t>1</t>
  </si>
  <si>
    <t xml:space="preserve">Подпрограмма "Строительство и содержание автомобильных дорог и инженерных сооружений на них" </t>
  </si>
  <si>
    <t>Муниципальная программа "Комплексное обеспечение качественного уровня благоустройства территории Анжеро-Судженского городского округа"</t>
  </si>
  <si>
    <t>71140</t>
  </si>
  <si>
    <t>Подпрограмма "Содержание и обустройство сибиреязвенных захоронений и скотомогильников (биотермических ям)"</t>
  </si>
  <si>
    <t>11043</t>
  </si>
  <si>
    <t>Подпрограмма "Осуществление функций по реализации вопросов местного значения в сфере жилищно-коммунального хозяйства"</t>
  </si>
  <si>
    <t>12402</t>
  </si>
  <si>
    <t>11302</t>
  </si>
  <si>
    <t>Возмещение недополученных экономически обоснованных затрат ресурсоснабжающим организациям и затрат, возникших в результате приведения размера платы граждан за услуги водоснабжения, водоотведения в соответствии с установленным предельным индексом</t>
  </si>
  <si>
    <t>11203</t>
  </si>
  <si>
    <t>Возмещение недополученных экономически обоснованных затрат ресурсоснабжающим организациям и затрат, возникших в результате приведения размера платы граждан за услуги теплоснабжения в соответствии с установленным предельным индексом</t>
  </si>
  <si>
    <t>Подпрограмма "Компенсация выпадающих доходов (затрат, убытков) организациям, предоставляющим населению услуги по тарифам, не обеспечивающим возмещение издержек"</t>
  </si>
  <si>
    <t>18301</t>
  </si>
  <si>
    <t>11301</t>
  </si>
  <si>
    <t>Подпрограмма "Энергосбережение и повышение энергоэффективности экономики"</t>
  </si>
  <si>
    <t>Муниципальная программа "Комплексные мероприятия по повышению энергоэффективности жилищно-коммунального хозяйства на территории Анжеро-Судженского городского округа"</t>
  </si>
  <si>
    <t>15232</t>
  </si>
  <si>
    <t>14011</t>
  </si>
  <si>
    <t>13012</t>
  </si>
  <si>
    <t>11044</t>
  </si>
  <si>
    <t>11042</t>
  </si>
  <si>
    <t>11013</t>
  </si>
  <si>
    <t>Муниципальная программа "Развитие физической культуры и спорта в муниципальном образовании Анжеро-Судженский городской округ"</t>
  </si>
  <si>
    <t>7</t>
  </si>
  <si>
    <t>11005</t>
  </si>
  <si>
    <t>Подпрограмма "Здоровье горожан"</t>
  </si>
  <si>
    <t>P1</t>
  </si>
  <si>
    <t>55730</t>
  </si>
  <si>
    <t>Подпрограмма "Развитие мер социальной поддержки отдельных категорий граждан"</t>
  </si>
  <si>
    <t>Подпрограмма "Повышение качества и доступности социальных услуг"</t>
  </si>
  <si>
    <t xml:space="preserve">Подпрограмма "Совершенствование системы управления и информационного обеспечения в сфере социальной поддержки и социального обслуживания населения" </t>
  </si>
  <si>
    <t>91001</t>
  </si>
  <si>
    <t xml:space="preserve">Подпрограмма "Поддержка лиц, замешавших муниципальные должности, и должности муниципальной службы муниципального образования "Анжеро-Судженский городской округ" в виде пенсии за выслугу лет" </t>
  </si>
  <si>
    <t>16401</t>
  </si>
  <si>
    <t>15401</t>
  </si>
  <si>
    <t>14401</t>
  </si>
  <si>
    <t>13401</t>
  </si>
  <si>
    <t>12401</t>
  </si>
  <si>
    <t>11403</t>
  </si>
  <si>
    <t>Подпрограмма "Милосердие"</t>
  </si>
  <si>
    <t>Муниципальная программа "Социальная поддержка населения Анжеро-Судженского городского округа"</t>
  </si>
  <si>
    <t>14522</t>
  </si>
  <si>
    <t>14041</t>
  </si>
  <si>
    <t>13421</t>
  </si>
  <si>
    <t>12411</t>
  </si>
  <si>
    <t>11402</t>
  </si>
  <si>
    <t>70420</t>
  </si>
  <si>
    <t xml:space="preserve">Муниципальная программа "Развитие культуры Анжеро-Судженского городского округа" </t>
  </si>
  <si>
    <t>11521</t>
  </si>
  <si>
    <t>11351</t>
  </si>
  <si>
    <t>11041</t>
  </si>
  <si>
    <t>Подпрограмма "Прочие мероприятия в области образования"</t>
  </si>
  <si>
    <t>11213</t>
  </si>
  <si>
    <t>11212</t>
  </si>
  <si>
    <t>80140</t>
  </si>
  <si>
    <t>72060</t>
  </si>
  <si>
    <t>72000</t>
  </si>
  <si>
    <t>70490</t>
  </si>
  <si>
    <t>11012</t>
  </si>
  <si>
    <t>Подпрограмма «Социальные гарантии в системе образования»</t>
  </si>
  <si>
    <t>71940</t>
  </si>
  <si>
    <t>71930</t>
  </si>
  <si>
    <t>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(полного) общего образования и дополнительного образования детей в муниципальных общеобразовательных организациях</t>
  </si>
  <si>
    <t>18221</t>
  </si>
  <si>
    <t>17011</t>
  </si>
  <si>
    <t>16071</t>
  </si>
  <si>
    <t>13211</t>
  </si>
  <si>
    <t>13011</t>
  </si>
  <si>
    <t>12221</t>
  </si>
  <si>
    <t>12051</t>
  </si>
  <si>
    <t>11231</t>
  </si>
  <si>
    <t>11211</t>
  </si>
  <si>
    <t>11202</t>
  </si>
  <si>
    <t xml:space="preserve">Подпрограмма "Развитие дошкольного, общего образования и дополнительного образования детей в Анжеро-Судженском городском округе" </t>
  </si>
  <si>
    <t>Муниципальная программа "Развитие системы образования Анжеро-Судженского городского округа"</t>
  </si>
  <si>
    <t>13003</t>
  </si>
  <si>
    <t>14003</t>
  </si>
  <si>
    <t>Подпрограмма "Капитальный ремонт жилья"</t>
  </si>
  <si>
    <t>13201</t>
  </si>
  <si>
    <t>12201</t>
  </si>
  <si>
    <t>11201</t>
  </si>
  <si>
    <t>Подпрограмма "Капитальное строительство"</t>
  </si>
  <si>
    <t>Подпрограмма "Переселение граждан из ветхого и аварийного жилья"</t>
  </si>
  <si>
    <t>L4970</t>
  </si>
  <si>
    <t>Подпрограмма "Обеспечение жильем молодых семей"</t>
  </si>
  <si>
    <t>71850</t>
  </si>
  <si>
    <t>R0820</t>
  </si>
  <si>
    <t>71660</t>
  </si>
  <si>
    <t>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</si>
  <si>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51760</t>
  </si>
  <si>
    <t>11501</t>
  </si>
  <si>
    <t>Подпрограмма "Обеспечение жильем отдельных социально незащищенных категорий граждан, нуждающихся в улучшении жилищных условий"</t>
  </si>
  <si>
    <t>Муниципальная программа "Обеспечение доступным и комфортным жильем и коммунальными услугами. Строительство."</t>
  </si>
  <si>
    <t>12161</t>
  </si>
  <si>
    <t>11151</t>
  </si>
  <si>
    <t xml:space="preserve">Подпрограмма "Обеспечение охраны общественного порядка на территории муниципального образования Анжеро-Судженский городской округ" </t>
  </si>
  <si>
    <t>14701</t>
  </si>
  <si>
    <t>12701</t>
  </si>
  <si>
    <t>11701</t>
  </si>
  <si>
    <t>Подпрограмма "Обеспечение пожарной безопасности на территории муниципального образования Анжеро-Судженский городской округ"</t>
  </si>
  <si>
    <t>Подпрограмма "Снижение рисков и смягчение последствий чрезвычайных ситуаций, повышение безопасности населения и защищенности объектов городского округа от угроз природного и техногенного характера"</t>
  </si>
  <si>
    <t>Муниципальная программа "Обеспечение общественного порядка, пожарной безопасности и защита от чрезвычайных ситуаций"</t>
  </si>
  <si>
    <t>19001</t>
  </si>
  <si>
    <t>18001</t>
  </si>
  <si>
    <t>17002</t>
  </si>
  <si>
    <t>16001</t>
  </si>
  <si>
    <t>15001</t>
  </si>
  <si>
    <t>14001</t>
  </si>
  <si>
    <t>13001</t>
  </si>
  <si>
    <t>12001</t>
  </si>
  <si>
    <t>11001</t>
  </si>
  <si>
    <t>Муниципальная программа "Повышение эффективности управления муниципальной собственностью Анжеро-Судженского городского округа"</t>
  </si>
  <si>
    <t>94041</t>
  </si>
  <si>
    <t>71960</t>
  </si>
  <si>
    <t>17001</t>
  </si>
  <si>
    <t>16131</t>
  </si>
  <si>
    <t>15011</t>
  </si>
  <si>
    <t>13071</t>
  </si>
  <si>
    <t>Подпрограмма "Прочие направления повышения эффективности муниципального управления"</t>
  </si>
  <si>
    <t>79050</t>
  </si>
  <si>
    <t>11401</t>
  </si>
  <si>
    <t>Подпрограмма "Развитие архивного дела на территории Анжеро-Судженского городского округа"</t>
  </si>
  <si>
    <t>11031</t>
  </si>
  <si>
    <t>11021</t>
  </si>
  <si>
    <t>11011</t>
  </si>
  <si>
    <t>Подпрограмма "Повышение эффективности деятельности органа местного самоуправления"</t>
  </si>
  <si>
    <t>Муниципальная программа "Создание условий для повышения эффективности муниципального управления"</t>
  </si>
  <si>
    <t>Направление расходов</t>
  </si>
  <si>
    <t>Основное мероприятие</t>
  </si>
  <si>
    <t>Подпрограмма</t>
  </si>
  <si>
    <t>Государственная программа</t>
  </si>
  <si>
    <t>Приложение 4</t>
  </si>
  <si>
    <t xml:space="preserve">Приложение </t>
  </si>
  <si>
    <t>от ________________2017г. № ________</t>
  </si>
  <si>
    <t>Подраз дел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</si>
  <si>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</si>
  <si>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11 3 0011131</t>
  </si>
  <si>
    <t>Культура, кинематография</t>
  </si>
  <si>
    <t>Ежемесячные денежные выплаты отдельным категориям граждан, воспитывающих детей в возрасте от 1,5 до 7, лет в соответствии с Законом Кемеровской области от 10 декабря 2007 года № 162-ОЗ "О ежемесячной денежной выплате отдельным категориям граждан, воспитывающих детей в возрасте от 1,5 до 7 лет"</t>
  </si>
  <si>
    <t>Физическая культура и спорт</t>
  </si>
  <si>
    <t>14151</t>
  </si>
  <si>
    <t>Приложение 3</t>
  </si>
  <si>
    <t>Региональный проект «Старшее поколение»</t>
  </si>
  <si>
    <t>Создание системы долговременного ухода за гражданами пожилого возраста и инвалидами</t>
  </si>
  <si>
    <t>085 P3 51630</t>
  </si>
  <si>
    <t>P3</t>
  </si>
  <si>
    <t>51630</t>
  </si>
  <si>
    <t>Региональный проект «Формирование комфортной городской среды»</t>
  </si>
  <si>
    <t xml:space="preserve">051 00 71771 </t>
  </si>
  <si>
    <t>71771</t>
  </si>
  <si>
    <t>051 00 S3420</t>
  </si>
  <si>
    <t>Региональный проект «Обеспечение устойчивого сокращения непригодного для проживания жилищного фонда»</t>
  </si>
  <si>
    <t>F3</t>
  </si>
  <si>
    <t>Обеспечение персонифицированного финансирования дополнительного образования детей</t>
  </si>
  <si>
    <t>05 1 00 12003</t>
  </si>
  <si>
    <t>12003</t>
  </si>
  <si>
    <t xml:space="preserve">03 2 00 11701 </t>
  </si>
  <si>
    <t xml:space="preserve">03 1 00 15003 </t>
  </si>
  <si>
    <t>03 1 00 15003</t>
  </si>
  <si>
    <t>15003</t>
  </si>
  <si>
    <t>Организация мероприятий по защите населения и территории от чрезвычайных ситуаций природного и техногенного характера, гражданской обороны, обеспечение пожарной безопасности и безопасности людей на водных объектах в границах Анжеро-Судженского городского округа</t>
  </si>
  <si>
    <t>Финансовая поддержка субъектов малого и среднего предпринимательства</t>
  </si>
  <si>
    <t>14 0 00 15801</t>
  </si>
  <si>
    <t>15801</t>
  </si>
  <si>
    <t>11051</t>
  </si>
  <si>
    <t>Организация профессионального обучения и дополнительного профессионального образования лиц предпенсионного возраста</t>
  </si>
  <si>
    <t>08 1 P3 52940</t>
  </si>
  <si>
    <t>52940</t>
  </si>
  <si>
    <t>05 2 00 11214</t>
  </si>
  <si>
    <t>Социальная поддержка детей-сирот, детей, оставшихся без попечения родителей</t>
  </si>
  <si>
    <t>11214</t>
  </si>
  <si>
    <t>10 3 00 15101</t>
  </si>
  <si>
    <t>15101</t>
  </si>
  <si>
    <t>09 0 00 15233</t>
  </si>
  <si>
    <t>15233</t>
  </si>
  <si>
    <t>10 3 00 16101</t>
  </si>
  <si>
    <t>Финансовое обеспечение затрат ресурсоснабжающим организациям, оказывающим услуги теплоснабжения</t>
  </si>
  <si>
    <t>16101</t>
  </si>
  <si>
    <t>Возмещение недополученных экономически обоснованных затрат топливоснабжающим организациям и затрат, возникших в результате приведения размера платы граждан за твердое топливо, реализуемое населению в соответствии с установленным предельным индексом</t>
  </si>
  <si>
    <t>05 1 00 73850</t>
  </si>
  <si>
    <t>Возмещение затрат, связанных с опубликованием официальных документов и информации о деятельности органов местного самоуправления Анжеро-Судженского городского округа</t>
  </si>
  <si>
    <t>01 5 00 18002</t>
  </si>
  <si>
    <t>18002</t>
  </si>
  <si>
    <t>Средства массовой информации</t>
  </si>
  <si>
    <t>Периодическая печать и издательства</t>
  </si>
  <si>
    <t xml:space="preserve">01 5 00 18002 </t>
  </si>
  <si>
    <t>08 6 Р1 70050</t>
  </si>
  <si>
    <t>Общеэкономические вопросы</t>
  </si>
  <si>
    <t>Е.Н.Зачиняева</t>
  </si>
  <si>
    <t>Ведомственная структура расходов бюджета муниципального образования "Анжеро-Судженский городской округ" на 2020 год и на плановый период 2021 и 2022 годов</t>
  </si>
  <si>
    <t>2022 год</t>
  </si>
  <si>
    <t>Осуществление назначения и выплаты единовременного государственного пособия гражданам, усыновившим (удочерившим) детей-сирот и детей, оставшихся без попечения родителей, установленного Законом Кемеровской области от 13.03.2008 № 5-ОЗ «О предоставлении меры социальной поддержки гражданам, усыновившим (удочерившим) детей-сирот и детей, оставшихся без попечения родителей»</t>
  </si>
  <si>
    <t>Актуализация схем энергоресурсов Анжеро-Судженского городского округа</t>
  </si>
  <si>
    <t>10 1 00 11204</t>
  </si>
  <si>
    <t>11204</t>
  </si>
  <si>
    <t>03 3 00 13006</t>
  </si>
  <si>
    <t>13006</t>
  </si>
  <si>
    <t>05 1 00 11215</t>
  </si>
  <si>
    <t>Обеспечение предоставления бесплатного двухразового горячего питания или компенсационных выплат обучающимся с ограниченными возможностями здоровья муниципальных образовательных организаций Анжеро-Судженского городского округа, реализующих образовательные программы начального общего, основного общего, среднего общего образования</t>
  </si>
  <si>
    <t>11215</t>
  </si>
  <si>
    <t xml:space="preserve">16 0 00 11009 </t>
  </si>
  <si>
    <t>Создание новых туристических программ, а также обновление существующих маршрутов</t>
  </si>
  <si>
    <t xml:space="preserve">16 0 00 12004 </t>
  </si>
  <si>
    <t>16 0 00 12004</t>
  </si>
  <si>
    <t>Создание туристического бренда и формирование положительного имиджа муниципального образования</t>
  </si>
  <si>
    <t>16 0 00 13007</t>
  </si>
  <si>
    <t>Развитие туристической инфраструктуры и единого информационного пространства</t>
  </si>
  <si>
    <t>16 0 00 14004</t>
  </si>
  <si>
    <t>Проведение событийных и обменных мероприятий в сфере культуры и искусства</t>
  </si>
  <si>
    <t>Популяризация объектов культурного наследия на территории Анжеро-Судженского городского округа</t>
  </si>
  <si>
    <t>16 0 00 15004</t>
  </si>
  <si>
    <t>16 0 00 16002</t>
  </si>
  <si>
    <t>Развитие инфраструктуры размещения, отдыха и досуга</t>
  </si>
  <si>
    <t>Муниципальная программа "Развитие туризма на территории Анжеро-Судженского городского округа"</t>
  </si>
  <si>
    <t>16</t>
  </si>
  <si>
    <t xml:space="preserve">11009 </t>
  </si>
  <si>
    <t xml:space="preserve"> 12004 </t>
  </si>
  <si>
    <t xml:space="preserve"> 12004</t>
  </si>
  <si>
    <t>13007</t>
  </si>
  <si>
    <t>14004</t>
  </si>
  <si>
    <t xml:space="preserve"> 15004</t>
  </si>
  <si>
    <t>16002</t>
  </si>
  <si>
    <t>15004</t>
  </si>
  <si>
    <t>08 5 00 73880</t>
  </si>
  <si>
    <t>Социальное обслуживание граждан, достигших возраста 18 лет, признанных нуждающимися в социальном обслуживании, за исключением государственного полномочия по социальному обслуживанию граждан пожилого возраста и инвалидов, граждан, находящихся в трудной жизненной ситуации, в государственных организациях социального обслуживания</t>
  </si>
  <si>
    <t>73880</t>
  </si>
  <si>
    <t>08 6 00 73870</t>
  </si>
  <si>
    <t>73870</t>
  </si>
  <si>
    <t>Организация мероприятий при осуществлении деятельности по обращению с животными без владельцев</t>
  </si>
  <si>
    <t>11 А 00 70860</t>
  </si>
  <si>
    <t>Подпрограмма "Организация мероприятий при осуществлении деятельности по обращению с животными без владельцев"</t>
  </si>
  <si>
    <t>А</t>
  </si>
  <si>
    <t>70860</t>
  </si>
  <si>
    <t>11 9 00 71140</t>
  </si>
  <si>
    <t>9</t>
  </si>
  <si>
    <t>11 5 00 71140</t>
  </si>
  <si>
    <t>04 3 F3 67483</t>
  </si>
  <si>
    <t>04 3 F3 67484</t>
  </si>
  <si>
    <t>67483</t>
  </si>
  <si>
    <t>67484</t>
  </si>
  <si>
    <t>04 3 F3 6748S</t>
  </si>
  <si>
    <t>6748S</t>
  </si>
  <si>
    <t>Обеспечение мероприятий по переселению граждан из аварийного жилищного фонда, осуществляемых за счет средств, поступивших от Фонда содействия реформированию жилищно-коммунального хозяйства</t>
  </si>
  <si>
    <t>Обеспечение мероприятий по переселению граждан из аварийного жилищного фонда, осуществляемых за счет средств бюджетов субъектов Российской Федерации, в том числе за счет субсидий из бюджетов субъектов Российской Федерации местным бюджетам</t>
  </si>
  <si>
    <t>Региональный проект «Финансовая поддержка семей при рождении детей»</t>
  </si>
  <si>
    <t>Проведение и организация мероприятий по уничтожению очагов произрастания дикорастущих наркосодержащих растений</t>
  </si>
  <si>
    <t xml:space="preserve">Предоставление компенсации расходов на уплату взноса на капитальный ремонт общего имущества в многоквартирном доме отдельным категориям граждан в соответствии с Законом Кемеровской области - Кузбасса от 08 октября 2019 года № 108-ОЗ «О предоставлении компенсации расходов на уплату взноса на капитальный ремонт общего имущества в многоквартирном доме отдельным категориям граждан» </t>
  </si>
  <si>
    <t>Выплата социального пособия на погребение и возмещение расходов по гарантированному перечню услуг по погребению в соответствии с Законом Кемеровской области от 07 декабря 2018 года № 104-ОЗ "О некоторых вопросах в сфере погребения и похоронного дела в Кемеровской области"</t>
  </si>
  <si>
    <t>Организация и проведение мероприятий, посвященных празднованию Победы в Великой Отечественной войне</t>
  </si>
  <si>
    <t>2020   год</t>
  </si>
  <si>
    <t>2021   год</t>
  </si>
  <si>
    <t>2022   год</t>
  </si>
  <si>
    <t>Подпрограмма "Повышение качества среды города Анжеро-Судженска"</t>
  </si>
  <si>
    <t>15 0 F2 55551</t>
  </si>
  <si>
    <t>Реализация программ формирования современной городской среды (Благоустройство дворовых территорий Анжеро-Судженского городского округа)</t>
  </si>
  <si>
    <t>55551</t>
  </si>
  <si>
    <t xml:space="preserve">15 0 F2 55552 </t>
  </si>
  <si>
    <t>Реализация программ формирования современной городской среды (Благоустройство иных объектов инфраструктуры городской среды Анжеро-Судженского городского округа)</t>
  </si>
  <si>
    <t>55552</t>
  </si>
  <si>
    <t>Осуществление назначения и выплаты единовременного государственного пособия гражданам, усыновившим (удочерившим) детей-сирот и детей, оставшихся без попечения родителей, установленного Законом Кемеровской области от 13 марта 2008 года № 5-ОЗ «О предоставлении меры социальной поддержки гражданам, усыновившим (удочерившим) детей-сирот и детей, оставшихся без попечения родителей»</t>
  </si>
  <si>
    <t>Молодежная политика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</si>
  <si>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</si>
  <si>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04 3 F3 09502</t>
  </si>
  <si>
    <t>04 3 F3 09602</t>
  </si>
  <si>
    <t>09502</t>
  </si>
  <si>
    <t>09602</t>
  </si>
  <si>
    <t>09 0 00 S0570</t>
  </si>
  <si>
    <t>Реализация мер по подготовке спортивного резерва</t>
  </si>
  <si>
    <t>S0570</t>
  </si>
  <si>
    <t>01 5 00 19031</t>
  </si>
  <si>
    <t>19031</t>
  </si>
  <si>
    <t>Обеспечение комплексной административно-технической деятельности муниципальных учреждений муниципального образования "Анжеро-Судженский городской округ"</t>
  </si>
  <si>
    <t xml:space="preserve">от 19.12.2019 № 238 </t>
  </si>
  <si>
    <t xml:space="preserve"> от ______________________2020г. № _______</t>
  </si>
  <si>
    <t xml:space="preserve"> от _____________________.2020г. № _______</t>
  </si>
  <si>
    <t>Распределение бюджетных ассигнований бюджета муниципального образования "Анжеро-Судженский городской округ" по целевым статьям (муниципальным программам и непрограммным направлениям деятельности), группам видов расходов классификации расходов бюджетов на 2020 год и на плановый период 2021 и 2022 годов</t>
  </si>
  <si>
    <t>Распределение бюджетных ассигнований бюджета муниципального образования "Анжеро-Судженский городской округ" по разделам, подразделам, целевым статьям (муниципальным программам и непрограммным направлениям деятельности), группам видов расходов классификации расходов бюджетов на 2020 год и на плановый период 2021 и 2022 годов</t>
  </si>
  <si>
    <t>Реконструкция, ремонт и приведение в надлежащее состояние объектов трудовой доблести и воинской славы, обустройство иных памятных мест, а также благоустройство прилегающей к указанным объектам территории</t>
  </si>
  <si>
    <t>73860</t>
  </si>
  <si>
    <t>Государственная поддержка отрасли культуры (оснащение образовательных учреждений в сфере культуры (детские школы искусств по видам искусств и училищ) музыкальными инструментами, оборудованием и учебными материалами)</t>
  </si>
  <si>
    <t>05 1 А1 55191</t>
  </si>
  <si>
    <t>55191</t>
  </si>
  <si>
    <t>А1</t>
  </si>
  <si>
    <t>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</si>
  <si>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05 1 Е1 51870</t>
  </si>
  <si>
    <t>Е1</t>
  </si>
  <si>
    <t>71840</t>
  </si>
  <si>
    <t>Региональный проект «Современная школа»</t>
  </si>
  <si>
    <t>Выплата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</t>
  </si>
  <si>
    <t>051 00 53030</t>
  </si>
  <si>
    <t>99 0 00 54690</t>
  </si>
  <si>
    <t>Проведение Всероссийской переписи населения 2020 года</t>
  </si>
  <si>
    <t>54690</t>
  </si>
  <si>
    <t>Развитие физической культуры и спорта</t>
  </si>
  <si>
    <t>09 0 00 S0510</t>
  </si>
  <si>
    <t>S0510</t>
  </si>
  <si>
    <t>Меры, связанные с предотвращением влияния ухудшения экономической ситуации на развитие отраслей экономики, с профилактикой и устранением последствий распространения коронавирусной инфекции</t>
  </si>
  <si>
    <t>К0</t>
  </si>
  <si>
    <t>20002</t>
  </si>
  <si>
    <t>99 0 К0 20002</t>
  </si>
  <si>
    <t>15 0 00 15007</t>
  </si>
  <si>
    <t>Технический (строительный) надзор за соблюдением всех норм и правил, производимых строительных и ремонтных работ по благоустройству (капитальному ремонту) дворовых территорий МКД</t>
  </si>
  <si>
    <t>15007</t>
  </si>
  <si>
    <t xml:space="preserve">05 </t>
  </si>
  <si>
    <t>15 0 00 73860</t>
  </si>
  <si>
    <t xml:space="preserve">08 1 00 13401 </t>
  </si>
  <si>
    <t>Осуществление выплат стимулирующего характера за особые условия труда и дополнительную нагрузку работникам стационарных организаций социального обслуживания, стационарных отделений, созданных не в стационарных организациях социального обслуживания, оказывающим социальные услуги гражданам, у которых выявлена новая коронавирусная инфекция, и лицам из групп риска заражения новой коронавирусной инфекцией,
 за счет средств резервного фонда Правительства Российской Федерации</t>
  </si>
  <si>
    <t>08 5 00 58340</t>
  </si>
  <si>
    <t>58340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</si>
</sst>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₽_-;\-* #,##0.00\ _₽_-;_-* &quot;-&quot;??\ _₽_-;_-@_-"/>
    <numFmt numFmtId="164" formatCode="0.0"/>
    <numFmt numFmtId="165" formatCode="0.00000"/>
    <numFmt numFmtId="166" formatCode="0.000"/>
    <numFmt numFmtId="167" formatCode="0.000000"/>
    <numFmt numFmtId="168" formatCode="0.0000"/>
    <numFmt numFmtId="169" formatCode="_-* #,##0.00000\ _₽_-;\-* #,##0.00000\ _₽_-;_-* &quot;-&quot;??\ _₽_-;_-@_-"/>
    <numFmt numFmtId="170" formatCode="_-* #,##0.000\ _₽_-;\-* #,##0.000\ _₽_-;_-* &quot;-&quot;??\ _₽_-;_-@_-"/>
    <numFmt numFmtId="171" formatCode="_-* #,##0.0\ _₽_-;\-* #,##0.0\ _₽_-;_-* &quot;-&quot;??\ _₽_-;_-@_-"/>
  </numFmts>
  <fonts count="4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2"/>
      <name val="Arial Cyr"/>
      <family val="2"/>
      <charset val="204"/>
    </font>
    <font>
      <b/>
      <sz val="10"/>
      <name val="Arial Cyr"/>
      <charset val="204"/>
    </font>
    <font>
      <b/>
      <u/>
      <sz val="10"/>
      <name val="Arial Cyr"/>
      <charset val="204"/>
    </font>
    <font>
      <u/>
      <sz val="10"/>
      <name val="Arial Cyr"/>
      <charset val="204"/>
    </font>
    <font>
      <sz val="10"/>
      <color indexed="8"/>
      <name val="Arial"/>
      <family val="2"/>
      <charset val="204"/>
    </font>
    <font>
      <sz val="6"/>
      <name val="Arial CYR"/>
      <family val="2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i/>
      <sz val="10"/>
      <name val="Arial"/>
      <family val="2"/>
      <charset val="204"/>
    </font>
    <font>
      <i/>
      <sz val="10"/>
      <name val="Arial Cyr"/>
      <charset val="204"/>
    </font>
    <font>
      <i/>
      <sz val="10"/>
      <name val="Arial Cyr"/>
      <family val="2"/>
      <charset val="204"/>
    </font>
    <font>
      <b/>
      <sz val="11"/>
      <name val="Arial Cyr"/>
      <charset val="204"/>
    </font>
    <font>
      <b/>
      <u/>
      <sz val="10"/>
      <name val="Arial"/>
      <family val="2"/>
      <charset val="204"/>
    </font>
    <font>
      <sz val="9"/>
      <name val="Arial Cyr"/>
      <family val="2"/>
      <charset val="204"/>
    </font>
    <font>
      <sz val="10"/>
      <color rgb="FFFF0000"/>
      <name val="Arial Cyr"/>
      <charset val="204"/>
    </font>
    <font>
      <b/>
      <sz val="14"/>
      <name val="Arial Cyr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i/>
      <u/>
      <sz val="10"/>
      <name val="Arial Cyr"/>
      <charset val="204"/>
    </font>
    <font>
      <i/>
      <u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FF0000"/>
      <name val="Arial Cyr"/>
      <charset val="204"/>
    </font>
    <font>
      <sz val="12"/>
      <name val="Arial Cyr"/>
      <charset val="204"/>
    </font>
    <font>
      <i/>
      <u/>
      <sz val="10"/>
      <name val="Arial Cyr"/>
      <family val="2"/>
      <charset val="204"/>
    </font>
    <font>
      <i/>
      <u/>
      <sz val="10"/>
      <color theme="1"/>
      <name val="Arial"/>
      <family val="2"/>
      <charset val="204"/>
    </font>
    <font>
      <b/>
      <sz val="10"/>
      <name val="Arial Cyr"/>
      <family val="2"/>
      <charset val="204"/>
    </font>
    <font>
      <b/>
      <sz val="10"/>
      <color theme="1"/>
      <name val="Arial"/>
      <family val="2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 Cyr"/>
      <family val="2"/>
      <charset val="204"/>
    </font>
    <font>
      <sz val="10"/>
      <color theme="1"/>
      <name val="Arial"/>
      <family val="2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name val="Arial Cyr"/>
      <family val="2"/>
      <charset val="204"/>
    </font>
    <font>
      <sz val="9"/>
      <name val="Arial Cyr"/>
      <charset val="204"/>
    </font>
    <font>
      <sz val="9"/>
      <name val="Times New Roman"/>
      <family val="1"/>
      <charset val="204"/>
    </font>
    <font>
      <i/>
      <sz val="10"/>
      <color rgb="FFFF0000"/>
      <name val="Arial Cyr"/>
      <charset val="204"/>
    </font>
    <font>
      <b/>
      <i/>
      <sz val="10"/>
      <name val="Arial Cyr"/>
      <charset val="204"/>
    </font>
    <font>
      <b/>
      <i/>
      <u/>
      <sz val="10"/>
      <name val="Arial Cyr"/>
      <charset val="204"/>
    </font>
    <font>
      <b/>
      <sz val="12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47" fillId="0" borderId="0" applyFont="0" applyFill="0" applyBorder="0" applyAlignment="0" applyProtection="0"/>
  </cellStyleXfs>
  <cellXfs count="268">
    <xf numFmtId="0" fontId="0" fillId="0" borderId="0" xfId="0"/>
    <xf numFmtId="49" fontId="5" fillId="0" borderId="1" xfId="0" applyNumberFormat="1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wrapText="1"/>
    </xf>
    <xf numFmtId="164" fontId="4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0" fontId="6" fillId="0" borderId="0" xfId="0" applyFont="1" applyFill="1" applyAlignment="1">
      <alignment wrapText="1"/>
    </xf>
    <xf numFmtId="49" fontId="4" fillId="0" borderId="1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left" wrapText="1"/>
    </xf>
    <xf numFmtId="0" fontId="4" fillId="0" borderId="1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right" wrapText="1"/>
    </xf>
    <xf numFmtId="0" fontId="9" fillId="0" borderId="0" xfId="0" applyFont="1" applyFill="1" applyAlignment="1">
      <alignment wrapText="1"/>
    </xf>
    <xf numFmtId="49" fontId="0" fillId="0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49" fontId="0" fillId="0" borderId="1" xfId="0" applyNumberFormat="1" applyFont="1" applyFill="1" applyBorder="1" applyAlignment="1">
      <alignment horizontal="center" wrapText="1"/>
    </xf>
    <xf numFmtId="164" fontId="0" fillId="0" borderId="1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wrapText="1"/>
    </xf>
    <xf numFmtId="0" fontId="0" fillId="0" borderId="1" xfId="0" applyFont="1" applyFill="1" applyBorder="1" applyAlignment="1">
      <alignment horizontal="right" wrapText="1"/>
    </xf>
    <xf numFmtId="0" fontId="13" fillId="0" borderId="1" xfId="0" applyNumberFormat="1" applyFont="1" applyFill="1" applyBorder="1" applyAlignment="1">
      <alignment wrapText="1"/>
    </xf>
    <xf numFmtId="49" fontId="14" fillId="0" borderId="1" xfId="0" applyNumberFormat="1" applyFont="1" applyFill="1" applyBorder="1" applyAlignment="1">
      <alignment horizontal="center" wrapText="1"/>
    </xf>
    <xf numFmtId="164" fontId="14" fillId="0" borderId="1" xfId="0" applyNumberFormat="1" applyFont="1" applyFill="1" applyBorder="1" applyAlignment="1">
      <alignment horizontal="center" wrapText="1"/>
    </xf>
    <xf numFmtId="0" fontId="14" fillId="0" borderId="0" xfId="0" applyFont="1" applyFill="1" applyAlignment="1">
      <alignment wrapText="1"/>
    </xf>
    <xf numFmtId="49" fontId="13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wrapText="1"/>
    </xf>
    <xf numFmtId="0" fontId="14" fillId="0" borderId="0" xfId="0" applyFont="1" applyFill="1" applyAlignment="1">
      <alignment horizontal="center" wrapText="1"/>
    </xf>
    <xf numFmtId="0" fontId="13" fillId="0" borderId="1" xfId="0" applyNumberFormat="1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right" wrapText="1"/>
    </xf>
    <xf numFmtId="0" fontId="13" fillId="0" borderId="1" xfId="0" applyNumberFormat="1" applyFont="1" applyFill="1" applyBorder="1" applyAlignment="1">
      <alignment horizontal="right" wrapText="1"/>
    </xf>
    <xf numFmtId="0" fontId="16" fillId="2" borderId="1" xfId="0" applyFont="1" applyFill="1" applyBorder="1" applyAlignment="1">
      <alignment wrapText="1"/>
    </xf>
    <xf numFmtId="49" fontId="16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left" textRotation="90" wrapText="1"/>
    </xf>
    <xf numFmtId="164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0" fillId="0" borderId="1" xfId="0" applyFill="1" applyBorder="1" applyAlignment="1">
      <alignment horizontal="right" wrapText="1"/>
    </xf>
    <xf numFmtId="0" fontId="7" fillId="0" borderId="1" xfId="0" applyFont="1" applyFill="1" applyBorder="1" applyAlignment="1">
      <alignment horizontal="right" wrapText="1"/>
    </xf>
    <xf numFmtId="0" fontId="16" fillId="2" borderId="1" xfId="0" applyFont="1" applyFill="1" applyBorder="1" applyAlignment="1">
      <alignment horizontal="right" wrapText="1"/>
    </xf>
    <xf numFmtId="0" fontId="7" fillId="0" borderId="1" xfId="0" applyFont="1" applyFill="1" applyBorder="1" applyAlignment="1">
      <alignment wrapText="1"/>
    </xf>
    <xf numFmtId="49" fontId="0" fillId="0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horizontal="center" textRotation="90" wrapText="1"/>
    </xf>
    <xf numFmtId="0" fontId="11" fillId="0" borderId="1" xfId="0" applyFont="1" applyFill="1" applyBorder="1" applyAlignment="1">
      <alignment wrapText="1"/>
    </xf>
    <xf numFmtId="0" fontId="14" fillId="0" borderId="3" xfId="0" applyFont="1" applyFill="1" applyBorder="1" applyAlignment="1">
      <alignment wrapText="1"/>
    </xf>
    <xf numFmtId="0" fontId="15" fillId="0" borderId="1" xfId="0" applyFont="1" applyFill="1" applyBorder="1" applyAlignment="1">
      <alignment horizontal="right" wrapText="1"/>
    </xf>
    <xf numFmtId="0" fontId="11" fillId="0" borderId="1" xfId="0" applyNumberFormat="1" applyFont="1" applyFill="1" applyBorder="1" applyAlignment="1">
      <alignment vertical="top" wrapText="1"/>
    </xf>
    <xf numFmtId="0" fontId="14" fillId="0" borderId="7" xfId="0" applyFont="1" applyFill="1" applyBorder="1" applyAlignment="1">
      <alignment wrapText="1"/>
    </xf>
    <xf numFmtId="0" fontId="0" fillId="0" borderId="7" xfId="0" applyFont="1" applyFill="1" applyBorder="1" applyAlignment="1">
      <alignment wrapText="1"/>
    </xf>
    <xf numFmtId="0" fontId="11" fillId="0" borderId="1" xfId="0" applyFont="1" applyFill="1" applyBorder="1" applyAlignment="1">
      <alignment vertical="center" wrapText="1"/>
    </xf>
    <xf numFmtId="164" fontId="14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right" wrapText="1"/>
    </xf>
    <xf numFmtId="49" fontId="5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 textRotation="90" wrapText="1"/>
    </xf>
    <xf numFmtId="0" fontId="5" fillId="3" borderId="1" xfId="0" applyFont="1" applyFill="1" applyBorder="1" applyAlignment="1">
      <alignment horizontal="center" textRotation="90" wrapText="1"/>
    </xf>
    <xf numFmtId="164" fontId="5" fillId="3" borderId="1" xfId="0" applyNumberFormat="1" applyFont="1" applyFill="1" applyBorder="1" applyAlignment="1">
      <alignment horizontal="center" wrapText="1"/>
    </xf>
    <xf numFmtId="0" fontId="5" fillId="3" borderId="0" xfId="0" applyFont="1" applyFill="1" applyAlignment="1">
      <alignment horizontal="left" wrapText="1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right" wrapText="1"/>
    </xf>
    <xf numFmtId="49" fontId="4" fillId="3" borderId="1" xfId="0" applyNumberFormat="1" applyFont="1" applyFill="1" applyBorder="1" applyAlignment="1">
      <alignment horizontal="center" wrapText="1"/>
    </xf>
    <xf numFmtId="164" fontId="4" fillId="3" borderId="1" xfId="0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wrapText="1"/>
    </xf>
    <xf numFmtId="0" fontId="0" fillId="3" borderId="1" xfId="0" applyFont="1" applyFill="1" applyBorder="1" applyAlignment="1">
      <alignment wrapText="1"/>
    </xf>
    <xf numFmtId="0" fontId="0" fillId="3" borderId="1" xfId="0" applyFont="1" applyFill="1" applyBorder="1" applyAlignment="1">
      <alignment horizontal="right" wrapText="1"/>
    </xf>
    <xf numFmtId="49" fontId="0" fillId="3" borderId="1" xfId="0" applyNumberFormat="1" applyFont="1" applyFill="1" applyBorder="1" applyAlignment="1">
      <alignment horizontal="center" wrapText="1"/>
    </xf>
    <xf numFmtId="164" fontId="0" fillId="3" borderId="1" xfId="0" applyNumberFormat="1" applyFont="1" applyFill="1" applyBorder="1" applyAlignment="1">
      <alignment horizontal="center" wrapText="1"/>
    </xf>
    <xf numFmtId="0" fontId="0" fillId="3" borderId="0" xfId="0" applyFont="1" applyFill="1" applyAlignment="1">
      <alignment wrapText="1"/>
    </xf>
    <xf numFmtId="0" fontId="13" fillId="3" borderId="1" xfId="0" applyNumberFormat="1" applyFont="1" applyFill="1" applyBorder="1" applyAlignment="1">
      <alignment vertical="top" wrapText="1"/>
    </xf>
    <xf numFmtId="0" fontId="13" fillId="3" borderId="1" xfId="0" applyNumberFormat="1" applyFont="1" applyFill="1" applyBorder="1" applyAlignment="1">
      <alignment horizontal="right" wrapText="1"/>
    </xf>
    <xf numFmtId="49" fontId="14" fillId="3" borderId="1" xfId="0" applyNumberFormat="1" applyFont="1" applyFill="1" applyBorder="1" applyAlignment="1">
      <alignment horizontal="center" wrapText="1"/>
    </xf>
    <xf numFmtId="49" fontId="13" fillId="3" borderId="1" xfId="0" applyNumberFormat="1" applyFont="1" applyFill="1" applyBorder="1" applyAlignment="1">
      <alignment horizontal="center"/>
    </xf>
    <xf numFmtId="0" fontId="14" fillId="3" borderId="0" xfId="0" applyFont="1" applyFill="1" applyAlignment="1">
      <alignment wrapText="1"/>
    </xf>
    <xf numFmtId="0" fontId="13" fillId="3" borderId="1" xfId="0" applyNumberFormat="1" applyFont="1" applyFill="1" applyBorder="1" applyAlignment="1">
      <alignment wrapText="1"/>
    </xf>
    <xf numFmtId="0" fontId="14" fillId="3" borderId="1" xfId="0" applyFont="1" applyFill="1" applyBorder="1" applyAlignment="1">
      <alignment horizontal="right" wrapText="1"/>
    </xf>
    <xf numFmtId="0" fontId="14" fillId="3" borderId="1" xfId="0" applyFont="1" applyFill="1" applyBorder="1" applyAlignment="1">
      <alignment wrapText="1"/>
    </xf>
    <xf numFmtId="0" fontId="6" fillId="3" borderId="0" xfId="0" applyFont="1" applyFill="1" applyAlignment="1">
      <alignment wrapText="1"/>
    </xf>
    <xf numFmtId="0" fontId="0" fillId="3" borderId="1" xfId="0" applyFill="1" applyBorder="1" applyAlignment="1">
      <alignment wrapText="1"/>
    </xf>
    <xf numFmtId="49" fontId="2" fillId="3" borderId="1" xfId="0" applyNumberFormat="1" applyFont="1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horizontal="center" wrapText="1"/>
    </xf>
    <xf numFmtId="0" fontId="0" fillId="3" borderId="1" xfId="0" applyFill="1" applyBorder="1" applyAlignment="1">
      <alignment horizontal="right" wrapText="1"/>
    </xf>
    <xf numFmtId="0" fontId="2" fillId="3" borderId="0" xfId="0" applyFont="1" applyFill="1" applyAlignment="1">
      <alignment wrapText="1"/>
    </xf>
    <xf numFmtId="0" fontId="7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0" xfId="0" applyFont="1" applyFill="1" applyAlignment="1">
      <alignment wrapText="1"/>
    </xf>
    <xf numFmtId="0" fontId="17" fillId="3" borderId="1" xfId="0" applyNumberFormat="1" applyFont="1" applyFill="1" applyBorder="1" applyAlignment="1">
      <alignment horizontal="right" wrapText="1"/>
    </xf>
    <xf numFmtId="49" fontId="17" fillId="3" borderId="1" xfId="0" applyNumberFormat="1" applyFont="1" applyFill="1" applyBorder="1" applyAlignment="1">
      <alignment horizontal="center"/>
    </xf>
    <xf numFmtId="49" fontId="11" fillId="3" borderId="1" xfId="0" applyNumberFormat="1" applyFont="1" applyFill="1" applyBorder="1" applyAlignment="1">
      <alignment horizontal="center"/>
    </xf>
    <xf numFmtId="0" fontId="14" fillId="3" borderId="7" xfId="0" applyFont="1" applyFill="1" applyBorder="1" applyAlignment="1">
      <alignment wrapText="1"/>
    </xf>
    <xf numFmtId="0" fontId="14" fillId="3" borderId="0" xfId="0" applyFont="1" applyFill="1" applyAlignment="1">
      <alignment horizontal="center" wrapText="1"/>
    </xf>
    <xf numFmtId="49" fontId="0" fillId="3" borderId="1" xfId="0" applyNumberFormat="1" applyFont="1" applyFill="1" applyBorder="1" applyAlignment="1">
      <alignment wrapText="1"/>
    </xf>
    <xf numFmtId="0" fontId="0" fillId="3" borderId="0" xfId="0" applyFont="1" applyFill="1" applyAlignment="1">
      <alignment horizontal="center" wrapText="1"/>
    </xf>
    <xf numFmtId="0" fontId="12" fillId="3" borderId="0" xfId="0" applyFont="1" applyFill="1" applyAlignment="1">
      <alignment wrapText="1"/>
    </xf>
    <xf numFmtId="49" fontId="0" fillId="3" borderId="1" xfId="0" applyNumberFormat="1" applyFill="1" applyBorder="1" applyAlignment="1">
      <alignment horizontal="center" wrapText="1"/>
    </xf>
    <xf numFmtId="164" fontId="0" fillId="3" borderId="0" xfId="0" applyNumberFormat="1" applyFont="1" applyFill="1" applyAlignment="1">
      <alignment horizontal="center" wrapText="1"/>
    </xf>
    <xf numFmtId="165" fontId="0" fillId="3" borderId="0" xfId="0" applyNumberFormat="1" applyFont="1" applyFill="1" applyAlignment="1">
      <alignment horizontal="center" wrapText="1"/>
    </xf>
    <xf numFmtId="0" fontId="0" fillId="4" borderId="0" xfId="0" applyFont="1" applyFill="1" applyAlignment="1">
      <alignment wrapText="1"/>
    </xf>
    <xf numFmtId="0" fontId="14" fillId="4" borderId="0" xfId="0" applyFont="1" applyFill="1" applyAlignment="1">
      <alignment wrapText="1"/>
    </xf>
    <xf numFmtId="0" fontId="6" fillId="4" borderId="0" xfId="0" applyFont="1" applyFill="1" applyAlignment="1">
      <alignment wrapText="1"/>
    </xf>
    <xf numFmtId="49" fontId="6" fillId="0" borderId="1" xfId="0" applyNumberFormat="1" applyFont="1" applyFill="1" applyBorder="1" applyAlignment="1">
      <alignment horizontal="center" wrapText="1"/>
    </xf>
    <xf numFmtId="0" fontId="5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15" fillId="4" borderId="0" xfId="0" applyFont="1" applyFill="1" applyAlignment="1">
      <alignment wrapText="1"/>
    </xf>
    <xf numFmtId="0" fontId="12" fillId="0" borderId="0" xfId="0" applyFont="1" applyFill="1" applyAlignment="1">
      <alignment wrapText="1"/>
    </xf>
    <xf numFmtId="0" fontId="2" fillId="0" borderId="1" xfId="0" applyFont="1" applyFill="1" applyBorder="1" applyAlignment="1">
      <alignment wrapText="1"/>
    </xf>
    <xf numFmtId="0" fontId="15" fillId="0" borderId="0" xfId="0" applyFont="1" applyFill="1" applyAlignment="1">
      <alignment wrapText="1"/>
    </xf>
    <xf numFmtId="164" fontId="0" fillId="0" borderId="0" xfId="0" applyNumberFormat="1" applyFont="1" applyFill="1" applyAlignment="1">
      <alignment horizontal="center" wrapText="1"/>
    </xf>
    <xf numFmtId="0" fontId="0" fillId="0" borderId="0" xfId="0" applyFill="1" applyAlignment="1">
      <alignment wrapText="1"/>
    </xf>
    <xf numFmtId="164" fontId="0" fillId="0" borderId="0" xfId="0" applyNumberFormat="1" applyFill="1" applyAlignment="1">
      <alignment horizontal="center" wrapText="1"/>
    </xf>
    <xf numFmtId="164" fontId="0" fillId="0" borderId="0" xfId="0" applyNumberFormat="1" applyFill="1" applyAlignment="1">
      <alignment horizontal="right"/>
    </xf>
    <xf numFmtId="0" fontId="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right" wrapText="1"/>
    </xf>
    <xf numFmtId="166" fontId="0" fillId="0" borderId="0" xfId="0" applyNumberFormat="1" applyFont="1" applyFill="1" applyAlignment="1">
      <alignment horizontal="center" wrapText="1"/>
    </xf>
    <xf numFmtId="164" fontId="21" fillId="2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wrapText="1"/>
    </xf>
    <xf numFmtId="49" fontId="22" fillId="2" borderId="1" xfId="0" applyNumberFormat="1" applyFont="1" applyFill="1" applyBorder="1" applyAlignment="1">
      <alignment horizontal="center" wrapText="1"/>
    </xf>
    <xf numFmtId="0" fontId="22" fillId="2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wrapText="1"/>
    </xf>
    <xf numFmtId="164" fontId="23" fillId="0" borderId="1" xfId="0" applyNumberFormat="1" applyFont="1" applyFill="1" applyBorder="1" applyAlignment="1">
      <alignment horizontal="center" wrapText="1"/>
    </xf>
    <xf numFmtId="49" fontId="23" fillId="0" borderId="1" xfId="0" applyNumberFormat="1" applyFont="1" applyFill="1" applyBorder="1" applyAlignment="1">
      <alignment horizontal="center" wrapText="1"/>
    </xf>
    <xf numFmtId="0" fontId="23" fillId="0" borderId="1" xfId="0" applyFont="1" applyFill="1" applyBorder="1" applyAlignment="1">
      <alignment wrapText="1"/>
    </xf>
    <xf numFmtId="164" fontId="23" fillId="3" borderId="1" xfId="0" applyNumberFormat="1" applyFont="1" applyFill="1" applyBorder="1" applyAlignment="1">
      <alignment horizontal="center" wrapText="1"/>
    </xf>
    <xf numFmtId="49" fontId="23" fillId="3" borderId="1" xfId="0" applyNumberFormat="1" applyFont="1" applyFill="1" applyBorder="1" applyAlignment="1">
      <alignment horizontal="center" wrapText="1"/>
    </xf>
    <xf numFmtId="49" fontId="6" fillId="3" borderId="1" xfId="0" applyNumberFormat="1" applyFont="1" applyFill="1" applyBorder="1" applyAlignment="1">
      <alignment horizontal="center" wrapText="1"/>
    </xf>
    <xf numFmtId="0" fontId="23" fillId="3" borderId="1" xfId="0" applyFont="1" applyFill="1" applyBorder="1" applyAlignment="1">
      <alignment wrapText="1"/>
    </xf>
    <xf numFmtId="0" fontId="24" fillId="0" borderId="1" xfId="0" applyNumberFormat="1" applyFont="1" applyFill="1" applyBorder="1" applyAlignment="1">
      <alignment vertical="top" wrapText="1"/>
    </xf>
    <xf numFmtId="0" fontId="25" fillId="2" borderId="1" xfId="0" applyNumberFormat="1" applyFont="1" applyFill="1" applyBorder="1" applyAlignment="1">
      <alignment vertical="top" wrapText="1"/>
    </xf>
    <xf numFmtId="0" fontId="22" fillId="0" borderId="0" xfId="0" applyFont="1" applyFill="1" applyAlignment="1">
      <alignment wrapText="1"/>
    </xf>
    <xf numFmtId="49" fontId="24" fillId="3" borderId="1" xfId="0" applyNumberFormat="1" applyFont="1" applyFill="1" applyBorder="1" applyAlignment="1">
      <alignment horizontal="center"/>
    </xf>
    <xf numFmtId="0" fontId="24" fillId="3" borderId="1" xfId="0" applyNumberFormat="1" applyFont="1" applyFill="1" applyBorder="1" applyAlignment="1">
      <alignment vertical="top" wrapText="1"/>
    </xf>
    <xf numFmtId="49" fontId="25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>
      <alignment wrapText="1"/>
    </xf>
    <xf numFmtId="0" fontId="14" fillId="3" borderId="1" xfId="0" applyFont="1" applyFill="1" applyBorder="1" applyAlignment="1">
      <alignment horizontal="center" wrapText="1"/>
    </xf>
    <xf numFmtId="0" fontId="19" fillId="0" borderId="0" xfId="0" applyFont="1" applyFill="1" applyAlignment="1">
      <alignment wrapText="1"/>
    </xf>
    <xf numFmtId="0" fontId="26" fillId="3" borderId="0" xfId="0" applyFont="1" applyFill="1" applyAlignment="1">
      <alignment wrapText="1"/>
    </xf>
    <xf numFmtId="0" fontId="23" fillId="3" borderId="1" xfId="0" applyFont="1" applyFill="1" applyBorder="1" applyAlignment="1">
      <alignment horizontal="center" wrapText="1"/>
    </xf>
    <xf numFmtId="49" fontId="24" fillId="0" borderId="1" xfId="0" applyNumberFormat="1" applyFont="1" applyFill="1" applyBorder="1" applyAlignment="1">
      <alignment horizontal="center"/>
    </xf>
    <xf numFmtId="0" fontId="27" fillId="0" borderId="0" xfId="0" applyFont="1" applyFill="1" applyAlignment="1">
      <alignment wrapText="1"/>
    </xf>
    <xf numFmtId="0" fontId="27" fillId="3" borderId="0" xfId="0" applyFont="1" applyFill="1" applyAlignment="1">
      <alignment wrapText="1"/>
    </xf>
    <xf numFmtId="164" fontId="28" fillId="3" borderId="1" xfId="0" applyNumberFormat="1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49" fontId="29" fillId="3" borderId="1" xfId="0" quotePrefix="1" applyNumberFormat="1" applyFont="1" applyFill="1" applyBorder="1" applyAlignment="1">
      <alignment horizontal="center" vertical="top" wrapText="1"/>
    </xf>
    <xf numFmtId="0" fontId="28" fillId="3" borderId="1" xfId="0" applyFont="1" applyFill="1" applyBorder="1" applyAlignment="1">
      <alignment horizontal="left" wrapText="1"/>
    </xf>
    <xf numFmtId="164" fontId="30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49" fontId="31" fillId="2" borderId="1" xfId="0" quotePrefix="1" applyNumberFormat="1" applyFont="1" applyFill="1" applyBorder="1" applyAlignment="1">
      <alignment horizontal="center" vertical="top" wrapText="1"/>
    </xf>
    <xf numFmtId="0" fontId="32" fillId="0" borderId="0" xfId="0" applyFont="1" applyFill="1" applyAlignment="1">
      <alignment wrapText="1"/>
    </xf>
    <xf numFmtId="1" fontId="32" fillId="0" borderId="1" xfId="0" applyNumberFormat="1" applyFont="1" applyFill="1" applyBorder="1" applyAlignment="1">
      <alignment horizontal="center" wrapText="1"/>
    </xf>
    <xf numFmtId="0" fontId="33" fillId="0" borderId="1" xfId="0" applyFont="1" applyFill="1" applyBorder="1" applyAlignment="1">
      <alignment horizontal="distributed" wrapText="1"/>
    </xf>
    <xf numFmtId="49" fontId="34" fillId="0" borderId="1" xfId="0" quotePrefix="1" applyNumberFormat="1" applyFont="1" applyFill="1" applyBorder="1" applyAlignment="1">
      <alignment horizontal="distributed" wrapText="1"/>
    </xf>
    <xf numFmtId="49" fontId="32" fillId="0" borderId="1" xfId="0" applyNumberFormat="1" applyFont="1" applyFill="1" applyBorder="1" applyAlignment="1">
      <alignment horizontal="distributed" wrapText="1"/>
    </xf>
    <xf numFmtId="0" fontId="35" fillId="0" borderId="1" xfId="0" applyFont="1" applyFill="1" applyBorder="1" applyAlignment="1">
      <alignment horizontal="center" wrapText="1"/>
    </xf>
    <xf numFmtId="0" fontId="12" fillId="0" borderId="0" xfId="0" applyFont="1" applyFill="1" applyAlignment="1">
      <alignment vertical="top" wrapText="1"/>
    </xf>
    <xf numFmtId="0" fontId="37" fillId="0" borderId="0" xfId="0" applyFont="1" applyFill="1" applyAlignment="1">
      <alignment vertical="top" wrapText="1"/>
    </xf>
    <xf numFmtId="0" fontId="37" fillId="0" borderId="0" xfId="0" applyFont="1" applyFill="1" applyAlignment="1">
      <alignment horizontal="right" vertical="top" wrapText="1"/>
    </xf>
    <xf numFmtId="0" fontId="18" fillId="0" borderId="1" xfId="0" applyFont="1" applyFill="1" applyBorder="1" applyAlignment="1">
      <alignment horizontal="center" wrapText="1"/>
    </xf>
    <xf numFmtId="49" fontId="36" fillId="0" borderId="1" xfId="0" quotePrefix="1" applyNumberFormat="1" applyFont="1" applyFill="1" applyBorder="1" applyAlignment="1">
      <alignment horizontal="distributed" wrapText="1"/>
    </xf>
    <xf numFmtId="49" fontId="0" fillId="0" borderId="1" xfId="0" applyNumberFormat="1" applyFont="1" applyFill="1" applyBorder="1" applyAlignment="1">
      <alignment horizontal="distributed" wrapText="1"/>
    </xf>
    <xf numFmtId="0" fontId="11" fillId="0" borderId="1" xfId="0" applyFont="1" applyFill="1" applyBorder="1" applyAlignment="1">
      <alignment horizontal="distributed" wrapText="1"/>
    </xf>
    <xf numFmtId="1" fontId="20" fillId="0" borderId="1" xfId="0" applyNumberFormat="1" applyFont="1" applyFill="1" applyBorder="1" applyAlignment="1">
      <alignment horizontal="center" wrapText="1"/>
    </xf>
    <xf numFmtId="49" fontId="0" fillId="0" borderId="0" xfId="0" applyNumberFormat="1" applyFont="1" applyFill="1" applyAlignment="1">
      <alignment wrapText="1"/>
    </xf>
    <xf numFmtId="164" fontId="0" fillId="0" borderId="0" xfId="0" applyNumberFormat="1" applyFont="1" applyFill="1" applyAlignment="1">
      <alignment wrapText="1"/>
    </xf>
    <xf numFmtId="164" fontId="0" fillId="0" borderId="0" xfId="0" applyNumberFormat="1" applyFill="1" applyAlignment="1">
      <alignment vertical="center" wrapText="1"/>
    </xf>
    <xf numFmtId="49" fontId="0" fillId="0" borderId="0" xfId="0" applyNumberFormat="1" applyFont="1" applyFill="1" applyAlignment="1">
      <alignment horizontal="center" wrapText="1"/>
    </xf>
    <xf numFmtId="0" fontId="40" fillId="0" borderId="1" xfId="0" applyFont="1" applyFill="1" applyBorder="1" applyAlignment="1">
      <alignment horizontal="center" wrapText="1"/>
    </xf>
    <xf numFmtId="0" fontId="40" fillId="0" borderId="1" xfId="0" applyFont="1" applyFill="1" applyBorder="1" applyAlignment="1">
      <alignment horizontal="center" vertical="center" wrapText="1"/>
    </xf>
    <xf numFmtId="1" fontId="40" fillId="0" borderId="1" xfId="0" applyNumberFormat="1" applyFont="1" applyFill="1" applyBorder="1" applyAlignment="1">
      <alignment horizontal="center" vertical="center" wrapText="1"/>
    </xf>
    <xf numFmtId="0" fontId="40" fillId="0" borderId="0" xfId="0" applyFont="1" applyFill="1" applyAlignment="1">
      <alignment wrapText="1"/>
    </xf>
    <xf numFmtId="164" fontId="22" fillId="2" borderId="1" xfId="0" applyNumberFormat="1" applyFont="1" applyFill="1" applyBorder="1" applyAlignment="1">
      <alignment horizontal="center" wrapText="1"/>
    </xf>
    <xf numFmtId="49" fontId="4" fillId="3" borderId="8" xfId="0" applyNumberFormat="1" applyFont="1" applyFill="1" applyBorder="1" applyAlignment="1">
      <alignment horizontal="center" wrapText="1"/>
    </xf>
    <xf numFmtId="49" fontId="0" fillId="0" borderId="8" xfId="0" applyNumberFormat="1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wrapText="1"/>
    </xf>
    <xf numFmtId="167" fontId="0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38" fillId="0" borderId="0" xfId="0" applyFont="1" applyFill="1" applyAlignment="1">
      <alignment horizontal="right" vertical="top" wrapText="1"/>
    </xf>
    <xf numFmtId="0" fontId="18" fillId="0" borderId="5" xfId="0" applyFont="1" applyFill="1" applyBorder="1" applyAlignment="1">
      <alignment horizontal="center" wrapText="1"/>
    </xf>
    <xf numFmtId="0" fontId="18" fillId="0" borderId="2" xfId="0" applyFont="1" applyFill="1" applyBorder="1" applyAlignment="1">
      <alignment horizontal="center" vertical="center" textRotation="90" wrapText="1"/>
    </xf>
    <xf numFmtId="1" fontId="39" fillId="0" borderId="2" xfId="0" applyNumberFormat="1" applyFont="1" applyFill="1" applyBorder="1" applyAlignment="1">
      <alignment horizontal="center" vertical="center" wrapText="1"/>
    </xf>
    <xf numFmtId="168" fontId="0" fillId="0" borderId="0" xfId="0" applyNumberFormat="1" applyFont="1" applyFill="1" applyAlignment="1">
      <alignment horizontal="center" wrapText="1"/>
    </xf>
    <xf numFmtId="164" fontId="14" fillId="4" borderId="1" xfId="0" applyNumberFormat="1" applyFont="1" applyFill="1" applyBorder="1" applyAlignment="1">
      <alignment horizontal="center" wrapText="1"/>
    </xf>
    <xf numFmtId="164" fontId="0" fillId="4" borderId="1" xfId="0" applyNumberFormat="1" applyFont="1" applyFill="1" applyBorder="1" applyAlignment="1">
      <alignment horizontal="center" wrapText="1"/>
    </xf>
    <xf numFmtId="164" fontId="4" fillId="0" borderId="0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 wrapText="1"/>
    </xf>
    <xf numFmtId="49" fontId="11" fillId="0" borderId="1" xfId="0" applyNumberFormat="1" applyFont="1" applyFill="1" applyBorder="1" applyAlignment="1">
      <alignment horizontal="center"/>
    </xf>
    <xf numFmtId="164" fontId="4" fillId="4" borderId="0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165" fontId="19" fillId="0" borderId="0" xfId="0" applyNumberFormat="1" applyFont="1" applyFill="1" applyAlignment="1">
      <alignment horizontal="center" wrapText="1"/>
    </xf>
    <xf numFmtId="0" fontId="43" fillId="4" borderId="0" xfId="0" applyFont="1" applyFill="1" applyAlignment="1">
      <alignment wrapText="1"/>
    </xf>
    <xf numFmtId="0" fontId="44" fillId="4" borderId="0" xfId="0" applyFont="1" applyFill="1" applyAlignment="1">
      <alignment wrapText="1"/>
    </xf>
    <xf numFmtId="49" fontId="45" fillId="2" borderId="1" xfId="0" applyNumberFormat="1" applyFont="1" applyFill="1" applyBorder="1" applyAlignment="1">
      <alignment horizontal="center"/>
    </xf>
    <xf numFmtId="49" fontId="22" fillId="3" borderId="1" xfId="0" applyNumberFormat="1" applyFont="1" applyFill="1" applyBorder="1" applyAlignment="1">
      <alignment horizontal="center" wrapText="1"/>
    </xf>
    <xf numFmtId="49" fontId="45" fillId="3" borderId="1" xfId="0" applyNumberFormat="1" applyFont="1" applyFill="1" applyBorder="1" applyAlignment="1">
      <alignment horizontal="center"/>
    </xf>
    <xf numFmtId="164" fontId="22" fillId="3" borderId="1" xfId="0" applyNumberFormat="1" applyFont="1" applyFill="1" applyBorder="1" applyAlignment="1">
      <alignment horizontal="center" wrapText="1"/>
    </xf>
    <xf numFmtId="0" fontId="22" fillId="3" borderId="0" xfId="0" applyFont="1" applyFill="1" applyAlignment="1">
      <alignment wrapText="1"/>
    </xf>
    <xf numFmtId="0" fontId="44" fillId="3" borderId="1" xfId="0" applyFont="1" applyFill="1" applyBorder="1" applyAlignment="1">
      <alignment horizontal="right" wrapText="1"/>
    </xf>
    <xf numFmtId="49" fontId="44" fillId="3" borderId="1" xfId="0" applyNumberFormat="1" applyFont="1" applyFill="1" applyBorder="1" applyAlignment="1">
      <alignment horizontal="center" wrapText="1"/>
    </xf>
    <xf numFmtId="0" fontId="43" fillId="3" borderId="1" xfId="0" applyFont="1" applyFill="1" applyBorder="1" applyAlignment="1">
      <alignment horizontal="right" wrapText="1"/>
    </xf>
    <xf numFmtId="49" fontId="43" fillId="3" borderId="1" xfId="0" applyNumberFormat="1" applyFont="1" applyFill="1" applyBorder="1" applyAlignment="1">
      <alignment horizontal="center" wrapText="1"/>
    </xf>
    <xf numFmtId="0" fontId="44" fillId="3" borderId="0" xfId="0" applyFont="1" applyFill="1" applyAlignment="1">
      <alignment wrapText="1"/>
    </xf>
    <xf numFmtId="0" fontId="43" fillId="3" borderId="0" xfId="0" applyFont="1" applyFill="1" applyAlignment="1">
      <alignment wrapText="1"/>
    </xf>
    <xf numFmtId="1" fontId="35" fillId="0" borderId="1" xfId="0" applyNumberFormat="1" applyFont="1" applyFill="1" applyBorder="1" applyAlignment="1">
      <alignment horizontal="center" wrapText="1"/>
    </xf>
    <xf numFmtId="0" fontId="35" fillId="0" borderId="0" xfId="0" applyFont="1" applyFill="1" applyAlignment="1">
      <alignment horizontal="center" wrapText="1"/>
    </xf>
    <xf numFmtId="0" fontId="46" fillId="0" borderId="0" xfId="0" applyFont="1" applyFill="1" applyAlignment="1">
      <alignment wrapText="1"/>
    </xf>
    <xf numFmtId="0" fontId="46" fillId="0" borderId="0" xfId="0" applyFont="1" applyFill="1" applyAlignment="1">
      <alignment horizontal="right" wrapText="1"/>
    </xf>
    <xf numFmtId="0" fontId="46" fillId="3" borderId="0" xfId="0" applyFont="1" applyFill="1" applyAlignment="1">
      <alignment wrapText="1"/>
    </xf>
    <xf numFmtId="164" fontId="43" fillId="0" borderId="1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49" fontId="0" fillId="0" borderId="1" xfId="0" applyNumberFormat="1" applyFont="1" applyFill="1" applyBorder="1" applyAlignment="1">
      <alignment horizontal="right" wrapText="1"/>
    </xf>
    <xf numFmtId="43" fontId="4" fillId="0" borderId="1" xfId="2" applyFont="1" applyFill="1" applyBorder="1" applyAlignment="1">
      <alignment horizontal="center" wrapText="1"/>
    </xf>
    <xf numFmtId="164" fontId="4" fillId="0" borderId="0" xfId="0" applyNumberFormat="1" applyFont="1" applyFill="1" applyAlignment="1">
      <alignment horizontal="left" wrapText="1"/>
    </xf>
    <xf numFmtId="164" fontId="9" fillId="0" borderId="0" xfId="0" applyNumberFormat="1" applyFont="1" applyFill="1" applyAlignment="1">
      <alignment wrapText="1"/>
    </xf>
    <xf numFmtId="0" fontId="0" fillId="4" borderId="1" xfId="0" applyFont="1" applyFill="1" applyBorder="1" applyAlignment="1">
      <alignment wrapText="1"/>
    </xf>
    <xf numFmtId="0" fontId="0" fillId="4" borderId="1" xfId="0" applyFont="1" applyFill="1" applyBorder="1" applyAlignment="1">
      <alignment horizontal="right" wrapText="1"/>
    </xf>
    <xf numFmtId="49" fontId="0" fillId="4" borderId="1" xfId="0" applyNumberFormat="1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right" wrapText="1"/>
    </xf>
    <xf numFmtId="49" fontId="14" fillId="4" borderId="1" xfId="0" applyNumberFormat="1" applyFont="1" applyFill="1" applyBorder="1" applyAlignment="1">
      <alignment horizontal="center" wrapText="1"/>
    </xf>
    <xf numFmtId="170" fontId="4" fillId="0" borderId="1" xfId="2" applyNumberFormat="1" applyFont="1" applyFill="1" applyBorder="1" applyAlignment="1">
      <alignment horizontal="center" wrapText="1"/>
    </xf>
    <xf numFmtId="0" fontId="14" fillId="4" borderId="1" xfId="0" applyFont="1" applyFill="1" applyBorder="1" applyAlignment="1">
      <alignment wrapText="1"/>
    </xf>
    <xf numFmtId="49" fontId="13" fillId="4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 wrapText="1"/>
    </xf>
    <xf numFmtId="164" fontId="2" fillId="4" borderId="1" xfId="0" applyNumberFormat="1" applyFont="1" applyFill="1" applyBorder="1" applyAlignment="1">
      <alignment horizontal="center" wrapText="1"/>
    </xf>
    <xf numFmtId="0" fontId="19" fillId="4" borderId="0" xfId="0" applyFont="1" applyFill="1" applyAlignment="1">
      <alignment wrapText="1"/>
    </xf>
    <xf numFmtId="0" fontId="42" fillId="4" borderId="0" xfId="0" applyFont="1" applyFill="1" applyAlignment="1">
      <alignment wrapText="1"/>
    </xf>
    <xf numFmtId="0" fontId="13" fillId="4" borderId="1" xfId="0" applyNumberFormat="1" applyFont="1" applyFill="1" applyBorder="1" applyAlignment="1">
      <alignment horizontal="right" wrapText="1"/>
    </xf>
    <xf numFmtId="169" fontId="16" fillId="0" borderId="1" xfId="2" applyNumberFormat="1" applyFont="1" applyFill="1" applyBorder="1" applyAlignment="1">
      <alignment horizontal="center" wrapText="1"/>
    </xf>
    <xf numFmtId="171" fontId="16" fillId="2" borderId="1" xfId="2" applyNumberFormat="1" applyFont="1" applyFill="1" applyBorder="1" applyAlignment="1">
      <alignment horizontal="center" wrapText="1"/>
    </xf>
    <xf numFmtId="164" fontId="4" fillId="3" borderId="0" xfId="0" applyNumberFormat="1" applyFont="1" applyFill="1" applyAlignment="1">
      <alignment horizontal="left" wrapText="1"/>
    </xf>
    <xf numFmtId="164" fontId="0" fillId="3" borderId="0" xfId="0" applyNumberFormat="1" applyFont="1" applyFill="1" applyAlignment="1">
      <alignment horizontal="left" wrapText="1"/>
    </xf>
    <xf numFmtId="164" fontId="14" fillId="3" borderId="0" xfId="0" applyNumberFormat="1" applyFont="1" applyFill="1" applyAlignment="1">
      <alignment horizontal="left" wrapText="1"/>
    </xf>
    <xf numFmtId="0" fontId="0" fillId="0" borderId="0" xfId="0" applyFont="1" applyFill="1" applyAlignment="1">
      <alignment horizontal="center" wrapText="1"/>
    </xf>
    <xf numFmtId="164" fontId="0" fillId="0" borderId="0" xfId="0" applyNumberFormat="1" applyFont="1" applyFill="1" applyAlignment="1">
      <alignment horizontal="left" wrapText="1"/>
    </xf>
    <xf numFmtId="164" fontId="14" fillId="0" borderId="0" xfId="0" applyNumberFormat="1" applyFont="1" applyFill="1" applyAlignment="1">
      <alignment horizontal="left" wrapText="1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right" wrapText="1"/>
    </xf>
    <xf numFmtId="0" fontId="13" fillId="4" borderId="1" xfId="0" applyNumberFormat="1" applyFont="1" applyFill="1" applyBorder="1" applyAlignment="1">
      <alignment wrapText="1"/>
    </xf>
    <xf numFmtId="0" fontId="13" fillId="4" borderId="1" xfId="0" applyNumberFormat="1" applyFont="1" applyFill="1" applyBorder="1" applyAlignment="1">
      <alignment vertical="top" wrapText="1"/>
    </xf>
    <xf numFmtId="0" fontId="6" fillId="4" borderId="1" xfId="0" applyFont="1" applyFill="1" applyBorder="1" applyAlignment="1">
      <alignment horizontal="right" wrapText="1"/>
    </xf>
    <xf numFmtId="49" fontId="6" fillId="4" borderId="1" xfId="0" applyNumberFormat="1" applyFont="1" applyFill="1" applyBorder="1" applyAlignment="1">
      <alignment horizontal="center" wrapText="1"/>
    </xf>
    <xf numFmtId="0" fontId="0" fillId="4" borderId="1" xfId="0" applyFill="1" applyBorder="1" applyAlignment="1">
      <alignment wrapText="1"/>
    </xf>
    <xf numFmtId="0" fontId="7" fillId="4" borderId="1" xfId="0" applyFont="1" applyFill="1" applyBorder="1" applyAlignment="1">
      <alignment horizontal="right" wrapText="1"/>
    </xf>
    <xf numFmtId="0" fontId="0" fillId="0" borderId="0" xfId="0" applyFont="1" applyFill="1" applyAlignment="1">
      <alignment horizontal="right" wrapText="1"/>
    </xf>
    <xf numFmtId="0" fontId="12" fillId="0" borderId="0" xfId="0" applyFont="1" applyFill="1" applyAlignment="1">
      <alignment horizontal="right" wrapText="1"/>
    </xf>
    <xf numFmtId="1" fontId="3" fillId="0" borderId="2" xfId="0" applyNumberFormat="1" applyFont="1" applyFill="1" applyBorder="1" applyAlignment="1">
      <alignment horizontal="center" wrapText="1"/>
    </xf>
    <xf numFmtId="1" fontId="3" fillId="0" borderId="3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8" fillId="0" borderId="2" xfId="0" applyFont="1" applyFill="1" applyBorder="1" applyAlignment="1">
      <alignment horizontal="center" textRotation="90" wrapText="1"/>
    </xf>
    <xf numFmtId="0" fontId="8" fillId="0" borderId="3" xfId="0" applyFont="1" applyFill="1" applyBorder="1" applyAlignment="1">
      <alignment horizontal="center" textRotation="90" wrapText="1"/>
    </xf>
    <xf numFmtId="0" fontId="41" fillId="0" borderId="0" xfId="0" applyFont="1" applyFill="1" applyAlignment="1">
      <alignment horizontal="right" wrapText="1"/>
    </xf>
    <xf numFmtId="0" fontId="12" fillId="0" borderId="0" xfId="0" applyNumberFormat="1" applyFont="1" applyFill="1" applyAlignment="1">
      <alignment horizontal="center" wrapText="1"/>
    </xf>
    <xf numFmtId="49" fontId="46" fillId="0" borderId="4" xfId="0" applyNumberFormat="1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12" fillId="0" borderId="0" xfId="0" applyNumberFormat="1" applyFont="1" applyFill="1" applyAlignment="1">
      <alignment horizontal="center" vertical="top" wrapText="1"/>
    </xf>
    <xf numFmtId="0" fontId="37" fillId="0" borderId="0" xfId="0" applyNumberFormat="1" applyFont="1" applyFill="1" applyBorder="1" applyAlignment="1">
      <alignment horizontal="right" vertical="top" wrapText="1"/>
    </xf>
    <xf numFmtId="0" fontId="37" fillId="0" borderId="4" xfId="0" applyNumberFormat="1" applyFont="1" applyFill="1" applyBorder="1" applyAlignment="1">
      <alignment horizontal="right" vertical="top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73;&#1097;&#1080;&#1077;/&#1056;&#1045;&#1064;&#1045;&#1053;&#1048;&#1071;%20&#1043;&#1054;&#1056;&#1057;&#1054;&#1042;&#1045;&#1058;&#1040;%20&#1053;&#1040;&#1056;&#1054;&#1044;&#1053;&#1067;&#1061;%20&#1044;&#1045;&#1055;&#1059;&#1058;&#1040;&#1058;&#1054;&#1042;/&#1048;&#1079;&#1084;&#1077;&#1085;&#1077;&#1085;&#1080;&#1103;%202018/&#1048;&#1079;&#1084;&#1077;&#1085;&#1077;&#1085;&#1080;&#1103;%20&#1089;&#1077;&#1085;&#1090;&#1103;&#1073;&#1088;&#1100;%202018/&#1087;&#1088;.%205%20&#1082;%20&#1088;&#1077;&#1096;&#1077;&#1085;&#1080;&#1102;%20-%20&#1088;&#1072;&#1089;&#1093;&#1086;&#1076;&#1099;%20&#1087;&#1086;%20&#1074;&#1077;&#1076;%20&#1089;&#1090;&#1088;&#1091;&#1082;&#1090;%20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ый"/>
      <sheetName val="первоначальный 1 в снд"/>
      <sheetName val="перечень ПНО"/>
    </sheetNames>
    <sheetDataSet>
      <sheetData sheetId="0" refreshError="1">
        <row r="603">
          <cell r="G603">
            <v>2507048.4</v>
          </cell>
          <cell r="H603">
            <v>2241776.2000000002</v>
          </cell>
          <cell r="I603">
            <v>2211321.6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18"/>
  <sheetViews>
    <sheetView tabSelected="1" topLeftCell="A11" zoomScaleNormal="100" workbookViewId="0">
      <pane xSplit="3" ySplit="3" topLeftCell="D33" activePane="bottomRight" state="frozen"/>
      <selection activeCell="A11" sqref="A11"/>
      <selection pane="topRight" activeCell="D11" sqref="D11"/>
      <selection pane="bottomLeft" activeCell="A14" sqref="A14"/>
      <selection pane="bottomRight" activeCell="G40" sqref="G40"/>
    </sheetView>
  </sheetViews>
  <sheetFormatPr defaultColWidth="9.140625" defaultRowHeight="12.75" x14ac:dyDescent="0.2"/>
  <cols>
    <col min="1" max="1" width="53.5703125" style="194" customWidth="1"/>
    <col min="2" max="2" width="6.28515625" style="194" customWidth="1"/>
    <col min="3" max="3" width="4.85546875" style="242" customWidth="1"/>
    <col min="4" max="4" width="6.140625" style="242" customWidth="1"/>
    <col min="5" max="5" width="15.42578125" style="242" customWidth="1"/>
    <col min="6" max="6" width="5.85546875" style="242" customWidth="1"/>
    <col min="7" max="7" width="19.7109375" style="242" customWidth="1"/>
    <col min="8" max="8" width="17.85546875" style="242" customWidth="1"/>
    <col min="9" max="9" width="16.28515625" style="242" customWidth="1"/>
    <col min="10" max="10" width="0.28515625" style="72" hidden="1" customWidth="1"/>
    <col min="11" max="17" width="9.140625" style="72" hidden="1" customWidth="1"/>
    <col min="18" max="18" width="9.140625" style="194"/>
    <col min="19" max="19" width="11.5703125" style="194" bestFit="1" customWidth="1"/>
    <col min="20" max="20" width="9.5703125" style="194" bestFit="1" customWidth="1"/>
    <col min="21" max="16384" width="9.140625" style="194"/>
  </cols>
  <sheetData>
    <row r="1" spans="1:20" ht="18.75" x14ac:dyDescent="0.3">
      <c r="A1" s="254" t="s">
        <v>347</v>
      </c>
      <c r="B1" s="254"/>
      <c r="C1" s="254"/>
      <c r="D1" s="254"/>
      <c r="E1" s="254"/>
      <c r="F1" s="254"/>
      <c r="G1" s="254"/>
      <c r="H1" s="254"/>
      <c r="I1" s="254"/>
    </row>
    <row r="2" spans="1:20" ht="18.75" x14ac:dyDescent="0.3">
      <c r="A2" s="254" t="s">
        <v>75</v>
      </c>
      <c r="B2" s="254"/>
      <c r="C2" s="254"/>
      <c r="D2" s="254"/>
      <c r="E2" s="254"/>
      <c r="F2" s="254"/>
      <c r="G2" s="254"/>
      <c r="H2" s="254"/>
      <c r="I2" s="254"/>
    </row>
    <row r="3" spans="1:20" ht="18.75" x14ac:dyDescent="0.3">
      <c r="A3" s="254" t="s">
        <v>666</v>
      </c>
      <c r="B3" s="254"/>
      <c r="C3" s="254"/>
      <c r="D3" s="254"/>
      <c r="E3" s="254"/>
      <c r="F3" s="254"/>
      <c r="G3" s="254"/>
      <c r="H3" s="254"/>
      <c r="I3" s="254"/>
    </row>
    <row r="4" spans="1:20" ht="16.5" customHeight="1" x14ac:dyDescent="0.2">
      <c r="A4" s="253"/>
      <c r="B4" s="253"/>
      <c r="C4" s="253"/>
      <c r="D4" s="253"/>
      <c r="E4" s="253"/>
      <c r="F4" s="253"/>
      <c r="G4" s="253"/>
      <c r="H4" s="253"/>
      <c r="I4" s="253"/>
    </row>
    <row r="5" spans="1:20" x14ac:dyDescent="0.2">
      <c r="A5" s="260" t="s">
        <v>80</v>
      </c>
      <c r="B5" s="260"/>
      <c r="C5" s="260"/>
      <c r="D5" s="260"/>
      <c r="E5" s="260"/>
      <c r="F5" s="260"/>
      <c r="G5" s="260"/>
      <c r="H5" s="260"/>
      <c r="I5" s="260"/>
    </row>
    <row r="6" spans="1:20" x14ac:dyDescent="0.2">
      <c r="A6" s="260" t="s">
        <v>75</v>
      </c>
      <c r="B6" s="260"/>
      <c r="C6" s="260"/>
      <c r="D6" s="260"/>
      <c r="E6" s="260"/>
      <c r="F6" s="260"/>
      <c r="G6" s="260"/>
      <c r="H6" s="260"/>
      <c r="I6" s="260"/>
    </row>
    <row r="7" spans="1:20" x14ac:dyDescent="0.2">
      <c r="A7" s="260" t="s">
        <v>664</v>
      </c>
      <c r="B7" s="260"/>
      <c r="C7" s="260"/>
      <c r="D7" s="260"/>
      <c r="E7" s="260"/>
      <c r="F7" s="260"/>
      <c r="G7" s="260"/>
      <c r="H7" s="260"/>
      <c r="I7" s="260"/>
    </row>
    <row r="8" spans="1:20" ht="5.25" customHeight="1" x14ac:dyDescent="0.2"/>
    <row r="9" spans="1:20" s="109" customFormat="1" ht="57.75" customHeight="1" x14ac:dyDescent="0.3">
      <c r="A9" s="261" t="s">
        <v>581</v>
      </c>
      <c r="B9" s="261"/>
      <c r="C9" s="261"/>
      <c r="D9" s="261"/>
      <c r="E9" s="261"/>
      <c r="F9" s="261"/>
      <c r="G9" s="261"/>
      <c r="H9" s="261"/>
      <c r="I9" s="261"/>
      <c r="J9" s="97"/>
      <c r="K9" s="97"/>
      <c r="L9" s="97"/>
      <c r="M9" s="97"/>
      <c r="N9" s="97"/>
      <c r="O9" s="97"/>
      <c r="P9" s="97"/>
      <c r="Q9" s="97"/>
    </row>
    <row r="10" spans="1:20" s="215" customFormat="1" ht="25.5" customHeight="1" thickBot="1" x14ac:dyDescent="0.25">
      <c r="A10" s="262"/>
      <c r="B10" s="262"/>
      <c r="C10" s="262"/>
      <c r="D10" s="262"/>
      <c r="E10" s="262"/>
      <c r="F10" s="262"/>
      <c r="G10" s="262"/>
      <c r="I10" s="216" t="s">
        <v>59</v>
      </c>
      <c r="J10" s="217"/>
      <c r="K10" s="217"/>
      <c r="L10" s="217"/>
      <c r="M10" s="217"/>
      <c r="N10" s="217"/>
      <c r="O10" s="217"/>
      <c r="P10" s="217"/>
      <c r="Q10" s="217"/>
    </row>
    <row r="11" spans="1:20" ht="13.5" customHeight="1" x14ac:dyDescent="0.2">
      <c r="A11" s="263"/>
      <c r="B11" s="258" t="s">
        <v>56</v>
      </c>
      <c r="C11" s="258" t="s">
        <v>6</v>
      </c>
      <c r="D11" s="258" t="s">
        <v>7</v>
      </c>
      <c r="E11" s="258" t="s">
        <v>8</v>
      </c>
      <c r="F11" s="258" t="s">
        <v>9</v>
      </c>
      <c r="G11" s="255" t="s">
        <v>299</v>
      </c>
      <c r="H11" s="255" t="s">
        <v>324</v>
      </c>
      <c r="I11" s="255" t="s">
        <v>582</v>
      </c>
    </row>
    <row r="12" spans="1:20" ht="30" customHeight="1" x14ac:dyDescent="0.2">
      <c r="A12" s="264"/>
      <c r="B12" s="259"/>
      <c r="C12" s="259"/>
      <c r="D12" s="259"/>
      <c r="E12" s="259"/>
      <c r="F12" s="259"/>
      <c r="G12" s="256"/>
      <c r="H12" s="256"/>
      <c r="I12" s="256"/>
    </row>
    <row r="13" spans="1:20" s="214" customFormat="1" ht="11.25" x14ac:dyDescent="0.2">
      <c r="A13" s="159">
        <v>1</v>
      </c>
      <c r="B13" s="159">
        <v>2</v>
      </c>
      <c r="C13" s="159">
        <v>3</v>
      </c>
      <c r="D13" s="159">
        <v>4</v>
      </c>
      <c r="E13" s="159">
        <v>5</v>
      </c>
      <c r="F13" s="159">
        <v>6</v>
      </c>
      <c r="G13" s="213">
        <v>7</v>
      </c>
      <c r="H13" s="213">
        <v>8</v>
      </c>
      <c r="I13" s="213">
        <v>9</v>
      </c>
    </row>
    <row r="14" spans="1:20" s="10" customFormat="1" ht="18" customHeight="1" x14ac:dyDescent="0.2">
      <c r="A14" s="35" t="s">
        <v>42</v>
      </c>
      <c r="B14" s="36">
        <v>900</v>
      </c>
      <c r="C14" s="37"/>
      <c r="D14" s="37"/>
      <c r="E14" s="37"/>
      <c r="F14" s="47"/>
      <c r="G14" s="38">
        <f>G15+G75+G91+G110+G114+G139+G85+G143+G135</f>
        <v>709338.33225999994</v>
      </c>
      <c r="H14" s="38">
        <f>H15+H75+H91+H110+H114+H139+H85+H143+H135</f>
        <v>589555.76</v>
      </c>
      <c r="I14" s="38">
        <f>I15+I75+I91+I110+I114+I139+I85+I143+I135</f>
        <v>867363.03200000001</v>
      </c>
      <c r="T14" s="222"/>
    </row>
    <row r="15" spans="1:20" s="62" customFormat="1" x14ac:dyDescent="0.2">
      <c r="A15" s="56" t="s">
        <v>57</v>
      </c>
      <c r="B15" s="57">
        <v>900</v>
      </c>
      <c r="C15" s="58" t="s">
        <v>10</v>
      </c>
      <c r="D15" s="59"/>
      <c r="E15" s="59"/>
      <c r="F15" s="60"/>
      <c r="G15" s="61">
        <f>G16+G19+G41+G38+G35</f>
        <v>112316.41516000002</v>
      </c>
      <c r="H15" s="61">
        <f>H16+H19+H41+H38+H35</f>
        <v>84857.799999999988</v>
      </c>
      <c r="I15" s="61">
        <f>I16+I19+I41+I38+I35</f>
        <v>82725.600000000006</v>
      </c>
    </row>
    <row r="16" spans="1:20" s="67" customFormat="1" ht="38.25" x14ac:dyDescent="0.2">
      <c r="A16" s="63" t="s">
        <v>11</v>
      </c>
      <c r="B16" s="64">
        <v>900</v>
      </c>
      <c r="C16" s="65" t="s">
        <v>10</v>
      </c>
      <c r="D16" s="65" t="s">
        <v>12</v>
      </c>
      <c r="E16" s="65"/>
      <c r="F16" s="65"/>
      <c r="G16" s="66">
        <f t="shared" ref="G16:I16" si="0">G17</f>
        <v>2391.9</v>
      </c>
      <c r="H16" s="66">
        <f t="shared" si="0"/>
        <v>2191.9</v>
      </c>
      <c r="I16" s="66">
        <f t="shared" si="0"/>
        <v>2191.9</v>
      </c>
    </row>
    <row r="17" spans="1:17" ht="25.5" x14ac:dyDescent="0.2">
      <c r="A17" s="18" t="s">
        <v>282</v>
      </c>
      <c r="B17" s="22">
        <v>900</v>
      </c>
      <c r="C17" s="19" t="s">
        <v>10</v>
      </c>
      <c r="D17" s="19" t="s">
        <v>12</v>
      </c>
      <c r="E17" s="19" t="s">
        <v>120</v>
      </c>
      <c r="F17" s="19"/>
      <c r="G17" s="20">
        <f>+G18</f>
        <v>2391.9</v>
      </c>
      <c r="H17" s="20">
        <f t="shared" ref="H17:I17" si="1">+H18</f>
        <v>2191.9</v>
      </c>
      <c r="I17" s="20">
        <f t="shared" si="1"/>
        <v>2191.9</v>
      </c>
      <c r="J17" s="101"/>
      <c r="K17" s="101"/>
      <c r="L17" s="101"/>
      <c r="M17" s="101"/>
      <c r="N17" s="101"/>
      <c r="O17" s="101"/>
      <c r="P17" s="101"/>
      <c r="Q17" s="101"/>
    </row>
    <row r="18" spans="1:17" s="26" customFormat="1" ht="51.75" customHeight="1" x14ac:dyDescent="0.2">
      <c r="A18" s="30" t="s">
        <v>63</v>
      </c>
      <c r="B18" s="32">
        <v>900</v>
      </c>
      <c r="C18" s="24" t="s">
        <v>10</v>
      </c>
      <c r="D18" s="24" t="s">
        <v>12</v>
      </c>
      <c r="E18" s="24" t="s">
        <v>120</v>
      </c>
      <c r="F18" s="27" t="s">
        <v>64</v>
      </c>
      <c r="G18" s="25">
        <v>2391.9</v>
      </c>
      <c r="H18" s="25">
        <f>1683.5+508.4</f>
        <v>2191.9</v>
      </c>
      <c r="I18" s="25">
        <f>1683.5+508.4</f>
        <v>2191.9</v>
      </c>
      <c r="J18" s="102"/>
      <c r="K18" s="102"/>
      <c r="L18" s="102"/>
      <c r="M18" s="102"/>
      <c r="N18" s="102"/>
      <c r="O18" s="102"/>
      <c r="P18" s="102"/>
      <c r="Q18" s="102"/>
    </row>
    <row r="19" spans="1:17" s="67" customFormat="1" ht="51" x14ac:dyDescent="0.2">
      <c r="A19" s="63" t="s">
        <v>15</v>
      </c>
      <c r="B19" s="64">
        <v>900</v>
      </c>
      <c r="C19" s="65" t="s">
        <v>10</v>
      </c>
      <c r="D19" s="65" t="s">
        <v>16</v>
      </c>
      <c r="E19" s="65"/>
      <c r="F19" s="65"/>
      <c r="G19" s="66">
        <f>G20+G23+G26+G32+G30</f>
        <v>60873.8</v>
      </c>
      <c r="H19" s="66">
        <f>H20+H23+H26+H32+H30</f>
        <v>43167.5</v>
      </c>
      <c r="I19" s="66">
        <f>I20+I23+I26+I32+I30</f>
        <v>41924.1</v>
      </c>
    </row>
    <row r="20" spans="1:17" s="21" customFormat="1" ht="25.5" x14ac:dyDescent="0.2">
      <c r="A20" s="18" t="s">
        <v>121</v>
      </c>
      <c r="B20" s="22">
        <v>900</v>
      </c>
      <c r="C20" s="19" t="s">
        <v>10</v>
      </c>
      <c r="D20" s="19" t="s">
        <v>16</v>
      </c>
      <c r="E20" s="19" t="s">
        <v>84</v>
      </c>
      <c r="F20" s="19"/>
      <c r="G20" s="20">
        <f>G21+G22</f>
        <v>486.20000000000005</v>
      </c>
      <c r="H20" s="20">
        <f>H21+H22</f>
        <v>486.20000000000005</v>
      </c>
      <c r="I20" s="20">
        <f>I21+I22</f>
        <v>486.20000000000005</v>
      </c>
    </row>
    <row r="21" spans="1:17" s="26" customFormat="1" ht="52.5" customHeight="1" x14ac:dyDescent="0.2">
      <c r="A21" s="23" t="s">
        <v>63</v>
      </c>
      <c r="B21" s="31">
        <v>900</v>
      </c>
      <c r="C21" s="24" t="s">
        <v>10</v>
      </c>
      <c r="D21" s="24" t="s">
        <v>16</v>
      </c>
      <c r="E21" s="24" t="s">
        <v>84</v>
      </c>
      <c r="F21" s="27" t="s">
        <v>64</v>
      </c>
      <c r="G21" s="25">
        <f>351.1+106</f>
        <v>457.1</v>
      </c>
      <c r="H21" s="25">
        <f>351.1+106</f>
        <v>457.1</v>
      </c>
      <c r="I21" s="25">
        <f>351.1+106</f>
        <v>457.1</v>
      </c>
    </row>
    <row r="22" spans="1:17" s="26" customFormat="1" ht="25.5" x14ac:dyDescent="0.2">
      <c r="A22" s="23" t="s">
        <v>114</v>
      </c>
      <c r="B22" s="31">
        <v>900</v>
      </c>
      <c r="C22" s="24" t="s">
        <v>10</v>
      </c>
      <c r="D22" s="24" t="s">
        <v>16</v>
      </c>
      <c r="E22" s="24" t="s">
        <v>84</v>
      </c>
      <c r="F22" s="27" t="s">
        <v>65</v>
      </c>
      <c r="G22" s="25">
        <v>29.1</v>
      </c>
      <c r="H22" s="25">
        <v>29.1</v>
      </c>
      <c r="I22" s="25">
        <v>29.1</v>
      </c>
    </row>
    <row r="23" spans="1:17" s="72" customFormat="1" ht="15" customHeight="1" x14ac:dyDescent="0.2">
      <c r="A23" s="68" t="s">
        <v>122</v>
      </c>
      <c r="B23" s="69">
        <v>900</v>
      </c>
      <c r="C23" s="70" t="s">
        <v>10</v>
      </c>
      <c r="D23" s="70" t="s">
        <v>16</v>
      </c>
      <c r="E23" s="70" t="s">
        <v>83</v>
      </c>
      <c r="F23" s="70"/>
      <c r="G23" s="71">
        <f>G24+G25</f>
        <v>115.00000000000001</v>
      </c>
      <c r="H23" s="71">
        <f>H24+H25</f>
        <v>115.00000000000001</v>
      </c>
      <c r="I23" s="71">
        <f>I24+I25</f>
        <v>115.00000000000001</v>
      </c>
    </row>
    <row r="24" spans="1:17" s="77" customFormat="1" ht="51.75" customHeight="1" x14ac:dyDescent="0.2">
      <c r="A24" s="78" t="s">
        <v>63</v>
      </c>
      <c r="B24" s="79">
        <v>900</v>
      </c>
      <c r="C24" s="75" t="s">
        <v>10</v>
      </c>
      <c r="D24" s="75" t="s">
        <v>16</v>
      </c>
      <c r="E24" s="75" t="s">
        <v>83</v>
      </c>
      <c r="F24" s="76" t="s">
        <v>64</v>
      </c>
      <c r="G24" s="55">
        <f>86.9+26.2</f>
        <v>113.10000000000001</v>
      </c>
      <c r="H24" s="55">
        <f>86.9+26.2</f>
        <v>113.10000000000001</v>
      </c>
      <c r="I24" s="55">
        <f>86.9+26.2</f>
        <v>113.10000000000001</v>
      </c>
    </row>
    <row r="25" spans="1:17" s="77" customFormat="1" ht="25.5" x14ac:dyDescent="0.2">
      <c r="A25" s="78" t="s">
        <v>114</v>
      </c>
      <c r="B25" s="79">
        <v>900</v>
      </c>
      <c r="C25" s="75" t="s">
        <v>10</v>
      </c>
      <c r="D25" s="75" t="s">
        <v>16</v>
      </c>
      <c r="E25" s="75" t="s">
        <v>83</v>
      </c>
      <c r="F25" s="76" t="s">
        <v>65</v>
      </c>
      <c r="G25" s="55">
        <v>1.9</v>
      </c>
      <c r="H25" s="55">
        <v>1.9</v>
      </c>
      <c r="I25" s="55">
        <v>1.9</v>
      </c>
    </row>
    <row r="26" spans="1:17" ht="25.5" x14ac:dyDescent="0.2">
      <c r="A26" s="18" t="s">
        <v>282</v>
      </c>
      <c r="B26" s="22">
        <v>900</v>
      </c>
      <c r="C26" s="19" t="s">
        <v>10</v>
      </c>
      <c r="D26" s="19" t="s">
        <v>16</v>
      </c>
      <c r="E26" s="19" t="s">
        <v>123</v>
      </c>
      <c r="F26" s="19"/>
      <c r="G26" s="20">
        <f>SUM(G27:G29)</f>
        <v>57575.8</v>
      </c>
      <c r="H26" s="20">
        <f>SUM(H27:H29)</f>
        <v>41484.300000000003</v>
      </c>
      <c r="I26" s="20">
        <f>SUM(I27:I29)</f>
        <v>40240.9</v>
      </c>
      <c r="J26" s="101"/>
      <c r="K26" s="101"/>
      <c r="L26" s="101"/>
      <c r="M26" s="101"/>
      <c r="N26" s="101"/>
      <c r="O26" s="101"/>
      <c r="P26" s="101"/>
      <c r="Q26" s="101"/>
    </row>
    <row r="27" spans="1:17" s="26" customFormat="1" ht="51" customHeight="1" x14ac:dyDescent="0.2">
      <c r="A27" s="30" t="s">
        <v>63</v>
      </c>
      <c r="B27" s="32">
        <v>900</v>
      </c>
      <c r="C27" s="24" t="s">
        <v>10</v>
      </c>
      <c r="D27" s="24" t="s">
        <v>16</v>
      </c>
      <c r="E27" s="24" t="s">
        <v>123</v>
      </c>
      <c r="F27" s="27" t="s">
        <v>64</v>
      </c>
      <c r="G27" s="25">
        <f>41179.3-1471.8+303-498.1</f>
        <v>39512.400000000001</v>
      </c>
      <c r="H27" s="25">
        <f>40832.3-2056.8+447.1-1070.2</f>
        <v>38152.400000000001</v>
      </c>
      <c r="I27" s="25">
        <f>40832.3-2056.8+447.1-1070.2</f>
        <v>38152.400000000001</v>
      </c>
      <c r="J27" s="102"/>
      <c r="K27" s="102"/>
      <c r="L27" s="102"/>
      <c r="M27" s="102"/>
      <c r="N27" s="102"/>
      <c r="O27" s="102"/>
      <c r="P27" s="102"/>
      <c r="Q27" s="102"/>
    </row>
    <row r="28" spans="1:17" s="102" customFormat="1" ht="25.5" x14ac:dyDescent="0.2">
      <c r="A28" s="230" t="s">
        <v>73</v>
      </c>
      <c r="B28" s="236">
        <v>900</v>
      </c>
      <c r="C28" s="228" t="s">
        <v>10</v>
      </c>
      <c r="D28" s="228" t="s">
        <v>16</v>
      </c>
      <c r="E28" s="228" t="s">
        <v>123</v>
      </c>
      <c r="F28" s="231" t="s">
        <v>65</v>
      </c>
      <c r="G28" s="189">
        <f>13562.6+5821.2-112.3+85.4-1862.2-229.6-237.8+811.1-50</f>
        <v>17788.400000000001</v>
      </c>
      <c r="H28" s="189">
        <f>4258.6+940.5-1909.2</f>
        <v>3289.9000000000005</v>
      </c>
      <c r="I28" s="189">
        <f>3015.2+940.5-1909.2</f>
        <v>2046.4999999999998</v>
      </c>
    </row>
    <row r="29" spans="1:17" s="102" customFormat="1" x14ac:dyDescent="0.2">
      <c r="A29" s="230" t="s">
        <v>69</v>
      </c>
      <c r="B29" s="227">
        <v>900</v>
      </c>
      <c r="C29" s="228" t="s">
        <v>10</v>
      </c>
      <c r="D29" s="228" t="s">
        <v>16</v>
      </c>
      <c r="E29" s="228" t="s">
        <v>123</v>
      </c>
      <c r="F29" s="228" t="s">
        <v>70</v>
      </c>
      <c r="G29" s="189">
        <f>262-37+50</f>
        <v>275</v>
      </c>
      <c r="H29" s="189">
        <v>42</v>
      </c>
      <c r="I29" s="189">
        <v>42</v>
      </c>
    </row>
    <row r="30" spans="1:17" s="72" customFormat="1" ht="25.5" x14ac:dyDescent="0.2">
      <c r="A30" s="82" t="s">
        <v>137</v>
      </c>
      <c r="B30" s="82">
        <v>900</v>
      </c>
      <c r="C30" s="70" t="s">
        <v>10</v>
      </c>
      <c r="D30" s="70" t="s">
        <v>16</v>
      </c>
      <c r="E30" s="70" t="s">
        <v>136</v>
      </c>
      <c r="F30" s="83"/>
      <c r="G30" s="84">
        <f>G31</f>
        <v>300</v>
      </c>
      <c r="H30" s="84">
        <f>H31</f>
        <v>0</v>
      </c>
      <c r="I30" s="84">
        <f>I31</f>
        <v>0</v>
      </c>
    </row>
    <row r="31" spans="1:17" s="72" customFormat="1" ht="25.5" x14ac:dyDescent="0.2">
      <c r="A31" s="28" t="s">
        <v>73</v>
      </c>
      <c r="B31" s="80">
        <v>900</v>
      </c>
      <c r="C31" s="75" t="s">
        <v>10</v>
      </c>
      <c r="D31" s="75" t="s">
        <v>16</v>
      </c>
      <c r="E31" s="75" t="s">
        <v>136</v>
      </c>
      <c r="F31" s="75" t="s">
        <v>65</v>
      </c>
      <c r="G31" s="55">
        <v>300</v>
      </c>
      <c r="H31" s="55"/>
      <c r="I31" s="55"/>
    </row>
    <row r="32" spans="1:17" s="21" customFormat="1" ht="25.5" x14ac:dyDescent="0.2">
      <c r="A32" s="18" t="s">
        <v>282</v>
      </c>
      <c r="B32" s="22">
        <v>900</v>
      </c>
      <c r="C32" s="19" t="s">
        <v>10</v>
      </c>
      <c r="D32" s="19" t="s">
        <v>16</v>
      </c>
      <c r="E32" s="19" t="s">
        <v>124</v>
      </c>
      <c r="F32" s="19"/>
      <c r="G32" s="20">
        <f>G33+G34</f>
        <v>2396.8000000000006</v>
      </c>
      <c r="H32" s="20">
        <f>H33+H34</f>
        <v>1082.0000000000002</v>
      </c>
      <c r="I32" s="20">
        <f>I33+I34</f>
        <v>1082.0000000000002</v>
      </c>
      <c r="J32" s="101"/>
      <c r="K32" s="101"/>
      <c r="L32" s="101"/>
      <c r="M32" s="101"/>
      <c r="N32" s="101"/>
      <c r="O32" s="101"/>
      <c r="P32" s="101"/>
      <c r="Q32" s="101"/>
    </row>
    <row r="33" spans="1:17" s="26" customFormat="1" ht="52.5" customHeight="1" x14ac:dyDescent="0.2">
      <c r="A33" s="30" t="s">
        <v>63</v>
      </c>
      <c r="B33" s="32">
        <v>900</v>
      </c>
      <c r="C33" s="24" t="s">
        <v>10</v>
      </c>
      <c r="D33" s="24" t="s">
        <v>16</v>
      </c>
      <c r="E33" s="19" t="s">
        <v>124</v>
      </c>
      <c r="F33" s="27" t="s">
        <v>64</v>
      </c>
      <c r="G33" s="25">
        <f>3804.2+30+1157.9-3201.6+486.9</f>
        <v>2277.4000000000005</v>
      </c>
      <c r="H33" s="25">
        <f>3804.2+30+1157.9-4559.3+649.2</f>
        <v>1082.0000000000002</v>
      </c>
      <c r="I33" s="25">
        <f>3804.2+30+1157.9-4559.3+649.2</f>
        <v>1082.0000000000002</v>
      </c>
      <c r="J33" s="102"/>
      <c r="K33" s="102"/>
      <c r="L33" s="102"/>
      <c r="M33" s="102"/>
      <c r="N33" s="102"/>
      <c r="O33" s="102"/>
      <c r="P33" s="102"/>
      <c r="Q33" s="102"/>
    </row>
    <row r="34" spans="1:17" s="26" customFormat="1" ht="25.5" x14ac:dyDescent="0.2">
      <c r="A34" s="28" t="s">
        <v>73</v>
      </c>
      <c r="B34" s="32">
        <v>900</v>
      </c>
      <c r="C34" s="24" t="s">
        <v>10</v>
      </c>
      <c r="D34" s="24" t="s">
        <v>16</v>
      </c>
      <c r="E34" s="19" t="s">
        <v>124</v>
      </c>
      <c r="F34" s="27" t="s">
        <v>65</v>
      </c>
      <c r="G34" s="25">
        <f>379.6-85.4-172.6-2.2</f>
        <v>119.40000000000005</v>
      </c>
      <c r="H34" s="25"/>
      <c r="I34" s="25"/>
      <c r="J34" s="102"/>
      <c r="K34" s="102"/>
      <c r="L34" s="102"/>
      <c r="M34" s="102"/>
      <c r="N34" s="102"/>
      <c r="O34" s="102"/>
      <c r="P34" s="102"/>
      <c r="Q34" s="102"/>
    </row>
    <row r="35" spans="1:17" s="9" customFormat="1" x14ac:dyDescent="0.2">
      <c r="A35" s="11" t="s">
        <v>303</v>
      </c>
      <c r="B35" s="14">
        <v>900</v>
      </c>
      <c r="C35" s="8" t="s">
        <v>10</v>
      </c>
      <c r="D35" s="8" t="s">
        <v>28</v>
      </c>
      <c r="E35" s="8"/>
      <c r="F35" s="8"/>
      <c r="G35" s="4">
        <f>G36</f>
        <v>16.8</v>
      </c>
      <c r="H35" s="4">
        <f t="shared" ref="H35:I36" si="2">H36</f>
        <v>18</v>
      </c>
      <c r="I35" s="4">
        <f t="shared" si="2"/>
        <v>144.6</v>
      </c>
    </row>
    <row r="36" spans="1:17" ht="38.25" customHeight="1" x14ac:dyDescent="0.2">
      <c r="A36" s="18" t="s">
        <v>304</v>
      </c>
      <c r="B36" s="22">
        <v>900</v>
      </c>
      <c r="C36" s="19" t="s">
        <v>10</v>
      </c>
      <c r="D36" s="19" t="s">
        <v>28</v>
      </c>
      <c r="E36" s="19" t="s">
        <v>318</v>
      </c>
      <c r="F36" s="19"/>
      <c r="G36" s="20">
        <f>G37</f>
        <v>16.8</v>
      </c>
      <c r="H36" s="20">
        <f t="shared" si="2"/>
        <v>18</v>
      </c>
      <c r="I36" s="20">
        <f t="shared" si="2"/>
        <v>144.6</v>
      </c>
      <c r="J36" s="101"/>
      <c r="K36" s="101"/>
      <c r="L36" s="101"/>
      <c r="M36" s="101"/>
      <c r="N36" s="101"/>
      <c r="O36" s="101"/>
      <c r="P36" s="101"/>
      <c r="Q36" s="101"/>
    </row>
    <row r="37" spans="1:17" s="26" customFormat="1" ht="25.5" x14ac:dyDescent="0.2">
      <c r="A37" s="23" t="s">
        <v>114</v>
      </c>
      <c r="B37" s="31">
        <v>900</v>
      </c>
      <c r="C37" s="24" t="s">
        <v>10</v>
      </c>
      <c r="D37" s="24" t="s">
        <v>28</v>
      </c>
      <c r="E37" s="24" t="s">
        <v>318</v>
      </c>
      <c r="F37" s="27" t="s">
        <v>65</v>
      </c>
      <c r="G37" s="25">
        <f>17-0.2</f>
        <v>16.8</v>
      </c>
      <c r="H37" s="25">
        <v>18</v>
      </c>
      <c r="I37" s="25">
        <f>145-0.4</f>
        <v>144.6</v>
      </c>
      <c r="J37" s="102"/>
      <c r="K37" s="102"/>
      <c r="L37" s="102"/>
      <c r="M37" s="102"/>
      <c r="N37" s="102"/>
      <c r="O37" s="102"/>
      <c r="P37" s="102"/>
      <c r="Q37" s="102"/>
    </row>
    <row r="38" spans="1:17" s="9" customFormat="1" x14ac:dyDescent="0.2">
      <c r="A38" s="11" t="s">
        <v>20</v>
      </c>
      <c r="B38" s="14">
        <v>900</v>
      </c>
      <c r="C38" s="8" t="s">
        <v>10</v>
      </c>
      <c r="D38" s="8" t="s">
        <v>19</v>
      </c>
      <c r="E38" s="8"/>
      <c r="F38" s="8"/>
      <c r="G38" s="4">
        <f t="shared" ref="G38:I39" si="3">G39</f>
        <v>1659</v>
      </c>
      <c r="H38" s="4">
        <f t="shared" si="3"/>
        <v>2000</v>
      </c>
      <c r="I38" s="4">
        <f t="shared" si="3"/>
        <v>2000</v>
      </c>
      <c r="J38" s="106"/>
      <c r="K38" s="106"/>
      <c r="L38" s="106"/>
      <c r="M38" s="106"/>
      <c r="N38" s="106"/>
      <c r="O38" s="106"/>
      <c r="P38" s="106"/>
      <c r="Q38" s="106"/>
    </row>
    <row r="39" spans="1:17" s="103" customFormat="1" x14ac:dyDescent="0.2">
      <c r="A39" s="224" t="s">
        <v>244</v>
      </c>
      <c r="B39" s="249">
        <v>900</v>
      </c>
      <c r="C39" s="250" t="s">
        <v>10</v>
      </c>
      <c r="D39" s="250" t="s">
        <v>19</v>
      </c>
      <c r="E39" s="226" t="s">
        <v>246</v>
      </c>
      <c r="F39" s="226"/>
      <c r="G39" s="190">
        <f t="shared" si="3"/>
        <v>1659</v>
      </c>
      <c r="H39" s="190">
        <f t="shared" si="3"/>
        <v>2000</v>
      </c>
      <c r="I39" s="190">
        <f t="shared" si="3"/>
        <v>2000</v>
      </c>
    </row>
    <row r="40" spans="1:17" s="102" customFormat="1" ht="12" customHeight="1" x14ac:dyDescent="0.2">
      <c r="A40" s="230" t="s">
        <v>69</v>
      </c>
      <c r="B40" s="227">
        <v>900</v>
      </c>
      <c r="C40" s="228" t="s">
        <v>10</v>
      </c>
      <c r="D40" s="228" t="s">
        <v>19</v>
      </c>
      <c r="E40" s="228" t="s">
        <v>246</v>
      </c>
      <c r="F40" s="228" t="s">
        <v>70</v>
      </c>
      <c r="G40" s="189">
        <f>2000-41-300</f>
        <v>1659</v>
      </c>
      <c r="H40" s="189">
        <v>2000</v>
      </c>
      <c r="I40" s="189">
        <v>2000</v>
      </c>
    </row>
    <row r="41" spans="1:17" s="67" customFormat="1" x14ac:dyDescent="0.2">
      <c r="A41" s="63" t="s">
        <v>22</v>
      </c>
      <c r="B41" s="64">
        <v>900</v>
      </c>
      <c r="C41" s="65" t="s">
        <v>10</v>
      </c>
      <c r="D41" s="65" t="s">
        <v>58</v>
      </c>
      <c r="E41" s="65"/>
      <c r="F41" s="65"/>
      <c r="G41" s="66">
        <f>G48+G54+G56+G62+G65+G50+G58+G44+G46+S41+G67+G60+G52+G69+G42+G73</f>
        <v>47374.915160000004</v>
      </c>
      <c r="H41" s="66">
        <f t="shared" ref="H41:I41" si="4">H48+H54+H56+H62+H65+H50+H58+H44+H46+T41+H67+H60+H52+H69+H42+H73</f>
        <v>37480.399999999994</v>
      </c>
      <c r="I41" s="66">
        <f t="shared" si="4"/>
        <v>36465</v>
      </c>
      <c r="J41" s="66" t="e">
        <f>J48+J54+J56+J62+J65+J50+#REF!+J58+J44+J46+V41+J67</f>
        <v>#REF!</v>
      </c>
      <c r="K41" s="66" t="e">
        <f>K48+K54+K56+K62+K65+K50+#REF!+K58+K44+K46+W41+K67</f>
        <v>#REF!</v>
      </c>
      <c r="L41" s="66" t="e">
        <f>L48+L54+L56+L62+L65+L50+#REF!+L58+L44+L46+X41+L67</f>
        <v>#REF!</v>
      </c>
      <c r="M41" s="66" t="e">
        <f>M48+M54+M56+M62+M65+M50+#REF!+M58+M44+M46+Y41+M67</f>
        <v>#REF!</v>
      </c>
      <c r="N41" s="66" t="e">
        <f>N48+N54+N56+N62+N65+N50+#REF!+N58+N44+N46+Z41+N67</f>
        <v>#REF!</v>
      </c>
      <c r="O41" s="66" t="e">
        <f>O48+O54+O56+O62+O65+O50+#REF!+O58+O44+O46+AA41+O67</f>
        <v>#REF!</v>
      </c>
      <c r="P41" s="66" t="e">
        <f>P48+P54+P56+P62+P65+P50+#REF!+P58+P44+P46+AB41+P67</f>
        <v>#REF!</v>
      </c>
      <c r="Q41" s="66" t="e">
        <f>Q48+Q54+Q56+Q62+Q65+Q50+#REF!+Q58+Q44+Q46+AC41+Q67</f>
        <v>#REF!</v>
      </c>
    </row>
    <row r="42" spans="1:17" ht="25.5" x14ac:dyDescent="0.2">
      <c r="A42" s="18" t="s">
        <v>683</v>
      </c>
      <c r="B42" s="22">
        <v>900</v>
      </c>
      <c r="C42" s="19" t="s">
        <v>10</v>
      </c>
      <c r="D42" s="19" t="s">
        <v>58</v>
      </c>
      <c r="E42" s="19" t="s">
        <v>682</v>
      </c>
      <c r="F42" s="19"/>
      <c r="G42" s="20">
        <f>G43</f>
        <v>1218.9000000000001</v>
      </c>
      <c r="H42" s="20">
        <f>H43</f>
        <v>0</v>
      </c>
      <c r="I42" s="20">
        <f>I43</f>
        <v>0</v>
      </c>
      <c r="J42" s="101"/>
      <c r="K42" s="101"/>
      <c r="L42" s="101"/>
      <c r="M42" s="101"/>
      <c r="N42" s="101"/>
      <c r="O42" s="101"/>
      <c r="P42" s="101"/>
      <c r="Q42" s="101"/>
    </row>
    <row r="43" spans="1:17" s="26" customFormat="1" ht="25.5" x14ac:dyDescent="0.2">
      <c r="A43" s="23" t="s">
        <v>114</v>
      </c>
      <c r="B43" s="31">
        <v>900</v>
      </c>
      <c r="C43" s="24" t="s">
        <v>10</v>
      </c>
      <c r="D43" s="24" t="s">
        <v>58</v>
      </c>
      <c r="E43" s="24" t="s">
        <v>682</v>
      </c>
      <c r="F43" s="24" t="s">
        <v>65</v>
      </c>
      <c r="G43" s="25">
        <v>1218.9000000000001</v>
      </c>
      <c r="H43" s="25">
        <v>0</v>
      </c>
      <c r="I43" s="25">
        <v>0</v>
      </c>
      <c r="J43" s="102"/>
      <c r="K43" s="102"/>
      <c r="L43" s="102"/>
      <c r="M43" s="102"/>
      <c r="N43" s="102"/>
      <c r="O43" s="102"/>
      <c r="P43" s="102"/>
      <c r="Q43" s="102"/>
    </row>
    <row r="44" spans="1:17" s="72" customFormat="1" x14ac:dyDescent="0.2">
      <c r="A44" s="68" t="s">
        <v>199</v>
      </c>
      <c r="B44" s="69">
        <v>900</v>
      </c>
      <c r="C44" s="70" t="s">
        <v>10</v>
      </c>
      <c r="D44" s="70" t="s">
        <v>58</v>
      </c>
      <c r="E44" s="70" t="s">
        <v>198</v>
      </c>
      <c r="F44" s="70"/>
      <c r="G44" s="71">
        <f>G45</f>
        <v>3229.2</v>
      </c>
      <c r="H44" s="71">
        <f>H45</f>
        <v>0</v>
      </c>
      <c r="I44" s="71">
        <f>I45</f>
        <v>0</v>
      </c>
    </row>
    <row r="45" spans="1:17" s="77" customFormat="1" x14ac:dyDescent="0.2">
      <c r="A45" s="80" t="s">
        <v>66</v>
      </c>
      <c r="B45" s="79">
        <v>900</v>
      </c>
      <c r="C45" s="75" t="s">
        <v>10</v>
      </c>
      <c r="D45" s="75" t="s">
        <v>58</v>
      </c>
      <c r="E45" s="75" t="s">
        <v>198</v>
      </c>
      <c r="F45" s="75" t="s">
        <v>67</v>
      </c>
      <c r="G45" s="55">
        <v>3229.2</v>
      </c>
      <c r="H45" s="55"/>
      <c r="I45" s="55"/>
    </row>
    <row r="46" spans="1:17" s="21" customFormat="1" x14ac:dyDescent="0.2">
      <c r="A46" s="18" t="s">
        <v>245</v>
      </c>
      <c r="B46" s="22">
        <v>900</v>
      </c>
      <c r="C46" s="19" t="s">
        <v>10</v>
      </c>
      <c r="D46" s="19" t="s">
        <v>58</v>
      </c>
      <c r="E46" s="19" t="s">
        <v>247</v>
      </c>
      <c r="F46" s="19"/>
      <c r="G46" s="20">
        <f>G47</f>
        <v>1400</v>
      </c>
      <c r="H46" s="20">
        <f>H47</f>
        <v>1100</v>
      </c>
      <c r="I46" s="20">
        <f>I47</f>
        <v>1100</v>
      </c>
    </row>
    <row r="47" spans="1:17" s="26" customFormat="1" x14ac:dyDescent="0.2">
      <c r="A47" s="28" t="s">
        <v>69</v>
      </c>
      <c r="B47" s="31">
        <v>900</v>
      </c>
      <c r="C47" s="24" t="s">
        <v>10</v>
      </c>
      <c r="D47" s="24" t="s">
        <v>58</v>
      </c>
      <c r="E47" s="24" t="s">
        <v>247</v>
      </c>
      <c r="F47" s="24" t="s">
        <v>70</v>
      </c>
      <c r="G47" s="25">
        <f>1100+300</f>
        <v>1400</v>
      </c>
      <c r="H47" s="25">
        <v>1100</v>
      </c>
      <c r="I47" s="25">
        <v>1100</v>
      </c>
    </row>
    <row r="48" spans="1:17" x14ac:dyDescent="0.2">
      <c r="A48" s="18" t="s">
        <v>125</v>
      </c>
      <c r="B48" s="22">
        <v>900</v>
      </c>
      <c r="C48" s="19" t="s">
        <v>10</v>
      </c>
      <c r="D48" s="19" t="s">
        <v>58</v>
      </c>
      <c r="E48" s="19" t="s">
        <v>126</v>
      </c>
      <c r="F48" s="19"/>
      <c r="G48" s="20">
        <f>G49</f>
        <v>1556.5151600000002</v>
      </c>
      <c r="H48" s="20">
        <f>H49</f>
        <v>0</v>
      </c>
      <c r="I48" s="20">
        <f>I49</f>
        <v>0</v>
      </c>
      <c r="J48" s="101"/>
      <c r="K48" s="101"/>
      <c r="L48" s="101"/>
      <c r="M48" s="101"/>
      <c r="N48" s="101"/>
      <c r="O48" s="101"/>
      <c r="P48" s="101"/>
      <c r="Q48" s="101"/>
    </row>
    <row r="49" spans="1:17" s="26" customFormat="1" ht="25.5" x14ac:dyDescent="0.2">
      <c r="A49" s="28" t="s">
        <v>119</v>
      </c>
      <c r="B49" s="31">
        <v>900</v>
      </c>
      <c r="C49" s="24" t="s">
        <v>10</v>
      </c>
      <c r="D49" s="24" t="s">
        <v>58</v>
      </c>
      <c r="E49" s="24" t="s">
        <v>126</v>
      </c>
      <c r="F49" s="24" t="s">
        <v>62</v>
      </c>
      <c r="G49" s="25">
        <f>3182.8-515.4-1110.88484</f>
        <v>1556.5151600000002</v>
      </c>
      <c r="H49" s="25"/>
      <c r="I49" s="25"/>
      <c r="J49" s="102"/>
      <c r="K49" s="102"/>
      <c r="L49" s="102"/>
      <c r="M49" s="102"/>
      <c r="N49" s="102"/>
      <c r="O49" s="102"/>
      <c r="P49" s="102"/>
      <c r="Q49" s="102"/>
    </row>
    <row r="50" spans="1:17" s="72" customFormat="1" ht="25.5" x14ac:dyDescent="0.2">
      <c r="A50" s="82" t="s">
        <v>137</v>
      </c>
      <c r="B50" s="82">
        <v>900</v>
      </c>
      <c r="C50" s="70" t="s">
        <v>10</v>
      </c>
      <c r="D50" s="70" t="s">
        <v>58</v>
      </c>
      <c r="E50" s="70" t="s">
        <v>136</v>
      </c>
      <c r="F50" s="83"/>
      <c r="G50" s="84">
        <f>G51</f>
        <v>1689</v>
      </c>
      <c r="H50" s="84">
        <f>H51</f>
        <v>0</v>
      </c>
      <c r="I50" s="84">
        <f>I51</f>
        <v>0</v>
      </c>
    </row>
    <row r="51" spans="1:17" s="72" customFormat="1" ht="25.5" x14ac:dyDescent="0.2">
      <c r="A51" s="80" t="s">
        <v>119</v>
      </c>
      <c r="B51" s="80">
        <v>900</v>
      </c>
      <c r="C51" s="75" t="s">
        <v>10</v>
      </c>
      <c r="D51" s="75" t="s">
        <v>58</v>
      </c>
      <c r="E51" s="75" t="s">
        <v>136</v>
      </c>
      <c r="F51" s="75" t="s">
        <v>62</v>
      </c>
      <c r="G51" s="55">
        <v>1689</v>
      </c>
      <c r="H51" s="55"/>
      <c r="I51" s="55"/>
    </row>
    <row r="52" spans="1:17" x14ac:dyDescent="0.2">
      <c r="A52" s="18" t="s">
        <v>147</v>
      </c>
      <c r="B52" s="22">
        <v>900</v>
      </c>
      <c r="C52" s="19" t="s">
        <v>10</v>
      </c>
      <c r="D52" s="19" t="s">
        <v>58</v>
      </c>
      <c r="E52" s="19" t="s">
        <v>146</v>
      </c>
      <c r="F52" s="19"/>
      <c r="G52" s="20">
        <f>G53</f>
        <v>988.7</v>
      </c>
      <c r="H52" s="20">
        <f>H53</f>
        <v>0</v>
      </c>
      <c r="I52" s="20">
        <f>I53</f>
        <v>0</v>
      </c>
      <c r="J52" s="101"/>
      <c r="K52" s="101"/>
      <c r="L52" s="101"/>
      <c r="M52" s="101"/>
      <c r="N52" s="101"/>
      <c r="O52" s="101"/>
      <c r="P52" s="101"/>
      <c r="Q52" s="101"/>
    </row>
    <row r="53" spans="1:17" s="26" customFormat="1" ht="25.5" x14ac:dyDescent="0.2">
      <c r="A53" s="28" t="s">
        <v>79</v>
      </c>
      <c r="B53" s="31">
        <v>900</v>
      </c>
      <c r="C53" s="24" t="s">
        <v>10</v>
      </c>
      <c r="D53" s="24" t="s">
        <v>58</v>
      </c>
      <c r="E53" s="24" t="s">
        <v>146</v>
      </c>
      <c r="F53" s="24" t="s">
        <v>62</v>
      </c>
      <c r="G53" s="25">
        <f>850+138.7</f>
        <v>988.7</v>
      </c>
      <c r="H53" s="25"/>
      <c r="I53" s="25"/>
      <c r="J53" s="102"/>
      <c r="K53" s="102"/>
      <c r="L53" s="102"/>
      <c r="M53" s="102"/>
      <c r="N53" s="102"/>
      <c r="O53" s="102"/>
      <c r="P53" s="102"/>
      <c r="Q53" s="102"/>
    </row>
    <row r="54" spans="1:17" s="21" customFormat="1" ht="38.25" x14ac:dyDescent="0.2">
      <c r="A54" s="18" t="s">
        <v>127</v>
      </c>
      <c r="B54" s="22">
        <v>900</v>
      </c>
      <c r="C54" s="19" t="s">
        <v>10</v>
      </c>
      <c r="D54" s="19" t="s">
        <v>58</v>
      </c>
      <c r="E54" s="19" t="s">
        <v>82</v>
      </c>
      <c r="F54" s="19"/>
      <c r="G54" s="20">
        <f>G55</f>
        <v>125</v>
      </c>
      <c r="H54" s="20">
        <f>H55</f>
        <v>125</v>
      </c>
      <c r="I54" s="20">
        <f>I55</f>
        <v>125</v>
      </c>
    </row>
    <row r="55" spans="1:17" s="26" customFormat="1" ht="25.5" x14ac:dyDescent="0.2">
      <c r="A55" s="28" t="s">
        <v>119</v>
      </c>
      <c r="B55" s="31">
        <v>900</v>
      </c>
      <c r="C55" s="24" t="s">
        <v>10</v>
      </c>
      <c r="D55" s="24" t="s">
        <v>58</v>
      </c>
      <c r="E55" s="24" t="s">
        <v>82</v>
      </c>
      <c r="F55" s="24" t="s">
        <v>62</v>
      </c>
      <c r="G55" s="25">
        <v>125</v>
      </c>
      <c r="H55" s="25">
        <v>125</v>
      </c>
      <c r="I55" s="25">
        <v>125</v>
      </c>
    </row>
    <row r="56" spans="1:17" s="72" customFormat="1" ht="30.75" customHeight="1" x14ac:dyDescent="0.2">
      <c r="A56" s="82" t="s">
        <v>128</v>
      </c>
      <c r="B56" s="85">
        <v>900</v>
      </c>
      <c r="C56" s="70" t="s">
        <v>10</v>
      </c>
      <c r="D56" s="70" t="s">
        <v>58</v>
      </c>
      <c r="E56" s="70" t="s">
        <v>129</v>
      </c>
      <c r="F56" s="70"/>
      <c r="G56" s="71">
        <f>G57</f>
        <v>966</v>
      </c>
      <c r="H56" s="71">
        <f>H57</f>
        <v>966</v>
      </c>
      <c r="I56" s="71">
        <f>I57</f>
        <v>966</v>
      </c>
    </row>
    <row r="57" spans="1:17" s="77" customFormat="1" x14ac:dyDescent="0.2">
      <c r="A57" s="80" t="s">
        <v>66</v>
      </c>
      <c r="B57" s="79">
        <v>900</v>
      </c>
      <c r="C57" s="75" t="s">
        <v>10</v>
      </c>
      <c r="D57" s="75" t="s">
        <v>58</v>
      </c>
      <c r="E57" s="75" t="s">
        <v>129</v>
      </c>
      <c r="F57" s="75" t="s">
        <v>67</v>
      </c>
      <c r="G57" s="55">
        <v>966</v>
      </c>
      <c r="H57" s="55">
        <v>966</v>
      </c>
      <c r="I57" s="55">
        <v>966</v>
      </c>
    </row>
    <row r="58" spans="1:17" s="107" customFormat="1" ht="25.5" x14ac:dyDescent="0.2">
      <c r="A58" s="245" t="s">
        <v>130</v>
      </c>
      <c r="B58" s="246">
        <v>900</v>
      </c>
      <c r="C58" s="226" t="s">
        <v>10</v>
      </c>
      <c r="D58" s="226" t="s">
        <v>58</v>
      </c>
      <c r="E58" s="232" t="s">
        <v>131</v>
      </c>
      <c r="F58" s="232"/>
      <c r="G58" s="233">
        <f>G59</f>
        <v>5638.2</v>
      </c>
      <c r="H58" s="233">
        <f>H59</f>
        <v>5005.8999999999996</v>
      </c>
      <c r="I58" s="233">
        <f>I59</f>
        <v>4843.8</v>
      </c>
    </row>
    <row r="59" spans="1:17" s="108" customFormat="1" ht="25.5" x14ac:dyDescent="0.2">
      <c r="A59" s="230" t="s">
        <v>119</v>
      </c>
      <c r="B59" s="227">
        <v>900</v>
      </c>
      <c r="C59" s="228" t="s">
        <v>10</v>
      </c>
      <c r="D59" s="228" t="s">
        <v>58</v>
      </c>
      <c r="E59" s="228" t="s">
        <v>131</v>
      </c>
      <c r="F59" s="228" t="s">
        <v>62</v>
      </c>
      <c r="G59" s="189">
        <f>5639.2-1</f>
        <v>5638.2</v>
      </c>
      <c r="H59" s="189">
        <v>5005.8999999999996</v>
      </c>
      <c r="I59" s="189">
        <v>4843.8</v>
      </c>
    </row>
    <row r="60" spans="1:17" s="111" customFormat="1" x14ac:dyDescent="0.2">
      <c r="A60" s="18" t="s">
        <v>175</v>
      </c>
      <c r="B60" s="22">
        <v>900</v>
      </c>
      <c r="C60" s="19" t="s">
        <v>10</v>
      </c>
      <c r="D60" s="19" t="s">
        <v>58</v>
      </c>
      <c r="E60" s="5" t="s">
        <v>176</v>
      </c>
      <c r="F60" s="5"/>
      <c r="G60" s="25">
        <f>G61</f>
        <v>1683.6</v>
      </c>
      <c r="H60" s="25">
        <f t="shared" ref="H60:I60" si="5">H61</f>
        <v>0</v>
      </c>
      <c r="I60" s="25">
        <f t="shared" si="5"/>
        <v>0</v>
      </c>
      <c r="J60" s="108"/>
      <c r="K60" s="108"/>
      <c r="L60" s="108"/>
      <c r="M60" s="108"/>
      <c r="N60" s="108"/>
      <c r="O60" s="108"/>
      <c r="P60" s="108"/>
      <c r="Q60" s="108"/>
    </row>
    <row r="61" spans="1:17" s="111" customFormat="1" ht="25.5" x14ac:dyDescent="0.2">
      <c r="A61" s="28" t="s">
        <v>119</v>
      </c>
      <c r="B61" s="32">
        <v>900</v>
      </c>
      <c r="C61" s="24" t="s">
        <v>10</v>
      </c>
      <c r="D61" s="24" t="s">
        <v>58</v>
      </c>
      <c r="E61" s="24" t="s">
        <v>176</v>
      </c>
      <c r="F61" s="27" t="s">
        <v>62</v>
      </c>
      <c r="G61" s="25">
        <f>1073.8+609.8</f>
        <v>1683.6</v>
      </c>
      <c r="H61" s="25"/>
      <c r="I61" s="25"/>
      <c r="J61" s="108"/>
      <c r="K61" s="108"/>
      <c r="L61" s="108"/>
      <c r="M61" s="108"/>
      <c r="N61" s="108"/>
      <c r="O61" s="108"/>
      <c r="P61" s="108"/>
      <c r="Q61" s="108"/>
    </row>
    <row r="62" spans="1:17" s="21" customFormat="1" ht="102" x14ac:dyDescent="0.2">
      <c r="A62" s="45" t="s">
        <v>133</v>
      </c>
      <c r="B62" s="22">
        <v>900</v>
      </c>
      <c r="C62" s="19" t="s">
        <v>10</v>
      </c>
      <c r="D62" s="19" t="s">
        <v>58</v>
      </c>
      <c r="E62" s="19" t="s">
        <v>132</v>
      </c>
      <c r="F62" s="19"/>
      <c r="G62" s="20">
        <f>G63+G64</f>
        <v>8019.5999999999995</v>
      </c>
      <c r="H62" s="20">
        <f>H63+H64</f>
        <v>7811.7999999999993</v>
      </c>
      <c r="I62" s="20">
        <f>I63+I64</f>
        <v>7811.7999999999993</v>
      </c>
      <c r="J62" s="101"/>
      <c r="K62" s="101"/>
      <c r="L62" s="101"/>
      <c r="M62" s="101"/>
      <c r="N62" s="101"/>
      <c r="O62" s="101"/>
      <c r="P62" s="101"/>
      <c r="Q62" s="101"/>
    </row>
    <row r="63" spans="1:17" s="26" customFormat="1" ht="53.25" customHeight="1" x14ac:dyDescent="0.2">
      <c r="A63" s="23" t="s">
        <v>63</v>
      </c>
      <c r="B63" s="31">
        <v>900</v>
      </c>
      <c r="C63" s="24" t="s">
        <v>10</v>
      </c>
      <c r="D63" s="24" t="s">
        <v>58</v>
      </c>
      <c r="E63" s="24" t="s">
        <v>132</v>
      </c>
      <c r="F63" s="27" t="s">
        <v>64</v>
      </c>
      <c r="G63" s="25">
        <f>5928.4+30+1799.4</f>
        <v>7757.7999999999993</v>
      </c>
      <c r="H63" s="25">
        <f>5928.4+30+1799.4</f>
        <v>7757.7999999999993</v>
      </c>
      <c r="I63" s="25">
        <f>5928.4+30+1799.4</f>
        <v>7757.7999999999993</v>
      </c>
      <c r="J63" s="102"/>
      <c r="K63" s="102"/>
      <c r="L63" s="102"/>
      <c r="M63" s="102"/>
      <c r="N63" s="102"/>
      <c r="O63" s="102"/>
      <c r="P63" s="102"/>
      <c r="Q63" s="102"/>
    </row>
    <row r="64" spans="1:17" s="77" customFormat="1" ht="25.5" x14ac:dyDescent="0.2">
      <c r="A64" s="80" t="s">
        <v>73</v>
      </c>
      <c r="B64" s="79">
        <v>900</v>
      </c>
      <c r="C64" s="75" t="s">
        <v>10</v>
      </c>
      <c r="D64" s="75" t="s">
        <v>58</v>
      </c>
      <c r="E64" s="75" t="s">
        <v>132</v>
      </c>
      <c r="F64" s="76" t="s">
        <v>65</v>
      </c>
      <c r="G64" s="55">
        <f>261.8</f>
        <v>261.8</v>
      </c>
      <c r="H64" s="55">
        <v>54</v>
      </c>
      <c r="I64" s="55">
        <v>54</v>
      </c>
    </row>
    <row r="65" spans="1:17" s="77" customFormat="1" ht="63.75" x14ac:dyDescent="0.2">
      <c r="A65" s="87" t="s">
        <v>134</v>
      </c>
      <c r="B65" s="87">
        <v>900</v>
      </c>
      <c r="C65" s="70" t="s">
        <v>10</v>
      </c>
      <c r="D65" s="70" t="s">
        <v>58</v>
      </c>
      <c r="E65" s="70" t="s">
        <v>135</v>
      </c>
      <c r="F65" s="70"/>
      <c r="G65" s="71">
        <f>G66</f>
        <v>228.8</v>
      </c>
      <c r="H65" s="71">
        <f>H66</f>
        <v>0</v>
      </c>
      <c r="I65" s="71">
        <f>I66</f>
        <v>0</v>
      </c>
    </row>
    <row r="66" spans="1:17" s="72" customFormat="1" x14ac:dyDescent="0.2">
      <c r="A66" s="80" t="s">
        <v>69</v>
      </c>
      <c r="B66" s="78">
        <v>900</v>
      </c>
      <c r="C66" s="75" t="s">
        <v>10</v>
      </c>
      <c r="D66" s="75" t="s">
        <v>58</v>
      </c>
      <c r="E66" s="75" t="s">
        <v>135</v>
      </c>
      <c r="F66" s="76" t="s">
        <v>70</v>
      </c>
      <c r="G66" s="55">
        <v>228.8</v>
      </c>
      <c r="H66" s="55"/>
      <c r="I66" s="55"/>
    </row>
    <row r="67" spans="1:17" ht="38.25" x14ac:dyDescent="0.2">
      <c r="A67" s="18" t="s">
        <v>319</v>
      </c>
      <c r="B67" s="23">
        <v>900</v>
      </c>
      <c r="C67" s="24" t="s">
        <v>10</v>
      </c>
      <c r="D67" s="24" t="s">
        <v>58</v>
      </c>
      <c r="E67" s="24" t="s">
        <v>320</v>
      </c>
      <c r="F67" s="27"/>
      <c r="G67" s="25">
        <f>G68</f>
        <v>3052.2</v>
      </c>
      <c r="H67" s="25">
        <f t="shared" ref="H67:Q67" si="6">H68</f>
        <v>2834.3</v>
      </c>
      <c r="I67" s="25">
        <f t="shared" si="6"/>
        <v>2834.3</v>
      </c>
      <c r="J67" s="189">
        <f t="shared" si="6"/>
        <v>0</v>
      </c>
      <c r="K67" s="189">
        <f t="shared" si="6"/>
        <v>0</v>
      </c>
      <c r="L67" s="189">
        <f t="shared" si="6"/>
        <v>0</v>
      </c>
      <c r="M67" s="189">
        <f t="shared" si="6"/>
        <v>0</v>
      </c>
      <c r="N67" s="189">
        <f t="shared" si="6"/>
        <v>0</v>
      </c>
      <c r="O67" s="189">
        <f t="shared" si="6"/>
        <v>0</v>
      </c>
      <c r="P67" s="189">
        <f t="shared" si="6"/>
        <v>0</v>
      </c>
      <c r="Q67" s="189">
        <f t="shared" si="6"/>
        <v>0</v>
      </c>
    </row>
    <row r="68" spans="1:17" ht="25.5" x14ac:dyDescent="0.2">
      <c r="A68" s="28" t="s">
        <v>119</v>
      </c>
      <c r="B68" s="23">
        <v>900</v>
      </c>
      <c r="C68" s="24" t="s">
        <v>10</v>
      </c>
      <c r="D68" s="24" t="s">
        <v>58</v>
      </c>
      <c r="E68" s="24" t="s">
        <v>320</v>
      </c>
      <c r="F68" s="27" t="s">
        <v>62</v>
      </c>
      <c r="G68" s="25">
        <v>3052.2</v>
      </c>
      <c r="H68" s="25">
        <v>2834.3</v>
      </c>
      <c r="I68" s="25">
        <v>2834.3</v>
      </c>
      <c r="J68" s="101"/>
      <c r="K68" s="101"/>
      <c r="L68" s="101"/>
      <c r="M68" s="101"/>
      <c r="N68" s="101"/>
      <c r="O68" s="101"/>
      <c r="P68" s="101"/>
      <c r="Q68" s="101"/>
    </row>
    <row r="69" spans="1:17" ht="48.75" customHeight="1" x14ac:dyDescent="0.2">
      <c r="A69" s="48" t="s">
        <v>663</v>
      </c>
      <c r="B69" s="22">
        <v>900</v>
      </c>
      <c r="C69" s="19" t="s">
        <v>10</v>
      </c>
      <c r="D69" s="19" t="s">
        <v>58</v>
      </c>
      <c r="E69" s="19" t="s">
        <v>661</v>
      </c>
      <c r="F69" s="19"/>
      <c r="G69" s="20">
        <f>G70+G72+G71</f>
        <v>17341.400000000001</v>
      </c>
      <c r="H69" s="20">
        <f t="shared" ref="H69:I69" si="7">H70+H72+H71</f>
        <v>19637.399999999998</v>
      </c>
      <c r="I69" s="20">
        <f t="shared" si="7"/>
        <v>18784.099999999999</v>
      </c>
      <c r="J69" s="101"/>
      <c r="K69" s="101"/>
      <c r="L69" s="101"/>
      <c r="M69" s="101"/>
      <c r="N69" s="101"/>
      <c r="O69" s="101"/>
      <c r="P69" s="101"/>
      <c r="Q69" s="101"/>
    </row>
    <row r="70" spans="1:17" s="26" customFormat="1" ht="53.25" customHeight="1" x14ac:dyDescent="0.2">
      <c r="A70" s="23" t="s">
        <v>63</v>
      </c>
      <c r="B70" s="31">
        <v>900</v>
      </c>
      <c r="C70" s="24" t="s">
        <v>10</v>
      </c>
      <c r="D70" s="24" t="s">
        <v>58</v>
      </c>
      <c r="E70" s="24" t="s">
        <v>661</v>
      </c>
      <c r="F70" s="27" t="s">
        <v>64</v>
      </c>
      <c r="G70" s="25">
        <f>11747.7-486.9+184.8</f>
        <v>11445.6</v>
      </c>
      <c r="H70" s="25">
        <f>16524.5-649.2</f>
        <v>15875.3</v>
      </c>
      <c r="I70" s="25">
        <f>16524.5-649.2</f>
        <v>15875.3</v>
      </c>
      <c r="J70" s="102"/>
      <c r="K70" s="102"/>
      <c r="L70" s="102"/>
      <c r="M70" s="102"/>
      <c r="N70" s="102"/>
      <c r="O70" s="102"/>
      <c r="P70" s="102"/>
      <c r="Q70" s="102"/>
    </row>
    <row r="71" spans="1:17" s="102" customFormat="1" ht="25.5" x14ac:dyDescent="0.2">
      <c r="A71" s="230" t="s">
        <v>73</v>
      </c>
      <c r="B71" s="227">
        <v>900</v>
      </c>
      <c r="C71" s="228" t="s">
        <v>10</v>
      </c>
      <c r="D71" s="228" t="s">
        <v>58</v>
      </c>
      <c r="E71" s="228" t="s">
        <v>661</v>
      </c>
      <c r="F71" s="231" t="s">
        <v>65</v>
      </c>
      <c r="G71" s="189">
        <f>3576.1+231.8-6+2037.2</f>
        <v>5839.1</v>
      </c>
      <c r="H71" s="189">
        <v>3762.1</v>
      </c>
      <c r="I71" s="189">
        <v>2908.8</v>
      </c>
    </row>
    <row r="72" spans="1:17" s="26" customFormat="1" x14ac:dyDescent="0.2">
      <c r="A72" s="28" t="s">
        <v>69</v>
      </c>
      <c r="B72" s="31">
        <v>900</v>
      </c>
      <c r="C72" s="24" t="s">
        <v>10</v>
      </c>
      <c r="D72" s="24" t="s">
        <v>58</v>
      </c>
      <c r="E72" s="24" t="s">
        <v>661</v>
      </c>
      <c r="F72" s="27" t="s">
        <v>70</v>
      </c>
      <c r="G72" s="25">
        <f>50.7+6</f>
        <v>56.7</v>
      </c>
      <c r="H72" s="25">
        <v>0</v>
      </c>
      <c r="I72" s="25">
        <v>0</v>
      </c>
      <c r="J72" s="102"/>
      <c r="K72" s="102"/>
      <c r="L72" s="102"/>
      <c r="M72" s="102"/>
      <c r="N72" s="102"/>
      <c r="O72" s="102"/>
      <c r="P72" s="102"/>
      <c r="Q72" s="102"/>
    </row>
    <row r="73" spans="1:17" ht="51" x14ac:dyDescent="0.2">
      <c r="A73" s="18" t="s">
        <v>688</v>
      </c>
      <c r="B73" s="22">
        <v>900</v>
      </c>
      <c r="C73" s="19" t="s">
        <v>10</v>
      </c>
      <c r="D73" s="19" t="s">
        <v>58</v>
      </c>
      <c r="E73" s="19" t="s">
        <v>691</v>
      </c>
      <c r="F73" s="196"/>
      <c r="G73" s="20">
        <f>G74</f>
        <v>237.8</v>
      </c>
      <c r="H73" s="20"/>
      <c r="I73" s="20"/>
      <c r="J73" s="101"/>
      <c r="K73" s="101"/>
      <c r="L73" s="101"/>
      <c r="M73" s="101"/>
      <c r="N73" s="101"/>
      <c r="O73" s="101"/>
      <c r="P73" s="101"/>
      <c r="Q73" s="101"/>
    </row>
    <row r="74" spans="1:17" ht="25.5" x14ac:dyDescent="0.2">
      <c r="A74" s="18" t="s">
        <v>73</v>
      </c>
      <c r="B74" s="22">
        <v>900</v>
      </c>
      <c r="C74" s="19" t="s">
        <v>10</v>
      </c>
      <c r="D74" s="19" t="s">
        <v>58</v>
      </c>
      <c r="E74" s="19" t="s">
        <v>691</v>
      </c>
      <c r="F74" s="196" t="s">
        <v>65</v>
      </c>
      <c r="G74" s="20">
        <v>237.8</v>
      </c>
      <c r="H74" s="20"/>
      <c r="I74" s="20"/>
      <c r="J74" s="101"/>
      <c r="K74" s="101"/>
      <c r="L74" s="101"/>
      <c r="M74" s="101"/>
      <c r="N74" s="101"/>
      <c r="O74" s="101"/>
      <c r="P74" s="101"/>
      <c r="Q74" s="101"/>
    </row>
    <row r="75" spans="1:17" s="89" customFormat="1" ht="25.5" x14ac:dyDescent="0.2">
      <c r="A75" s="88" t="s">
        <v>4</v>
      </c>
      <c r="B75" s="57">
        <v>900</v>
      </c>
      <c r="C75" s="58" t="s">
        <v>14</v>
      </c>
      <c r="D75" s="58"/>
      <c r="E75" s="58"/>
      <c r="F75" s="58"/>
      <c r="G75" s="61">
        <f>G76</f>
        <v>16286.199999999999</v>
      </c>
      <c r="H75" s="61">
        <f>H76</f>
        <v>14784.4</v>
      </c>
      <c r="I75" s="61">
        <f>I76</f>
        <v>14705.1</v>
      </c>
    </row>
    <row r="76" spans="1:17" s="9" customFormat="1" ht="38.25" x14ac:dyDescent="0.2">
      <c r="A76" s="11" t="s">
        <v>77</v>
      </c>
      <c r="B76" s="14">
        <v>900</v>
      </c>
      <c r="C76" s="8" t="s">
        <v>14</v>
      </c>
      <c r="D76" s="8" t="s">
        <v>24</v>
      </c>
      <c r="E76" s="8"/>
      <c r="F76" s="8"/>
      <c r="G76" s="4">
        <f>G79+G81+G83+G77</f>
        <v>16286.199999999999</v>
      </c>
      <c r="H76" s="4">
        <f>H79+H81+H83+H77</f>
        <v>14784.4</v>
      </c>
      <c r="I76" s="4">
        <f>I79+I81+I83+I77</f>
        <v>14705.1</v>
      </c>
      <c r="J76" s="106"/>
      <c r="K76" s="106"/>
      <c r="L76" s="106"/>
      <c r="M76" s="106"/>
      <c r="N76" s="106"/>
      <c r="O76" s="106"/>
      <c r="P76" s="106"/>
      <c r="Q76" s="106"/>
    </row>
    <row r="77" spans="1:17" s="102" customFormat="1" ht="63.75" customHeight="1" x14ac:dyDescent="0.2">
      <c r="A77" s="224" t="s">
        <v>552</v>
      </c>
      <c r="B77" s="227">
        <v>900</v>
      </c>
      <c r="C77" s="228" t="s">
        <v>14</v>
      </c>
      <c r="D77" s="228" t="s">
        <v>24</v>
      </c>
      <c r="E77" s="228" t="s">
        <v>550</v>
      </c>
      <c r="F77" s="228"/>
      <c r="G77" s="189">
        <f>G78</f>
        <v>15976.199999999999</v>
      </c>
      <c r="H77" s="189">
        <f t="shared" ref="H77:I77" si="8">H78</f>
        <v>14784.4</v>
      </c>
      <c r="I77" s="189">
        <f t="shared" si="8"/>
        <v>14705.1</v>
      </c>
    </row>
    <row r="78" spans="1:17" s="102" customFormat="1" ht="25.5" x14ac:dyDescent="0.2">
      <c r="A78" s="230" t="s">
        <v>119</v>
      </c>
      <c r="B78" s="227">
        <v>900</v>
      </c>
      <c r="C78" s="228" t="s">
        <v>14</v>
      </c>
      <c r="D78" s="228" t="s">
        <v>24</v>
      </c>
      <c r="E78" s="228" t="s">
        <v>549</v>
      </c>
      <c r="F78" s="228" t="s">
        <v>62</v>
      </c>
      <c r="G78" s="189">
        <f>15854.8+80.4+41</f>
        <v>15976.199999999999</v>
      </c>
      <c r="H78" s="189">
        <v>14784.4</v>
      </c>
      <c r="I78" s="189">
        <v>14705.1</v>
      </c>
    </row>
    <row r="79" spans="1:17" s="86" customFormat="1" ht="25.5" x14ac:dyDescent="0.2">
      <c r="A79" s="82" t="s">
        <v>137</v>
      </c>
      <c r="B79" s="85">
        <v>900</v>
      </c>
      <c r="C79" s="70" t="s">
        <v>14</v>
      </c>
      <c r="D79" s="70" t="s">
        <v>24</v>
      </c>
      <c r="E79" s="70" t="s">
        <v>136</v>
      </c>
      <c r="F79" s="83"/>
      <c r="G79" s="84">
        <f>G80</f>
        <v>55</v>
      </c>
      <c r="H79" s="84">
        <f t="shared" ref="H79:I79" si="9">H80</f>
        <v>0</v>
      </c>
      <c r="I79" s="84">
        <f t="shared" si="9"/>
        <v>0</v>
      </c>
      <c r="J79" s="107"/>
      <c r="K79" s="107"/>
      <c r="L79" s="107"/>
      <c r="M79" s="107"/>
      <c r="N79" s="107"/>
      <c r="O79" s="107"/>
      <c r="P79" s="107"/>
      <c r="Q79" s="107"/>
    </row>
    <row r="80" spans="1:17" s="77" customFormat="1" ht="25.5" x14ac:dyDescent="0.2">
      <c r="A80" s="80" t="s">
        <v>119</v>
      </c>
      <c r="B80" s="74">
        <v>900</v>
      </c>
      <c r="C80" s="75" t="s">
        <v>14</v>
      </c>
      <c r="D80" s="75" t="s">
        <v>24</v>
      </c>
      <c r="E80" s="75" t="s">
        <v>136</v>
      </c>
      <c r="F80" s="76" t="s">
        <v>62</v>
      </c>
      <c r="G80" s="55">
        <v>55</v>
      </c>
      <c r="H80" s="55"/>
      <c r="I80" s="55"/>
      <c r="J80" s="102"/>
      <c r="K80" s="102"/>
      <c r="L80" s="102"/>
      <c r="M80" s="102"/>
      <c r="N80" s="102"/>
      <c r="O80" s="102"/>
      <c r="P80" s="102"/>
      <c r="Q80" s="102"/>
    </row>
    <row r="81" spans="1:17" s="86" customFormat="1" x14ac:dyDescent="0.2">
      <c r="A81" s="82" t="s">
        <v>138</v>
      </c>
      <c r="B81" s="85">
        <v>900</v>
      </c>
      <c r="C81" s="70" t="s">
        <v>14</v>
      </c>
      <c r="D81" s="70" t="s">
        <v>24</v>
      </c>
      <c r="E81" s="70" t="s">
        <v>139</v>
      </c>
      <c r="F81" s="83"/>
      <c r="G81" s="84">
        <f>G82</f>
        <v>220</v>
      </c>
      <c r="H81" s="84">
        <f t="shared" ref="H81:I81" si="10">H82</f>
        <v>0</v>
      </c>
      <c r="I81" s="84">
        <f t="shared" si="10"/>
        <v>0</v>
      </c>
    </row>
    <row r="82" spans="1:17" s="26" customFormat="1" ht="25.5" x14ac:dyDescent="0.2">
      <c r="A82" s="28" t="s">
        <v>119</v>
      </c>
      <c r="B82" s="32">
        <v>900</v>
      </c>
      <c r="C82" s="24" t="s">
        <v>14</v>
      </c>
      <c r="D82" s="24" t="s">
        <v>24</v>
      </c>
      <c r="E82" s="24" t="s">
        <v>139</v>
      </c>
      <c r="F82" s="27" t="s">
        <v>62</v>
      </c>
      <c r="G82" s="25">
        <v>220</v>
      </c>
      <c r="H82" s="25"/>
      <c r="I82" s="25"/>
      <c r="J82" s="102"/>
      <c r="K82" s="102"/>
      <c r="L82" s="102"/>
      <c r="M82" s="102"/>
      <c r="N82" s="102"/>
      <c r="O82" s="102"/>
      <c r="P82" s="102"/>
      <c r="Q82" s="102"/>
    </row>
    <row r="83" spans="1:17" s="86" customFormat="1" ht="25.5" x14ac:dyDescent="0.2">
      <c r="A83" s="82" t="s">
        <v>327</v>
      </c>
      <c r="B83" s="85">
        <v>900</v>
      </c>
      <c r="C83" s="70" t="s">
        <v>14</v>
      </c>
      <c r="D83" s="70" t="s">
        <v>24</v>
      </c>
      <c r="E83" s="70" t="s">
        <v>328</v>
      </c>
      <c r="F83" s="83"/>
      <c r="G83" s="84">
        <f>G84</f>
        <v>35</v>
      </c>
      <c r="H83" s="84">
        <f t="shared" ref="H83:I83" si="11">H84</f>
        <v>0</v>
      </c>
      <c r="I83" s="84">
        <f t="shared" si="11"/>
        <v>0</v>
      </c>
      <c r="J83" s="107"/>
      <c r="K83" s="107"/>
      <c r="L83" s="107"/>
      <c r="M83" s="107"/>
      <c r="N83" s="107"/>
      <c r="O83" s="107"/>
      <c r="P83" s="107"/>
      <c r="Q83" s="107"/>
    </row>
    <row r="84" spans="1:17" s="77" customFormat="1" ht="25.5" x14ac:dyDescent="0.2">
      <c r="A84" s="80" t="s">
        <v>119</v>
      </c>
      <c r="B84" s="74">
        <v>900</v>
      </c>
      <c r="C84" s="75" t="s">
        <v>14</v>
      </c>
      <c r="D84" s="75" t="s">
        <v>24</v>
      </c>
      <c r="E84" s="70" t="s">
        <v>328</v>
      </c>
      <c r="F84" s="76" t="s">
        <v>62</v>
      </c>
      <c r="G84" s="55">
        <v>35</v>
      </c>
      <c r="H84" s="55"/>
      <c r="I84" s="55"/>
      <c r="J84" s="102"/>
      <c r="K84" s="102"/>
      <c r="L84" s="102"/>
      <c r="M84" s="102"/>
      <c r="N84" s="102"/>
      <c r="O84" s="102"/>
      <c r="P84" s="102"/>
      <c r="Q84" s="102"/>
    </row>
    <row r="85" spans="1:17" s="89" customFormat="1" x14ac:dyDescent="0.2">
      <c r="A85" s="88" t="s">
        <v>25</v>
      </c>
      <c r="B85" s="90">
        <v>900</v>
      </c>
      <c r="C85" s="58" t="s">
        <v>16</v>
      </c>
      <c r="D85" s="58"/>
      <c r="E85" s="58"/>
      <c r="F85" s="91"/>
      <c r="G85" s="61">
        <f>G86</f>
        <v>655</v>
      </c>
      <c r="H85" s="61">
        <f t="shared" ref="H85:Q85" si="12">H86</f>
        <v>0</v>
      </c>
      <c r="I85" s="61">
        <f t="shared" si="12"/>
        <v>0</v>
      </c>
      <c r="J85" s="61">
        <f t="shared" si="12"/>
        <v>0</v>
      </c>
      <c r="K85" s="61">
        <f t="shared" si="12"/>
        <v>0</v>
      </c>
      <c r="L85" s="61">
        <f t="shared" si="12"/>
        <v>0</v>
      </c>
      <c r="M85" s="61">
        <f t="shared" si="12"/>
        <v>0</v>
      </c>
      <c r="N85" s="61">
        <f t="shared" si="12"/>
        <v>0</v>
      </c>
      <c r="O85" s="61">
        <f t="shared" si="12"/>
        <v>0</v>
      </c>
      <c r="P85" s="61">
        <f t="shared" si="12"/>
        <v>0</v>
      </c>
      <c r="Q85" s="61">
        <f t="shared" si="12"/>
        <v>0</v>
      </c>
    </row>
    <row r="86" spans="1:17" s="67" customFormat="1" x14ac:dyDescent="0.2">
      <c r="A86" s="63" t="s">
        <v>26</v>
      </c>
      <c r="B86" s="64">
        <v>900</v>
      </c>
      <c r="C86" s="65" t="s">
        <v>16</v>
      </c>
      <c r="D86" s="65" t="s">
        <v>21</v>
      </c>
      <c r="E86" s="65"/>
      <c r="F86" s="65"/>
      <c r="G86" s="66">
        <f>G87+G89</f>
        <v>655</v>
      </c>
      <c r="H86" s="66">
        <f t="shared" ref="H86:Q86" si="13">H87+H89</f>
        <v>0</v>
      </c>
      <c r="I86" s="66">
        <f t="shared" si="13"/>
        <v>0</v>
      </c>
      <c r="J86" s="66">
        <f t="shared" si="13"/>
        <v>0</v>
      </c>
      <c r="K86" s="66">
        <f t="shared" si="13"/>
        <v>0</v>
      </c>
      <c r="L86" s="66">
        <f t="shared" si="13"/>
        <v>0</v>
      </c>
      <c r="M86" s="66">
        <f t="shared" si="13"/>
        <v>0</v>
      </c>
      <c r="N86" s="66">
        <f t="shared" si="13"/>
        <v>0</v>
      </c>
      <c r="O86" s="66">
        <f t="shared" si="13"/>
        <v>0</v>
      </c>
      <c r="P86" s="66">
        <f t="shared" si="13"/>
        <v>0</v>
      </c>
      <c r="Q86" s="66">
        <f t="shared" si="13"/>
        <v>0</v>
      </c>
    </row>
    <row r="87" spans="1:17" ht="25.5" x14ac:dyDescent="0.2">
      <c r="A87" s="18" t="s">
        <v>141</v>
      </c>
      <c r="B87" s="22">
        <v>900</v>
      </c>
      <c r="C87" s="19" t="s">
        <v>16</v>
      </c>
      <c r="D87" s="19" t="s">
        <v>21</v>
      </c>
      <c r="E87" s="19" t="s">
        <v>140</v>
      </c>
      <c r="F87" s="19"/>
      <c r="G87" s="20">
        <f>G88</f>
        <v>203</v>
      </c>
      <c r="H87" s="20">
        <f>H88</f>
        <v>0</v>
      </c>
      <c r="I87" s="20">
        <f>I88</f>
        <v>0</v>
      </c>
      <c r="J87" s="101"/>
      <c r="K87" s="101"/>
      <c r="L87" s="101"/>
      <c r="M87" s="101"/>
      <c r="N87" s="101"/>
      <c r="O87" s="101"/>
      <c r="P87" s="101"/>
      <c r="Q87" s="101"/>
    </row>
    <row r="88" spans="1:17" s="26" customFormat="1" ht="25.5" x14ac:dyDescent="0.2">
      <c r="A88" s="28" t="s">
        <v>73</v>
      </c>
      <c r="B88" s="31">
        <v>900</v>
      </c>
      <c r="C88" s="24" t="s">
        <v>16</v>
      </c>
      <c r="D88" s="24" t="s">
        <v>21</v>
      </c>
      <c r="E88" s="24" t="s">
        <v>140</v>
      </c>
      <c r="F88" s="24" t="s">
        <v>65</v>
      </c>
      <c r="G88" s="25">
        <v>203</v>
      </c>
      <c r="H88" s="25"/>
      <c r="I88" s="25"/>
      <c r="J88" s="102"/>
      <c r="K88" s="102"/>
      <c r="L88" s="102"/>
      <c r="M88" s="102"/>
      <c r="N88" s="102"/>
      <c r="O88" s="102"/>
      <c r="P88" s="102"/>
      <c r="Q88" s="102"/>
    </row>
    <row r="89" spans="1:17" s="26" customFormat="1" ht="25.5" x14ac:dyDescent="0.2">
      <c r="A89" s="18" t="s">
        <v>553</v>
      </c>
      <c r="B89" s="31">
        <v>900</v>
      </c>
      <c r="C89" s="24" t="s">
        <v>16</v>
      </c>
      <c r="D89" s="24" t="s">
        <v>21</v>
      </c>
      <c r="E89" s="24" t="s">
        <v>554</v>
      </c>
      <c r="F89" s="24"/>
      <c r="G89" s="25">
        <f>G90</f>
        <v>452</v>
      </c>
      <c r="H89" s="25">
        <f t="shared" ref="H89:I89" si="14">H90</f>
        <v>0</v>
      </c>
      <c r="I89" s="25">
        <f t="shared" si="14"/>
        <v>0</v>
      </c>
      <c r="J89" s="102"/>
      <c r="K89" s="102"/>
      <c r="L89" s="102"/>
      <c r="M89" s="102"/>
      <c r="N89" s="102"/>
      <c r="O89" s="102"/>
      <c r="P89" s="102"/>
      <c r="Q89" s="102"/>
    </row>
    <row r="90" spans="1:17" s="26" customFormat="1" x14ac:dyDescent="0.2">
      <c r="A90" s="28" t="s">
        <v>69</v>
      </c>
      <c r="B90" s="31">
        <v>900</v>
      </c>
      <c r="C90" s="24" t="s">
        <v>16</v>
      </c>
      <c r="D90" s="24" t="s">
        <v>21</v>
      </c>
      <c r="E90" s="24" t="s">
        <v>554</v>
      </c>
      <c r="F90" s="24" t="s">
        <v>70</v>
      </c>
      <c r="G90" s="25">
        <v>452</v>
      </c>
      <c r="H90" s="25"/>
      <c r="I90" s="25"/>
      <c r="J90" s="102"/>
      <c r="K90" s="102"/>
      <c r="L90" s="102"/>
      <c r="M90" s="102"/>
      <c r="N90" s="102"/>
      <c r="O90" s="102"/>
      <c r="P90" s="102"/>
      <c r="Q90" s="102"/>
    </row>
    <row r="91" spans="1:17" s="89" customFormat="1" x14ac:dyDescent="0.2">
      <c r="A91" s="88" t="s">
        <v>27</v>
      </c>
      <c r="B91" s="57">
        <v>900</v>
      </c>
      <c r="C91" s="58" t="s">
        <v>28</v>
      </c>
      <c r="D91" s="58"/>
      <c r="E91" s="58"/>
      <c r="F91" s="58"/>
      <c r="G91" s="61">
        <f>G92</f>
        <v>207571.30580999999</v>
      </c>
      <c r="H91" s="61">
        <f t="shared" ref="H91:I91" si="15">H92</f>
        <v>167110.96</v>
      </c>
      <c r="I91" s="61">
        <f t="shared" si="15"/>
        <v>83344.032000000007</v>
      </c>
    </row>
    <row r="92" spans="1:17" s="67" customFormat="1" x14ac:dyDescent="0.2">
      <c r="A92" s="63" t="s">
        <v>29</v>
      </c>
      <c r="B92" s="64">
        <v>900</v>
      </c>
      <c r="C92" s="65" t="s">
        <v>28</v>
      </c>
      <c r="D92" s="65" t="s">
        <v>10</v>
      </c>
      <c r="E92" s="65"/>
      <c r="F92" s="65"/>
      <c r="G92" s="66">
        <f>G103+G108+G99+G96+G93+G101+G106</f>
        <v>207571.30580999999</v>
      </c>
      <c r="H92" s="66">
        <f t="shared" ref="H92:I92" si="16">H103+H108+H99+H96+H93+H101+H106</f>
        <v>167110.96</v>
      </c>
      <c r="I92" s="66">
        <f t="shared" si="16"/>
        <v>83344.032000000007</v>
      </c>
    </row>
    <row r="93" spans="1:17" ht="53.25" customHeight="1" x14ac:dyDescent="0.2">
      <c r="A93" s="18" t="s">
        <v>634</v>
      </c>
      <c r="B93" s="22">
        <v>900</v>
      </c>
      <c r="C93" s="19" t="s">
        <v>28</v>
      </c>
      <c r="D93" s="19" t="s">
        <v>10</v>
      </c>
      <c r="E93" s="19" t="s">
        <v>628</v>
      </c>
      <c r="F93" s="19"/>
      <c r="G93" s="20">
        <f>G94+G95</f>
        <v>175340.65198</v>
      </c>
      <c r="H93" s="20">
        <f t="shared" ref="H93:I93" si="17">H94+H95</f>
        <v>140373.2064</v>
      </c>
      <c r="I93" s="20">
        <f t="shared" si="17"/>
        <v>0</v>
      </c>
      <c r="J93" s="101"/>
      <c r="K93" s="101"/>
      <c r="L93" s="101"/>
      <c r="M93" s="101"/>
      <c r="N93" s="101"/>
      <c r="O93" s="101"/>
      <c r="P93" s="101"/>
      <c r="Q93" s="101"/>
    </row>
    <row r="94" spans="1:17" s="26" customFormat="1" ht="25.5" x14ac:dyDescent="0.2">
      <c r="A94" s="28" t="s">
        <v>79</v>
      </c>
      <c r="B94" s="31">
        <v>900</v>
      </c>
      <c r="C94" s="24" t="s">
        <v>28</v>
      </c>
      <c r="D94" s="24" t="s">
        <v>10</v>
      </c>
      <c r="E94" s="24" t="s">
        <v>628</v>
      </c>
      <c r="F94" s="24" t="s">
        <v>68</v>
      </c>
      <c r="G94" s="25">
        <v>85831.981480000002</v>
      </c>
      <c r="H94" s="25">
        <v>72661.518339999995</v>
      </c>
      <c r="I94" s="25">
        <v>0</v>
      </c>
      <c r="J94" s="102"/>
      <c r="K94" s="102"/>
      <c r="L94" s="102"/>
      <c r="M94" s="102"/>
      <c r="N94" s="102"/>
      <c r="O94" s="102"/>
      <c r="P94" s="102"/>
      <c r="Q94" s="102"/>
    </row>
    <row r="95" spans="1:17" s="26" customFormat="1" x14ac:dyDescent="0.2">
      <c r="A95" s="28" t="s">
        <v>69</v>
      </c>
      <c r="B95" s="31">
        <v>900</v>
      </c>
      <c r="C95" s="24" t="s">
        <v>28</v>
      </c>
      <c r="D95" s="24" t="s">
        <v>10</v>
      </c>
      <c r="E95" s="24" t="s">
        <v>628</v>
      </c>
      <c r="F95" s="24" t="s">
        <v>70</v>
      </c>
      <c r="G95" s="25">
        <v>89508.670499999993</v>
      </c>
      <c r="H95" s="25">
        <v>67711.68806</v>
      </c>
      <c r="I95" s="25">
        <v>0</v>
      </c>
      <c r="J95" s="102"/>
      <c r="K95" s="102"/>
      <c r="L95" s="102"/>
      <c r="M95" s="102"/>
      <c r="N95" s="102"/>
      <c r="O95" s="102"/>
      <c r="P95" s="102"/>
      <c r="Q95" s="102"/>
    </row>
    <row r="96" spans="1:17" ht="63.75" x14ac:dyDescent="0.2">
      <c r="A96" s="18" t="s">
        <v>635</v>
      </c>
      <c r="B96" s="22">
        <v>900</v>
      </c>
      <c r="C96" s="19" t="s">
        <v>28</v>
      </c>
      <c r="D96" s="19" t="s">
        <v>10</v>
      </c>
      <c r="E96" s="19" t="s">
        <v>629</v>
      </c>
      <c r="F96" s="19"/>
      <c r="G96" s="20">
        <f>G97+G98</f>
        <v>4335.3439099999996</v>
      </c>
      <c r="H96" s="20">
        <f t="shared" ref="H96:I96" si="18">H97+H98</f>
        <v>26737.7536</v>
      </c>
      <c r="I96" s="20">
        <f t="shared" si="18"/>
        <v>83344.032000000007</v>
      </c>
      <c r="J96" s="101"/>
      <c r="K96" s="101"/>
      <c r="L96" s="101"/>
      <c r="M96" s="101"/>
      <c r="N96" s="101"/>
      <c r="O96" s="101"/>
      <c r="P96" s="101"/>
      <c r="Q96" s="101"/>
    </row>
    <row r="97" spans="1:17" s="26" customFormat="1" ht="25.5" x14ac:dyDescent="0.2">
      <c r="A97" s="28" t="s">
        <v>79</v>
      </c>
      <c r="B97" s="31">
        <v>900</v>
      </c>
      <c r="C97" s="24" t="s">
        <v>28</v>
      </c>
      <c r="D97" s="24" t="s">
        <v>10</v>
      </c>
      <c r="E97" s="24" t="s">
        <v>629</v>
      </c>
      <c r="F97" s="24" t="s">
        <v>68</v>
      </c>
      <c r="G97" s="25">
        <v>2106.9</v>
      </c>
      <c r="H97" s="25">
        <v>13576</v>
      </c>
      <c r="I97" s="25">
        <v>41849.699999999997</v>
      </c>
      <c r="J97" s="102"/>
      <c r="K97" s="102"/>
      <c r="L97" s="102"/>
      <c r="M97" s="102"/>
      <c r="N97" s="102"/>
      <c r="O97" s="102"/>
      <c r="P97" s="102"/>
      <c r="Q97" s="102"/>
    </row>
    <row r="98" spans="1:17" x14ac:dyDescent="0.2">
      <c r="A98" s="28" t="s">
        <v>69</v>
      </c>
      <c r="B98" s="31">
        <v>900</v>
      </c>
      <c r="C98" s="24" t="s">
        <v>28</v>
      </c>
      <c r="D98" s="24" t="s">
        <v>10</v>
      </c>
      <c r="E98" s="24" t="s">
        <v>629</v>
      </c>
      <c r="F98" s="24" t="s">
        <v>70</v>
      </c>
      <c r="G98" s="20">
        <v>2228.44391</v>
      </c>
      <c r="H98" s="20">
        <f>13161.8-0.0464</f>
        <v>13161.7536</v>
      </c>
      <c r="I98" s="20">
        <v>41494.332000000002</v>
      </c>
      <c r="J98" s="101"/>
      <c r="K98" s="101"/>
      <c r="L98" s="101"/>
      <c r="M98" s="101"/>
      <c r="N98" s="101"/>
      <c r="O98" s="101"/>
      <c r="P98" s="101"/>
      <c r="Q98" s="101"/>
    </row>
    <row r="99" spans="1:17" s="72" customFormat="1" ht="63.75" x14ac:dyDescent="0.2">
      <c r="A99" s="68" t="s">
        <v>635</v>
      </c>
      <c r="B99" s="68">
        <v>900</v>
      </c>
      <c r="C99" s="70" t="s">
        <v>28</v>
      </c>
      <c r="D99" s="70" t="s">
        <v>10</v>
      </c>
      <c r="E99" s="70" t="s">
        <v>632</v>
      </c>
      <c r="F99" s="92"/>
      <c r="G99" s="71">
        <f>G100</f>
        <v>1277</v>
      </c>
      <c r="H99" s="55">
        <v>0</v>
      </c>
      <c r="I99" s="55">
        <v>0</v>
      </c>
      <c r="J99" s="101"/>
      <c r="K99" s="101"/>
      <c r="L99" s="101"/>
      <c r="M99" s="101"/>
      <c r="N99" s="101"/>
      <c r="O99" s="101"/>
      <c r="P99" s="101"/>
      <c r="Q99" s="101"/>
    </row>
    <row r="100" spans="1:17" s="77" customFormat="1" ht="25.5" x14ac:dyDescent="0.2">
      <c r="A100" s="80" t="s">
        <v>79</v>
      </c>
      <c r="B100" s="80">
        <v>900</v>
      </c>
      <c r="C100" s="75" t="s">
        <v>28</v>
      </c>
      <c r="D100" s="75" t="s">
        <v>10</v>
      </c>
      <c r="E100" s="70" t="s">
        <v>632</v>
      </c>
      <c r="F100" s="76" t="s">
        <v>68</v>
      </c>
      <c r="G100" s="55">
        <v>1277</v>
      </c>
      <c r="H100" s="55"/>
      <c r="I100" s="55"/>
      <c r="J100" s="102"/>
      <c r="K100" s="102"/>
      <c r="L100" s="102"/>
      <c r="M100" s="102"/>
      <c r="N100" s="102"/>
      <c r="O100" s="102"/>
      <c r="P100" s="102"/>
      <c r="Q100" s="102"/>
    </row>
    <row r="101" spans="1:17" ht="63.75" x14ac:dyDescent="0.2">
      <c r="A101" s="18" t="s">
        <v>653</v>
      </c>
      <c r="B101" s="22">
        <v>900</v>
      </c>
      <c r="C101" s="19" t="s">
        <v>28</v>
      </c>
      <c r="D101" s="19" t="s">
        <v>10</v>
      </c>
      <c r="E101" s="19" t="s">
        <v>654</v>
      </c>
      <c r="F101" s="19"/>
      <c r="G101" s="20">
        <f>G102</f>
        <v>167.57162</v>
      </c>
      <c r="H101" s="20">
        <f t="shared" ref="H101:I101" si="19">H102</f>
        <v>0</v>
      </c>
      <c r="I101" s="20">
        <f t="shared" si="19"/>
        <v>0</v>
      </c>
      <c r="J101" s="101"/>
      <c r="K101" s="101"/>
      <c r="L101" s="101"/>
      <c r="M101" s="101"/>
      <c r="N101" s="101"/>
      <c r="O101" s="101"/>
      <c r="P101" s="101"/>
      <c r="Q101" s="101"/>
    </row>
    <row r="102" spans="1:17" s="26" customFormat="1" ht="25.5" x14ac:dyDescent="0.2">
      <c r="A102" s="28" t="s">
        <v>79</v>
      </c>
      <c r="B102" s="31">
        <v>900</v>
      </c>
      <c r="C102" s="24" t="s">
        <v>28</v>
      </c>
      <c r="D102" s="24" t="s">
        <v>10</v>
      </c>
      <c r="E102" s="24" t="s">
        <v>654</v>
      </c>
      <c r="F102" s="24" t="s">
        <v>68</v>
      </c>
      <c r="G102" s="25">
        <v>167.57162</v>
      </c>
      <c r="H102" s="25">
        <f>63733.72713+6653.33795-70387.06508</f>
        <v>0</v>
      </c>
      <c r="I102" s="25">
        <v>0</v>
      </c>
      <c r="J102" s="102"/>
      <c r="K102" s="102"/>
      <c r="L102" s="102"/>
      <c r="M102" s="102"/>
      <c r="N102" s="102"/>
      <c r="O102" s="102"/>
      <c r="P102" s="102"/>
      <c r="Q102" s="102"/>
    </row>
    <row r="103" spans="1:17" ht="63.75" x14ac:dyDescent="0.2">
      <c r="A103" s="18" t="s">
        <v>653</v>
      </c>
      <c r="B103" s="22">
        <v>900</v>
      </c>
      <c r="C103" s="19" t="s">
        <v>28</v>
      </c>
      <c r="D103" s="19" t="s">
        <v>10</v>
      </c>
      <c r="E103" s="19" t="s">
        <v>655</v>
      </c>
      <c r="F103" s="19"/>
      <c r="G103" s="20">
        <f>G104+G105</f>
        <v>1986.1383000000001</v>
      </c>
      <c r="H103" s="20">
        <f t="shared" ref="H103:I103" si="20">H104+H105</f>
        <v>0</v>
      </c>
      <c r="I103" s="20">
        <f t="shared" si="20"/>
        <v>0</v>
      </c>
      <c r="J103" s="101"/>
      <c r="K103" s="101"/>
      <c r="L103" s="101"/>
      <c r="M103" s="101"/>
      <c r="N103" s="101"/>
      <c r="O103" s="101"/>
      <c r="P103" s="101"/>
      <c r="Q103" s="101"/>
    </row>
    <row r="104" spans="1:17" s="26" customFormat="1" ht="25.5" x14ac:dyDescent="0.2">
      <c r="A104" s="28" t="s">
        <v>79</v>
      </c>
      <c r="B104" s="31">
        <v>900</v>
      </c>
      <c r="C104" s="24" t="s">
        <v>28</v>
      </c>
      <c r="D104" s="24" t="s">
        <v>10</v>
      </c>
      <c r="E104" s="24" t="s">
        <v>655</v>
      </c>
      <c r="F104" s="24" t="s">
        <v>68</v>
      </c>
      <c r="G104" s="25">
        <v>262.81376</v>
      </c>
      <c r="H104" s="25">
        <f>3946.92174+2106.90007-3946.92174-2106.90007</f>
        <v>0</v>
      </c>
      <c r="I104" s="25">
        <f>100785.364-100785.364</f>
        <v>0</v>
      </c>
      <c r="J104" s="102"/>
      <c r="K104" s="102"/>
      <c r="L104" s="102"/>
      <c r="M104" s="102"/>
      <c r="N104" s="102"/>
      <c r="O104" s="102"/>
      <c r="P104" s="102"/>
      <c r="Q104" s="102"/>
    </row>
    <row r="105" spans="1:17" x14ac:dyDescent="0.2">
      <c r="A105" s="28" t="s">
        <v>69</v>
      </c>
      <c r="B105" s="31">
        <v>900</v>
      </c>
      <c r="C105" s="24" t="s">
        <v>28</v>
      </c>
      <c r="D105" s="24" t="s">
        <v>10</v>
      </c>
      <c r="E105" s="24" t="s">
        <v>655</v>
      </c>
      <c r="F105" s="24" t="s">
        <v>70</v>
      </c>
      <c r="G105" s="20">
        <v>1723.3245400000001</v>
      </c>
      <c r="H105" s="20">
        <f>2228.44384-2228.44384</f>
        <v>0</v>
      </c>
      <c r="I105" s="20">
        <v>0</v>
      </c>
      <c r="J105" s="101"/>
      <c r="K105" s="101"/>
      <c r="L105" s="101"/>
      <c r="M105" s="101"/>
      <c r="N105" s="101"/>
      <c r="O105" s="101"/>
      <c r="P105" s="101"/>
      <c r="Q105" s="101"/>
    </row>
    <row r="106" spans="1:17" x14ac:dyDescent="0.2">
      <c r="A106" s="18" t="s">
        <v>145</v>
      </c>
      <c r="B106" s="18">
        <v>900</v>
      </c>
      <c r="C106" s="19" t="s">
        <v>28</v>
      </c>
      <c r="D106" s="19" t="s">
        <v>10</v>
      </c>
      <c r="E106" s="19" t="s">
        <v>144</v>
      </c>
      <c r="F106" s="19"/>
      <c r="G106" s="20">
        <f>G107</f>
        <v>16276.1</v>
      </c>
      <c r="H106" s="20">
        <f t="shared" ref="H106:I106" si="21">H107</f>
        <v>0</v>
      </c>
      <c r="I106" s="20">
        <f t="shared" si="21"/>
        <v>0</v>
      </c>
      <c r="J106" s="101"/>
      <c r="K106" s="101"/>
      <c r="L106" s="101"/>
      <c r="M106" s="101"/>
      <c r="N106" s="101"/>
      <c r="O106" s="101"/>
      <c r="P106" s="101"/>
      <c r="Q106" s="101"/>
    </row>
    <row r="107" spans="1:17" ht="25.5" x14ac:dyDescent="0.2">
      <c r="A107" s="28" t="s">
        <v>79</v>
      </c>
      <c r="B107" s="28">
        <v>900</v>
      </c>
      <c r="C107" s="24" t="s">
        <v>28</v>
      </c>
      <c r="D107" s="24" t="s">
        <v>10</v>
      </c>
      <c r="E107" s="19" t="s">
        <v>144</v>
      </c>
      <c r="F107" s="24" t="s">
        <v>68</v>
      </c>
      <c r="G107" s="25">
        <f>194.5+16081.6</f>
        <v>16276.1</v>
      </c>
      <c r="H107" s="25">
        <v>0</v>
      </c>
      <c r="I107" s="25">
        <v>0</v>
      </c>
      <c r="J107" s="101"/>
      <c r="K107" s="101"/>
      <c r="L107" s="101"/>
      <c r="M107" s="101"/>
      <c r="N107" s="101"/>
      <c r="O107" s="101"/>
      <c r="P107" s="101"/>
      <c r="Q107" s="101"/>
    </row>
    <row r="108" spans="1:17" x14ac:dyDescent="0.2">
      <c r="A108" s="18" t="s">
        <v>147</v>
      </c>
      <c r="B108" s="22">
        <v>900</v>
      </c>
      <c r="C108" s="19" t="s">
        <v>28</v>
      </c>
      <c r="D108" s="19" t="s">
        <v>10</v>
      </c>
      <c r="E108" s="24" t="s">
        <v>146</v>
      </c>
      <c r="F108" s="19"/>
      <c r="G108" s="20">
        <f>G109</f>
        <v>8188.5000000000009</v>
      </c>
      <c r="H108" s="20">
        <f t="shared" ref="H108:I108" si="22">H109</f>
        <v>0</v>
      </c>
      <c r="I108" s="20">
        <f t="shared" si="22"/>
        <v>0</v>
      </c>
      <c r="J108" s="101"/>
      <c r="K108" s="101"/>
      <c r="L108" s="101"/>
      <c r="M108" s="101"/>
      <c r="N108" s="101"/>
      <c r="O108" s="101"/>
      <c r="P108" s="101"/>
      <c r="Q108" s="101"/>
    </row>
    <row r="109" spans="1:17" s="26" customFormat="1" ht="25.5" x14ac:dyDescent="0.2">
      <c r="A109" s="28" t="s">
        <v>73</v>
      </c>
      <c r="B109" s="22">
        <v>900</v>
      </c>
      <c r="C109" s="19" t="s">
        <v>28</v>
      </c>
      <c r="D109" s="19" t="s">
        <v>10</v>
      </c>
      <c r="E109" s="24" t="s">
        <v>146</v>
      </c>
      <c r="F109" s="24" t="s">
        <v>65</v>
      </c>
      <c r="G109" s="25">
        <f>8327.2-138.7</f>
        <v>8188.5000000000009</v>
      </c>
      <c r="H109" s="25"/>
      <c r="I109" s="25"/>
      <c r="J109" s="102"/>
      <c r="K109" s="102"/>
      <c r="L109" s="102"/>
      <c r="M109" s="102"/>
      <c r="N109" s="102"/>
      <c r="O109" s="102"/>
      <c r="P109" s="102"/>
      <c r="Q109" s="102"/>
    </row>
    <row r="110" spans="1:17" s="3" customFormat="1" x14ac:dyDescent="0.2">
      <c r="A110" s="13" t="s">
        <v>34</v>
      </c>
      <c r="B110" s="41">
        <v>900</v>
      </c>
      <c r="C110" s="1" t="s">
        <v>17</v>
      </c>
      <c r="D110" s="1"/>
      <c r="E110" s="1"/>
      <c r="F110" s="1"/>
      <c r="G110" s="2">
        <f t="shared" ref="G110:I112" si="23">G111</f>
        <v>12.599999999999994</v>
      </c>
      <c r="H110" s="2">
        <f t="shared" si="23"/>
        <v>0</v>
      </c>
      <c r="I110" s="2">
        <f t="shared" si="23"/>
        <v>0</v>
      </c>
    </row>
    <row r="111" spans="1:17" s="9" customFormat="1" x14ac:dyDescent="0.2">
      <c r="A111" s="11" t="s">
        <v>37</v>
      </c>
      <c r="B111" s="14">
        <v>900</v>
      </c>
      <c r="C111" s="8" t="s">
        <v>17</v>
      </c>
      <c r="D111" s="8" t="s">
        <v>17</v>
      </c>
      <c r="E111" s="8"/>
      <c r="F111" s="8"/>
      <c r="G111" s="4">
        <f t="shared" si="23"/>
        <v>12.599999999999994</v>
      </c>
      <c r="H111" s="4">
        <f t="shared" si="23"/>
        <v>0</v>
      </c>
      <c r="I111" s="4">
        <f t="shared" si="23"/>
        <v>0</v>
      </c>
      <c r="J111" s="106"/>
      <c r="K111" s="106"/>
      <c r="L111" s="106"/>
      <c r="M111" s="106"/>
      <c r="N111" s="106"/>
      <c r="O111" s="106"/>
      <c r="P111" s="106"/>
      <c r="Q111" s="106"/>
    </row>
    <row r="112" spans="1:17" ht="25.5" x14ac:dyDescent="0.2">
      <c r="A112" s="18" t="s">
        <v>149</v>
      </c>
      <c r="B112" s="22">
        <v>900</v>
      </c>
      <c r="C112" s="19" t="s">
        <v>17</v>
      </c>
      <c r="D112" s="19" t="s">
        <v>17</v>
      </c>
      <c r="E112" s="19" t="s">
        <v>148</v>
      </c>
      <c r="F112" s="19"/>
      <c r="G112" s="20">
        <f>G113</f>
        <v>12.599999999999994</v>
      </c>
      <c r="H112" s="20">
        <f t="shared" si="23"/>
        <v>0</v>
      </c>
      <c r="I112" s="20">
        <f t="shared" si="23"/>
        <v>0</v>
      </c>
      <c r="J112" s="101"/>
      <c r="K112" s="101"/>
      <c r="L112" s="101"/>
      <c r="M112" s="101"/>
      <c r="N112" s="101"/>
      <c r="O112" s="101"/>
      <c r="P112" s="101"/>
      <c r="Q112" s="101"/>
    </row>
    <row r="113" spans="1:17" s="26" customFormat="1" ht="25.5" x14ac:dyDescent="0.2">
      <c r="A113" s="28" t="s">
        <v>73</v>
      </c>
      <c r="B113" s="31">
        <v>900</v>
      </c>
      <c r="C113" s="24" t="s">
        <v>17</v>
      </c>
      <c r="D113" s="24" t="s">
        <v>17</v>
      </c>
      <c r="E113" s="24" t="s">
        <v>148</v>
      </c>
      <c r="F113" s="27" t="s">
        <v>65</v>
      </c>
      <c r="G113" s="25">
        <f>121.1-108.5</f>
        <v>12.599999999999994</v>
      </c>
      <c r="H113" s="25">
        <f>121.1-121.1</f>
        <v>0</v>
      </c>
      <c r="I113" s="25">
        <f>121.1-121.1</f>
        <v>0</v>
      </c>
      <c r="J113" s="102"/>
      <c r="K113" s="102"/>
      <c r="L113" s="102"/>
      <c r="M113" s="102"/>
      <c r="N113" s="102"/>
      <c r="O113" s="102"/>
      <c r="P113" s="102"/>
      <c r="Q113" s="102"/>
    </row>
    <row r="114" spans="1:17" s="89" customFormat="1" x14ac:dyDescent="0.2">
      <c r="A114" s="88" t="s">
        <v>49</v>
      </c>
      <c r="B114" s="57">
        <v>900</v>
      </c>
      <c r="C114" s="58" t="s">
        <v>48</v>
      </c>
      <c r="D114" s="58"/>
      <c r="E114" s="58"/>
      <c r="F114" s="58"/>
      <c r="G114" s="61">
        <f>G115+G128</f>
        <v>369009.11129000003</v>
      </c>
      <c r="H114" s="61">
        <f>H115+H128</f>
        <v>294308.3</v>
      </c>
      <c r="I114" s="61">
        <f>I115+I128</f>
        <v>639796.4</v>
      </c>
    </row>
    <row r="115" spans="1:17" s="9" customFormat="1" x14ac:dyDescent="0.2">
      <c r="A115" s="11" t="s">
        <v>52</v>
      </c>
      <c r="B115" s="14">
        <v>900</v>
      </c>
      <c r="C115" s="8" t="s">
        <v>48</v>
      </c>
      <c r="D115" s="8" t="s">
        <v>14</v>
      </c>
      <c r="E115" s="8"/>
      <c r="F115" s="8"/>
      <c r="G115" s="4">
        <f>G118+G124+G116+G122+G126+G120</f>
        <v>368740.21129000001</v>
      </c>
      <c r="H115" s="4">
        <f t="shared" ref="H115:I115" si="24">H118+H124+H116+H122+H126+H120</f>
        <v>294308.3</v>
      </c>
      <c r="I115" s="4">
        <f t="shared" si="24"/>
        <v>639796.4</v>
      </c>
      <c r="J115" s="106"/>
      <c r="K115" s="106"/>
      <c r="L115" s="106"/>
      <c r="M115" s="106"/>
      <c r="N115" s="106"/>
      <c r="O115" s="106"/>
      <c r="P115" s="106"/>
      <c r="Q115" s="106"/>
    </row>
    <row r="116" spans="1:17" ht="52.5" customHeight="1" x14ac:dyDescent="0.2">
      <c r="A116" s="18" t="s">
        <v>309</v>
      </c>
      <c r="B116" s="18">
        <v>900</v>
      </c>
      <c r="C116" s="19" t="s">
        <v>48</v>
      </c>
      <c r="D116" s="19" t="s">
        <v>14</v>
      </c>
      <c r="E116" s="19" t="s">
        <v>308</v>
      </c>
      <c r="F116" s="19"/>
      <c r="G116" s="20">
        <f>G117</f>
        <v>654.70000000000005</v>
      </c>
      <c r="H116" s="20">
        <f>H117</f>
        <v>0</v>
      </c>
      <c r="I116" s="20">
        <f>I117</f>
        <v>654.70000000000005</v>
      </c>
      <c r="J116" s="101"/>
      <c r="K116" s="101"/>
      <c r="L116" s="101"/>
      <c r="M116" s="101"/>
      <c r="N116" s="101"/>
      <c r="O116" s="101"/>
      <c r="P116" s="101"/>
      <c r="Q116" s="101"/>
    </row>
    <row r="117" spans="1:17" ht="25.5" x14ac:dyDescent="0.2">
      <c r="A117" s="28" t="s">
        <v>79</v>
      </c>
      <c r="B117" s="28">
        <v>900</v>
      </c>
      <c r="C117" s="24" t="s">
        <v>48</v>
      </c>
      <c r="D117" s="24" t="s">
        <v>14</v>
      </c>
      <c r="E117" s="24" t="s">
        <v>308</v>
      </c>
      <c r="F117" s="24" t="s">
        <v>68</v>
      </c>
      <c r="G117" s="25">
        <v>654.70000000000005</v>
      </c>
      <c r="H117" s="25">
        <v>0</v>
      </c>
      <c r="I117" s="25">
        <v>654.70000000000005</v>
      </c>
      <c r="J117" s="101"/>
      <c r="K117" s="101"/>
      <c r="L117" s="101"/>
      <c r="M117" s="101"/>
      <c r="N117" s="101"/>
      <c r="O117" s="101"/>
      <c r="P117" s="101"/>
      <c r="Q117" s="101"/>
    </row>
    <row r="118" spans="1:17" ht="63.75" x14ac:dyDescent="0.2">
      <c r="A118" s="18" t="s">
        <v>152</v>
      </c>
      <c r="B118" s="22">
        <v>900</v>
      </c>
      <c r="C118" s="19" t="s">
        <v>48</v>
      </c>
      <c r="D118" s="19" t="s">
        <v>14</v>
      </c>
      <c r="E118" s="19" t="s">
        <v>85</v>
      </c>
      <c r="F118" s="19"/>
      <c r="G118" s="20">
        <f>G119</f>
        <v>2618.5</v>
      </c>
      <c r="H118" s="20">
        <f t="shared" ref="H118:I118" si="25">H119</f>
        <v>0</v>
      </c>
      <c r="I118" s="20">
        <f t="shared" si="25"/>
        <v>1309.3</v>
      </c>
      <c r="J118" s="101"/>
      <c r="K118" s="101"/>
      <c r="L118" s="101"/>
      <c r="M118" s="101"/>
      <c r="N118" s="101"/>
      <c r="O118" s="101"/>
      <c r="P118" s="101"/>
      <c r="Q118" s="101"/>
    </row>
    <row r="119" spans="1:17" x14ac:dyDescent="0.2">
      <c r="A119" s="52" t="s">
        <v>66</v>
      </c>
      <c r="B119" s="28">
        <v>900</v>
      </c>
      <c r="C119" s="24" t="s">
        <v>48</v>
      </c>
      <c r="D119" s="24" t="s">
        <v>14</v>
      </c>
      <c r="E119" s="24" t="s">
        <v>85</v>
      </c>
      <c r="F119" s="24" t="s">
        <v>67</v>
      </c>
      <c r="G119" s="20">
        <v>2618.5</v>
      </c>
      <c r="H119" s="20">
        <v>0</v>
      </c>
      <c r="I119" s="20">
        <v>1309.3</v>
      </c>
      <c r="J119" s="101"/>
      <c r="K119" s="101"/>
      <c r="L119" s="101"/>
      <c r="M119" s="101"/>
      <c r="N119" s="101"/>
      <c r="O119" s="101"/>
      <c r="P119" s="101"/>
      <c r="Q119" s="101"/>
    </row>
    <row r="120" spans="1:17" ht="25.5" x14ac:dyDescent="0.2">
      <c r="A120" s="18" t="s">
        <v>290</v>
      </c>
      <c r="B120" s="22">
        <v>900</v>
      </c>
      <c r="C120" s="19" t="s">
        <v>48</v>
      </c>
      <c r="D120" s="19" t="s">
        <v>14</v>
      </c>
      <c r="E120" s="19" t="s">
        <v>289</v>
      </c>
      <c r="F120" s="19"/>
      <c r="G120" s="20">
        <f>G121</f>
        <v>19433.5</v>
      </c>
      <c r="H120" s="20">
        <f>H121</f>
        <v>19433.5</v>
      </c>
      <c r="I120" s="20">
        <f>I121</f>
        <v>19433.5</v>
      </c>
      <c r="J120" s="101"/>
      <c r="K120" s="101"/>
      <c r="L120" s="101"/>
      <c r="M120" s="101"/>
      <c r="N120" s="101"/>
      <c r="O120" s="101"/>
      <c r="P120" s="101"/>
      <c r="Q120" s="101"/>
    </row>
    <row r="121" spans="1:17" s="26" customFormat="1" ht="25.5" x14ac:dyDescent="0.2">
      <c r="A121" s="28" t="s">
        <v>79</v>
      </c>
      <c r="B121" s="28">
        <v>900</v>
      </c>
      <c r="C121" s="24" t="s">
        <v>48</v>
      </c>
      <c r="D121" s="24" t="s">
        <v>14</v>
      </c>
      <c r="E121" s="24" t="s">
        <v>289</v>
      </c>
      <c r="F121" s="24" t="s">
        <v>68</v>
      </c>
      <c r="G121" s="25">
        <f>21142.8-1709.3</f>
        <v>19433.5</v>
      </c>
      <c r="H121" s="25">
        <f>21142.8-1709.3</f>
        <v>19433.5</v>
      </c>
      <c r="I121" s="25">
        <f>21142.8-1709.3</f>
        <v>19433.5</v>
      </c>
      <c r="J121" s="102"/>
      <c r="K121" s="102"/>
      <c r="L121" s="102"/>
      <c r="M121" s="102"/>
      <c r="N121" s="102"/>
      <c r="O121" s="102"/>
      <c r="P121" s="102"/>
      <c r="Q121" s="102"/>
    </row>
    <row r="122" spans="1:17" s="21" customFormat="1" ht="38.25" x14ac:dyDescent="0.2">
      <c r="A122" s="18" t="s">
        <v>280</v>
      </c>
      <c r="B122" s="22">
        <v>900</v>
      </c>
      <c r="C122" s="19" t="s">
        <v>48</v>
      </c>
      <c r="D122" s="19" t="s">
        <v>14</v>
      </c>
      <c r="E122" s="19" t="s">
        <v>143</v>
      </c>
      <c r="F122" s="19"/>
      <c r="G122" s="20">
        <f>G123</f>
        <v>2000</v>
      </c>
      <c r="H122" s="20">
        <f>H123</f>
        <v>0</v>
      </c>
      <c r="I122" s="20">
        <f>I123</f>
        <v>0</v>
      </c>
    </row>
    <row r="123" spans="1:17" s="26" customFormat="1" ht="25.5" x14ac:dyDescent="0.2">
      <c r="A123" s="28" t="s">
        <v>79</v>
      </c>
      <c r="B123" s="31">
        <v>900</v>
      </c>
      <c r="C123" s="24" t="s">
        <v>48</v>
      </c>
      <c r="D123" s="24" t="s">
        <v>14</v>
      </c>
      <c r="E123" s="24" t="s">
        <v>143</v>
      </c>
      <c r="F123" s="24" t="s">
        <v>68</v>
      </c>
      <c r="G123" s="25">
        <v>2000</v>
      </c>
      <c r="H123" s="55"/>
      <c r="I123" s="55"/>
    </row>
    <row r="124" spans="1:17" ht="26.25" customHeight="1" x14ac:dyDescent="0.2">
      <c r="A124" s="18" t="s">
        <v>314</v>
      </c>
      <c r="B124" s="22">
        <v>900</v>
      </c>
      <c r="C124" s="19" t="s">
        <v>48</v>
      </c>
      <c r="D124" s="19" t="s">
        <v>14</v>
      </c>
      <c r="E124" s="19" t="s">
        <v>313</v>
      </c>
      <c r="F124" s="19"/>
      <c r="G124" s="20">
        <f>G125</f>
        <v>3362.1112900000003</v>
      </c>
      <c r="H124" s="20">
        <f>H125</f>
        <v>1966.3</v>
      </c>
      <c r="I124" s="20">
        <f>I125</f>
        <v>1966.3</v>
      </c>
      <c r="J124" s="101"/>
      <c r="K124" s="101"/>
      <c r="L124" s="101"/>
      <c r="M124" s="101"/>
      <c r="N124" s="101"/>
      <c r="O124" s="101"/>
      <c r="P124" s="101"/>
      <c r="Q124" s="101"/>
    </row>
    <row r="125" spans="1:17" s="26" customFormat="1" x14ac:dyDescent="0.2">
      <c r="A125" s="52" t="s">
        <v>66</v>
      </c>
      <c r="B125" s="31">
        <v>900</v>
      </c>
      <c r="C125" s="24" t="s">
        <v>48</v>
      </c>
      <c r="D125" s="24" t="s">
        <v>14</v>
      </c>
      <c r="E125" s="24" t="s">
        <v>313</v>
      </c>
      <c r="F125" s="29">
        <v>300</v>
      </c>
      <c r="G125" s="25">
        <f>1966.3+2386.48434-990.67305</f>
        <v>3362.1112900000003</v>
      </c>
      <c r="H125" s="25">
        <v>1966.3</v>
      </c>
      <c r="I125" s="25">
        <v>1966.3</v>
      </c>
      <c r="J125" s="102"/>
      <c r="K125" s="102"/>
      <c r="L125" s="102"/>
      <c r="M125" s="102"/>
      <c r="N125" s="102"/>
      <c r="O125" s="102"/>
      <c r="P125" s="102"/>
      <c r="Q125" s="102"/>
    </row>
    <row r="126" spans="1:17" s="72" customFormat="1" ht="25.5" x14ac:dyDescent="0.2">
      <c r="A126" s="68" t="s">
        <v>142</v>
      </c>
      <c r="B126" s="69">
        <v>900</v>
      </c>
      <c r="C126" s="70" t="s">
        <v>48</v>
      </c>
      <c r="D126" s="70" t="s">
        <v>14</v>
      </c>
      <c r="E126" s="70" t="s">
        <v>86</v>
      </c>
      <c r="F126" s="70"/>
      <c r="G126" s="71">
        <f t="shared" ref="G126:I126" si="26">G127</f>
        <v>340671.4</v>
      </c>
      <c r="H126" s="71">
        <f t="shared" si="26"/>
        <v>272908.5</v>
      </c>
      <c r="I126" s="71">
        <f t="shared" si="26"/>
        <v>616432.6</v>
      </c>
    </row>
    <row r="127" spans="1:17" s="77" customFormat="1" x14ac:dyDescent="0.2">
      <c r="A127" s="80" t="s">
        <v>66</v>
      </c>
      <c r="B127" s="79">
        <v>900</v>
      </c>
      <c r="C127" s="75" t="s">
        <v>48</v>
      </c>
      <c r="D127" s="75" t="s">
        <v>14</v>
      </c>
      <c r="E127" s="75" t="s">
        <v>86</v>
      </c>
      <c r="F127" s="75" t="s">
        <v>67</v>
      </c>
      <c r="G127" s="55">
        <v>340671.4</v>
      </c>
      <c r="H127" s="55">
        <v>272908.5</v>
      </c>
      <c r="I127" s="55">
        <v>616432.6</v>
      </c>
    </row>
    <row r="128" spans="1:17" s="9" customFormat="1" x14ac:dyDescent="0.2">
      <c r="A128" s="11" t="s">
        <v>54</v>
      </c>
      <c r="B128" s="14">
        <v>900</v>
      </c>
      <c r="C128" s="8" t="s">
        <v>48</v>
      </c>
      <c r="D128" s="8" t="s">
        <v>47</v>
      </c>
      <c r="E128" s="8"/>
      <c r="F128" s="8"/>
      <c r="G128" s="4">
        <f>G129+G132</f>
        <v>268.89999999999998</v>
      </c>
      <c r="H128" s="4">
        <f t="shared" ref="H128:I128" si="27">H129+H132</f>
        <v>0</v>
      </c>
      <c r="I128" s="4">
        <f t="shared" si="27"/>
        <v>0</v>
      </c>
    </row>
    <row r="129" spans="1:17" s="21" customFormat="1" x14ac:dyDescent="0.2">
      <c r="A129" s="18" t="s">
        <v>157</v>
      </c>
      <c r="B129" s="22">
        <v>900</v>
      </c>
      <c r="C129" s="19" t="s">
        <v>48</v>
      </c>
      <c r="D129" s="19" t="s">
        <v>47</v>
      </c>
      <c r="E129" s="19" t="s">
        <v>156</v>
      </c>
      <c r="F129" s="19"/>
      <c r="G129" s="20">
        <f>G131+G130</f>
        <v>112.3</v>
      </c>
      <c r="H129" s="20">
        <f>H131+H130</f>
        <v>0</v>
      </c>
      <c r="I129" s="20">
        <f>I131+I130</f>
        <v>0</v>
      </c>
    </row>
    <row r="130" spans="1:17" s="26" customFormat="1" ht="25.5" x14ac:dyDescent="0.2">
      <c r="A130" s="28" t="s">
        <v>73</v>
      </c>
      <c r="B130" s="23">
        <v>900</v>
      </c>
      <c r="C130" s="24" t="s">
        <v>48</v>
      </c>
      <c r="D130" s="24" t="s">
        <v>47</v>
      </c>
      <c r="E130" s="24" t="s">
        <v>156</v>
      </c>
      <c r="F130" s="27" t="s">
        <v>65</v>
      </c>
      <c r="G130" s="25">
        <v>0.6</v>
      </c>
      <c r="H130" s="25"/>
      <c r="I130" s="25"/>
    </row>
    <row r="131" spans="1:17" s="26" customFormat="1" x14ac:dyDescent="0.2">
      <c r="A131" s="28" t="s">
        <v>66</v>
      </c>
      <c r="B131" s="31">
        <v>900</v>
      </c>
      <c r="C131" s="24" t="s">
        <v>48</v>
      </c>
      <c r="D131" s="24" t="s">
        <v>47</v>
      </c>
      <c r="E131" s="24" t="s">
        <v>156</v>
      </c>
      <c r="F131" s="24" t="s">
        <v>67</v>
      </c>
      <c r="G131" s="25">
        <v>111.7</v>
      </c>
      <c r="H131" s="25"/>
      <c r="I131" s="25"/>
    </row>
    <row r="132" spans="1:17" x14ac:dyDescent="0.2">
      <c r="A132" s="18" t="s">
        <v>270</v>
      </c>
      <c r="B132" s="22">
        <v>900</v>
      </c>
      <c r="C132" s="19" t="s">
        <v>48</v>
      </c>
      <c r="D132" s="19" t="s">
        <v>47</v>
      </c>
      <c r="E132" s="19" t="s">
        <v>271</v>
      </c>
      <c r="F132" s="19"/>
      <c r="G132" s="20">
        <f>G133+G134</f>
        <v>156.6</v>
      </c>
      <c r="H132" s="20">
        <f t="shared" ref="H132:I132" si="28">H133+H134</f>
        <v>0</v>
      </c>
      <c r="I132" s="20">
        <f t="shared" si="28"/>
        <v>0</v>
      </c>
      <c r="J132" s="101"/>
      <c r="K132" s="101"/>
      <c r="L132" s="101"/>
      <c r="M132" s="101"/>
      <c r="N132" s="101"/>
      <c r="O132" s="101"/>
      <c r="P132" s="101"/>
      <c r="Q132" s="101"/>
    </row>
    <row r="133" spans="1:17" s="26" customFormat="1" ht="19.5" customHeight="1" x14ac:dyDescent="0.2">
      <c r="A133" s="51" t="s">
        <v>270</v>
      </c>
      <c r="B133" s="31">
        <v>900</v>
      </c>
      <c r="C133" s="24" t="s">
        <v>48</v>
      </c>
      <c r="D133" s="24" t="s">
        <v>47</v>
      </c>
      <c r="E133" s="24" t="s">
        <v>271</v>
      </c>
      <c r="F133" s="24" t="s">
        <v>64</v>
      </c>
      <c r="G133" s="25">
        <f>51.1+15.5</f>
        <v>66.599999999999994</v>
      </c>
      <c r="H133" s="25"/>
      <c r="I133" s="25"/>
      <c r="J133" s="102"/>
      <c r="K133" s="102"/>
      <c r="L133" s="102"/>
      <c r="M133" s="102"/>
      <c r="N133" s="102"/>
      <c r="O133" s="102"/>
      <c r="P133" s="102"/>
      <c r="Q133" s="102"/>
    </row>
    <row r="134" spans="1:17" s="26" customFormat="1" ht="25.5" x14ac:dyDescent="0.2">
      <c r="A134" s="28" t="s">
        <v>119</v>
      </c>
      <c r="B134" s="31">
        <v>900</v>
      </c>
      <c r="C134" s="24" t="s">
        <v>48</v>
      </c>
      <c r="D134" s="24" t="s">
        <v>47</v>
      </c>
      <c r="E134" s="24" t="s">
        <v>271</v>
      </c>
      <c r="F134" s="24" t="s">
        <v>62</v>
      </c>
      <c r="G134" s="25">
        <f>69+21</f>
        <v>90</v>
      </c>
      <c r="H134" s="25"/>
      <c r="I134" s="25"/>
      <c r="J134" s="102"/>
      <c r="K134" s="102"/>
      <c r="L134" s="102"/>
      <c r="M134" s="102"/>
      <c r="N134" s="102"/>
      <c r="O134" s="102"/>
      <c r="P134" s="102"/>
      <c r="Q134" s="102"/>
    </row>
    <row r="135" spans="1:17" s="211" customFormat="1" ht="16.5" customHeight="1" x14ac:dyDescent="0.2">
      <c r="A135" s="88" t="s">
        <v>575</v>
      </c>
      <c r="B135" s="207">
        <v>900</v>
      </c>
      <c r="C135" s="208" t="s">
        <v>21</v>
      </c>
      <c r="D135" s="208"/>
      <c r="E135" s="208"/>
      <c r="F135" s="208"/>
      <c r="G135" s="61">
        <f>G136</f>
        <v>1351.6</v>
      </c>
      <c r="H135" s="61">
        <f t="shared" ref="H135:I135" si="29">H136</f>
        <v>0</v>
      </c>
      <c r="I135" s="61">
        <f t="shared" si="29"/>
        <v>0</v>
      </c>
      <c r="J135" s="201"/>
      <c r="K135" s="201"/>
      <c r="L135" s="201"/>
      <c r="M135" s="201"/>
      <c r="N135" s="201"/>
      <c r="O135" s="201"/>
      <c r="P135" s="201"/>
      <c r="Q135" s="201"/>
    </row>
    <row r="136" spans="1:17" s="212" customFormat="1" ht="16.5" customHeight="1" x14ac:dyDescent="0.2">
      <c r="A136" s="63" t="s">
        <v>576</v>
      </c>
      <c r="B136" s="209">
        <v>900</v>
      </c>
      <c r="C136" s="210" t="s">
        <v>21</v>
      </c>
      <c r="D136" s="210" t="s">
        <v>12</v>
      </c>
      <c r="E136" s="210"/>
      <c r="F136" s="210"/>
      <c r="G136" s="66">
        <f>G137</f>
        <v>1351.6</v>
      </c>
      <c r="H136" s="66">
        <f t="shared" ref="H136:I136" si="30">H137</f>
        <v>0</v>
      </c>
      <c r="I136" s="66">
        <f t="shared" si="30"/>
        <v>0</v>
      </c>
      <c r="J136" s="200"/>
      <c r="K136" s="200"/>
      <c r="L136" s="200"/>
      <c r="M136" s="200"/>
      <c r="N136" s="200"/>
      <c r="O136" s="200"/>
      <c r="P136" s="200"/>
      <c r="Q136" s="200"/>
    </row>
    <row r="137" spans="1:17" s="72" customFormat="1" ht="51" x14ac:dyDescent="0.2">
      <c r="A137" s="68" t="s">
        <v>572</v>
      </c>
      <c r="B137" s="69">
        <v>900</v>
      </c>
      <c r="C137" s="70" t="s">
        <v>21</v>
      </c>
      <c r="D137" s="70" t="s">
        <v>12</v>
      </c>
      <c r="E137" s="70" t="s">
        <v>573</v>
      </c>
      <c r="F137" s="70"/>
      <c r="G137" s="71">
        <f>G138</f>
        <v>1351.6</v>
      </c>
      <c r="H137" s="71">
        <f t="shared" ref="H137:I137" si="31">H138</f>
        <v>0</v>
      </c>
      <c r="I137" s="71">
        <f t="shared" si="31"/>
        <v>0</v>
      </c>
      <c r="J137" s="101"/>
      <c r="K137" s="101"/>
      <c r="L137" s="101"/>
      <c r="M137" s="101"/>
      <c r="N137" s="101"/>
      <c r="O137" s="101"/>
      <c r="P137" s="101"/>
      <c r="Q137" s="101"/>
    </row>
    <row r="138" spans="1:17" s="77" customFormat="1" ht="17.25" customHeight="1" x14ac:dyDescent="0.2">
      <c r="A138" s="68" t="s">
        <v>69</v>
      </c>
      <c r="B138" s="79">
        <v>900</v>
      </c>
      <c r="C138" s="75" t="s">
        <v>21</v>
      </c>
      <c r="D138" s="75" t="s">
        <v>12</v>
      </c>
      <c r="E138" s="75" t="s">
        <v>577</v>
      </c>
      <c r="F138" s="75" t="s">
        <v>70</v>
      </c>
      <c r="G138" s="55">
        <v>1351.6</v>
      </c>
      <c r="H138" s="55"/>
      <c r="I138" s="55"/>
      <c r="J138" s="102"/>
      <c r="K138" s="102"/>
      <c r="L138" s="102"/>
      <c r="M138" s="102"/>
      <c r="N138" s="102"/>
      <c r="O138" s="102"/>
      <c r="P138" s="102"/>
      <c r="Q138" s="102"/>
    </row>
    <row r="139" spans="1:17" s="3" customFormat="1" ht="25.5" x14ac:dyDescent="0.2">
      <c r="A139" s="13" t="s">
        <v>18</v>
      </c>
      <c r="B139" s="41">
        <v>900</v>
      </c>
      <c r="C139" s="1" t="s">
        <v>58</v>
      </c>
      <c r="D139" s="1"/>
      <c r="E139" s="1"/>
      <c r="F139" s="1"/>
      <c r="G139" s="2">
        <f t="shared" ref="G139:I141" si="32">G140</f>
        <v>2136.1</v>
      </c>
      <c r="H139" s="2">
        <f t="shared" si="32"/>
        <v>2123</v>
      </c>
      <c r="I139" s="2">
        <f t="shared" si="32"/>
        <v>2105</v>
      </c>
    </row>
    <row r="140" spans="1:17" s="9" customFormat="1" ht="25.5" x14ac:dyDescent="0.2">
      <c r="A140" s="11" t="s">
        <v>2</v>
      </c>
      <c r="B140" s="14">
        <v>900</v>
      </c>
      <c r="C140" s="8" t="s">
        <v>58</v>
      </c>
      <c r="D140" s="8" t="s">
        <v>10</v>
      </c>
      <c r="E140" s="8"/>
      <c r="F140" s="8"/>
      <c r="G140" s="4">
        <f t="shared" si="32"/>
        <v>2136.1</v>
      </c>
      <c r="H140" s="4">
        <f t="shared" si="32"/>
        <v>2123</v>
      </c>
      <c r="I140" s="4">
        <f t="shared" si="32"/>
        <v>2105</v>
      </c>
    </row>
    <row r="141" spans="1:17" ht="25.5" x14ac:dyDescent="0.2">
      <c r="A141" s="18" t="s">
        <v>159</v>
      </c>
      <c r="B141" s="22">
        <v>900</v>
      </c>
      <c r="C141" s="19" t="s">
        <v>58</v>
      </c>
      <c r="D141" s="19" t="s">
        <v>10</v>
      </c>
      <c r="E141" s="19" t="s">
        <v>158</v>
      </c>
      <c r="F141" s="19"/>
      <c r="G141" s="20">
        <f t="shared" si="32"/>
        <v>2136.1</v>
      </c>
      <c r="H141" s="20">
        <f t="shared" si="32"/>
        <v>2123</v>
      </c>
      <c r="I141" s="20">
        <f t="shared" si="32"/>
        <v>2105</v>
      </c>
      <c r="J141" s="101"/>
      <c r="K141" s="101"/>
      <c r="L141" s="101"/>
      <c r="M141" s="101"/>
      <c r="N141" s="101"/>
      <c r="O141" s="101"/>
      <c r="P141" s="101"/>
      <c r="Q141" s="101"/>
    </row>
    <row r="142" spans="1:17" s="26" customFormat="1" x14ac:dyDescent="0.2">
      <c r="A142" s="28" t="s">
        <v>71</v>
      </c>
      <c r="B142" s="31">
        <v>900</v>
      </c>
      <c r="C142" s="24" t="s">
        <v>58</v>
      </c>
      <c r="D142" s="24" t="s">
        <v>10</v>
      </c>
      <c r="E142" s="19" t="s">
        <v>158</v>
      </c>
      <c r="F142" s="24" t="s">
        <v>72</v>
      </c>
      <c r="G142" s="25">
        <v>2136.1</v>
      </c>
      <c r="H142" s="25">
        <v>2123</v>
      </c>
      <c r="I142" s="25">
        <v>2105</v>
      </c>
      <c r="J142" s="102"/>
      <c r="K142" s="102"/>
      <c r="L142" s="102"/>
      <c r="M142" s="102"/>
      <c r="N142" s="102"/>
      <c r="O142" s="102"/>
      <c r="P142" s="102"/>
      <c r="Q142" s="102"/>
    </row>
    <row r="143" spans="1:17" s="21" customFormat="1" x14ac:dyDescent="0.2">
      <c r="A143" s="18" t="s">
        <v>300</v>
      </c>
      <c r="B143" s="22">
        <v>900</v>
      </c>
      <c r="C143" s="19" t="s">
        <v>301</v>
      </c>
      <c r="D143" s="19"/>
      <c r="E143" s="19"/>
      <c r="F143" s="19"/>
      <c r="G143" s="20"/>
      <c r="H143" s="20">
        <f t="shared" ref="H143:I145" si="33">H144</f>
        <v>26371.300000000003</v>
      </c>
      <c r="I143" s="20">
        <f t="shared" si="33"/>
        <v>44686.899999999994</v>
      </c>
      <c r="J143" s="101"/>
      <c r="K143" s="101"/>
      <c r="L143" s="101"/>
      <c r="M143" s="101"/>
      <c r="N143" s="101"/>
      <c r="O143" s="101"/>
      <c r="P143" s="101"/>
      <c r="Q143" s="101"/>
    </row>
    <row r="144" spans="1:17" x14ac:dyDescent="0.2">
      <c r="A144" s="18" t="s">
        <v>300</v>
      </c>
      <c r="B144" s="22">
        <v>900</v>
      </c>
      <c r="C144" s="19" t="s">
        <v>301</v>
      </c>
      <c r="D144" s="16" t="s">
        <v>301</v>
      </c>
      <c r="E144" s="19"/>
      <c r="F144" s="19"/>
      <c r="G144" s="20"/>
      <c r="H144" s="20">
        <f t="shared" si="33"/>
        <v>26371.300000000003</v>
      </c>
      <c r="I144" s="20">
        <f t="shared" si="33"/>
        <v>44686.899999999994</v>
      </c>
      <c r="J144" s="101"/>
      <c r="K144" s="101"/>
      <c r="L144" s="101"/>
      <c r="M144" s="101"/>
      <c r="N144" s="101"/>
      <c r="O144" s="101"/>
      <c r="P144" s="101"/>
      <c r="Q144" s="101"/>
    </row>
    <row r="145" spans="1:22" x14ac:dyDescent="0.2">
      <c r="A145" s="18" t="s">
        <v>300</v>
      </c>
      <c r="B145" s="22">
        <v>900</v>
      </c>
      <c r="C145" s="19" t="s">
        <v>301</v>
      </c>
      <c r="D145" s="19" t="s">
        <v>301</v>
      </c>
      <c r="E145" s="19" t="s">
        <v>302</v>
      </c>
      <c r="F145" s="19"/>
      <c r="G145" s="20"/>
      <c r="H145" s="20">
        <f t="shared" si="33"/>
        <v>26371.300000000003</v>
      </c>
      <c r="I145" s="20">
        <f t="shared" si="33"/>
        <v>44686.899999999994</v>
      </c>
      <c r="J145" s="101"/>
      <c r="K145" s="101"/>
      <c r="L145" s="101"/>
      <c r="M145" s="101"/>
      <c r="N145" s="101"/>
      <c r="O145" s="101"/>
      <c r="P145" s="101"/>
      <c r="Q145" s="101"/>
    </row>
    <row r="146" spans="1:22" s="26" customFormat="1" x14ac:dyDescent="0.2">
      <c r="A146" s="28" t="s">
        <v>300</v>
      </c>
      <c r="B146" s="31">
        <v>900</v>
      </c>
      <c r="C146" s="24" t="s">
        <v>301</v>
      </c>
      <c r="D146" s="24" t="s">
        <v>301</v>
      </c>
      <c r="E146" s="19" t="s">
        <v>302</v>
      </c>
      <c r="F146" s="24" t="s">
        <v>70</v>
      </c>
      <c r="G146" s="25"/>
      <c r="H146" s="25">
        <f>23132.9+3238.4</f>
        <v>26371.300000000003</v>
      </c>
      <c r="I146" s="25">
        <f>44191.2+495.7</f>
        <v>44686.899999999994</v>
      </c>
      <c r="J146" s="102"/>
      <c r="K146" s="102"/>
      <c r="L146" s="102"/>
      <c r="M146" s="102"/>
      <c r="N146" s="102"/>
      <c r="O146" s="102"/>
      <c r="P146" s="102"/>
      <c r="Q146" s="102"/>
    </row>
    <row r="147" spans="1:22" s="9" customFormat="1" ht="30" customHeight="1" x14ac:dyDescent="0.2">
      <c r="A147" s="39" t="s">
        <v>31</v>
      </c>
      <c r="B147" s="36">
        <v>904</v>
      </c>
      <c r="C147" s="40"/>
      <c r="D147" s="40"/>
      <c r="E147" s="40"/>
      <c r="F147" s="40"/>
      <c r="G147" s="38">
        <f>G156+G148+G152</f>
        <v>79858.676000000007</v>
      </c>
      <c r="H147" s="38">
        <f>H156+H148</f>
        <v>66656.800000000003</v>
      </c>
      <c r="I147" s="38">
        <f>I156+I148</f>
        <v>65701.900000000009</v>
      </c>
      <c r="S147" s="222"/>
      <c r="V147" s="222"/>
    </row>
    <row r="148" spans="1:22" s="67" customFormat="1" ht="21" customHeight="1" x14ac:dyDescent="0.2">
      <c r="A148" s="88" t="s">
        <v>34</v>
      </c>
      <c r="B148" s="64">
        <v>904</v>
      </c>
      <c r="C148" s="65" t="s">
        <v>17</v>
      </c>
      <c r="D148" s="65"/>
      <c r="E148" s="65"/>
      <c r="F148" s="65"/>
      <c r="G148" s="66">
        <f>G149</f>
        <v>108.5</v>
      </c>
      <c r="H148" s="66">
        <f t="shared" ref="H148:I148" si="34">H149</f>
        <v>121.1</v>
      </c>
      <c r="I148" s="66">
        <f t="shared" si="34"/>
        <v>121.1</v>
      </c>
      <c r="S148" s="239"/>
      <c r="V148" s="239"/>
    </row>
    <row r="149" spans="1:22" s="67" customFormat="1" ht="22.5" customHeight="1" x14ac:dyDescent="0.2">
      <c r="A149" s="63" t="s">
        <v>37</v>
      </c>
      <c r="B149" s="64">
        <v>904</v>
      </c>
      <c r="C149" s="65" t="s">
        <v>17</v>
      </c>
      <c r="D149" s="65" t="s">
        <v>17</v>
      </c>
      <c r="E149" s="65"/>
      <c r="F149" s="65"/>
      <c r="G149" s="66">
        <f>G150</f>
        <v>108.5</v>
      </c>
      <c r="H149" s="66">
        <f t="shared" ref="H149:Q149" si="35">H150</f>
        <v>121.1</v>
      </c>
      <c r="I149" s="66">
        <f t="shared" si="35"/>
        <v>121.1</v>
      </c>
      <c r="J149" s="66">
        <f t="shared" si="35"/>
        <v>0</v>
      </c>
      <c r="K149" s="66">
        <f t="shared" si="35"/>
        <v>0</v>
      </c>
      <c r="L149" s="66">
        <f t="shared" si="35"/>
        <v>0</v>
      </c>
      <c r="M149" s="66">
        <f t="shared" si="35"/>
        <v>0</v>
      </c>
      <c r="N149" s="66">
        <f t="shared" si="35"/>
        <v>0</v>
      </c>
      <c r="O149" s="66">
        <f t="shared" si="35"/>
        <v>0</v>
      </c>
      <c r="P149" s="66">
        <f t="shared" si="35"/>
        <v>0</v>
      </c>
      <c r="Q149" s="66">
        <f t="shared" si="35"/>
        <v>0</v>
      </c>
      <c r="S149" s="239"/>
      <c r="V149" s="239"/>
    </row>
    <row r="150" spans="1:22" s="72" customFormat="1" ht="30" customHeight="1" x14ac:dyDescent="0.2">
      <c r="A150" s="68" t="s">
        <v>149</v>
      </c>
      <c r="B150" s="69">
        <v>904</v>
      </c>
      <c r="C150" s="70" t="s">
        <v>17</v>
      </c>
      <c r="D150" s="70" t="s">
        <v>17</v>
      </c>
      <c r="E150" s="70" t="s">
        <v>148</v>
      </c>
      <c r="F150" s="70"/>
      <c r="G150" s="71">
        <f>G151</f>
        <v>108.5</v>
      </c>
      <c r="H150" s="71">
        <f>H151</f>
        <v>121.1</v>
      </c>
      <c r="I150" s="71">
        <f>I151</f>
        <v>121.1</v>
      </c>
      <c r="S150" s="240"/>
      <c r="V150" s="240"/>
    </row>
    <row r="151" spans="1:22" s="77" customFormat="1" ht="30" customHeight="1" x14ac:dyDescent="0.2">
      <c r="A151" s="80" t="s">
        <v>73</v>
      </c>
      <c r="B151" s="79">
        <v>904</v>
      </c>
      <c r="C151" s="75" t="s">
        <v>17</v>
      </c>
      <c r="D151" s="75" t="s">
        <v>17</v>
      </c>
      <c r="E151" s="75" t="s">
        <v>148</v>
      </c>
      <c r="F151" s="75" t="s">
        <v>65</v>
      </c>
      <c r="G151" s="55">
        <v>108.5</v>
      </c>
      <c r="H151" s="55">
        <v>121.1</v>
      </c>
      <c r="I151" s="55">
        <v>121.1</v>
      </c>
      <c r="S151" s="241"/>
      <c r="V151" s="241"/>
    </row>
    <row r="152" spans="1:22" s="67" customFormat="1" ht="30" customHeight="1" x14ac:dyDescent="0.2">
      <c r="A152" s="63" t="s">
        <v>49</v>
      </c>
      <c r="B152" s="64">
        <v>904</v>
      </c>
      <c r="C152" s="65" t="s">
        <v>48</v>
      </c>
      <c r="D152" s="65"/>
      <c r="E152" s="65"/>
      <c r="F152" s="65"/>
      <c r="G152" s="66">
        <f>G153</f>
        <v>22.7</v>
      </c>
      <c r="H152" s="66"/>
      <c r="I152" s="66"/>
      <c r="S152" s="239"/>
      <c r="V152" s="239"/>
    </row>
    <row r="153" spans="1:22" s="67" customFormat="1" ht="30" customHeight="1" x14ac:dyDescent="0.2">
      <c r="A153" s="63" t="s">
        <v>54</v>
      </c>
      <c r="B153" s="64">
        <v>904</v>
      </c>
      <c r="C153" s="65" t="s">
        <v>48</v>
      </c>
      <c r="D153" s="65" t="s">
        <v>47</v>
      </c>
      <c r="E153" s="65"/>
      <c r="F153" s="65"/>
      <c r="G153" s="66">
        <f>G154</f>
        <v>22.7</v>
      </c>
      <c r="H153" s="66"/>
      <c r="I153" s="66"/>
      <c r="S153" s="239"/>
      <c r="V153" s="239"/>
    </row>
    <row r="154" spans="1:22" ht="30" customHeight="1" x14ac:dyDescent="0.2">
      <c r="A154" s="18" t="s">
        <v>270</v>
      </c>
      <c r="B154" s="22">
        <v>904</v>
      </c>
      <c r="C154" s="19" t="s">
        <v>48</v>
      </c>
      <c r="D154" s="19" t="s">
        <v>47</v>
      </c>
      <c r="E154" s="19" t="s">
        <v>697</v>
      </c>
      <c r="F154" s="19"/>
      <c r="G154" s="20">
        <f>G155</f>
        <v>22.7</v>
      </c>
      <c r="H154" s="20"/>
      <c r="I154" s="20"/>
      <c r="J154" s="101"/>
      <c r="K154" s="101"/>
      <c r="L154" s="101"/>
      <c r="M154" s="101"/>
      <c r="N154" s="101"/>
      <c r="O154" s="101"/>
      <c r="P154" s="101"/>
      <c r="Q154" s="101"/>
      <c r="S154" s="243"/>
      <c r="V154" s="243"/>
    </row>
    <row r="155" spans="1:22" s="26" customFormat="1" ht="30" customHeight="1" x14ac:dyDescent="0.2">
      <c r="A155" s="28" t="s">
        <v>119</v>
      </c>
      <c r="B155" s="31">
        <v>904</v>
      </c>
      <c r="C155" s="24" t="s">
        <v>48</v>
      </c>
      <c r="D155" s="24" t="s">
        <v>47</v>
      </c>
      <c r="E155" s="24" t="s">
        <v>271</v>
      </c>
      <c r="F155" s="24" t="s">
        <v>62</v>
      </c>
      <c r="G155" s="25">
        <v>22.7</v>
      </c>
      <c r="H155" s="25"/>
      <c r="I155" s="25"/>
      <c r="J155" s="102"/>
      <c r="K155" s="102"/>
      <c r="L155" s="102"/>
      <c r="M155" s="102"/>
      <c r="N155" s="102"/>
      <c r="O155" s="102"/>
      <c r="P155" s="102"/>
      <c r="Q155" s="102"/>
      <c r="S155" s="244"/>
      <c r="V155" s="244"/>
    </row>
    <row r="156" spans="1:22" s="3" customFormat="1" x14ac:dyDescent="0.2">
      <c r="A156" s="13" t="s">
        <v>531</v>
      </c>
      <c r="B156" s="41">
        <v>904</v>
      </c>
      <c r="C156" s="1" t="s">
        <v>19</v>
      </c>
      <c r="D156" s="1"/>
      <c r="E156" s="1"/>
      <c r="F156" s="1"/>
      <c r="G156" s="2">
        <f>G157+G173+G177</f>
        <v>79727.47600000001</v>
      </c>
      <c r="H156" s="2">
        <f>H157+H173+H177</f>
        <v>66535.7</v>
      </c>
      <c r="I156" s="2">
        <f>I157+I173+I177</f>
        <v>65580.800000000003</v>
      </c>
      <c r="J156" s="105"/>
      <c r="K156" s="105"/>
      <c r="L156" s="105"/>
      <c r="M156" s="105"/>
      <c r="N156" s="105"/>
      <c r="O156" s="105"/>
      <c r="P156" s="105"/>
      <c r="Q156" s="105"/>
    </row>
    <row r="157" spans="1:22" s="9" customFormat="1" x14ac:dyDescent="0.2">
      <c r="A157" s="11" t="s">
        <v>0</v>
      </c>
      <c r="B157" s="14">
        <v>904</v>
      </c>
      <c r="C157" s="8" t="s">
        <v>19</v>
      </c>
      <c r="D157" s="8" t="s">
        <v>10</v>
      </c>
      <c r="E157" s="8"/>
      <c r="F157" s="8"/>
      <c r="G157" s="4">
        <f>G163+G167+G158+G165+G160+G171+G169</f>
        <v>74194.776000000013</v>
      </c>
      <c r="H157" s="4">
        <f t="shared" ref="H157:I157" si="36">H163+H167+H158+H165+H160+H171+H169</f>
        <v>60883.899999999994</v>
      </c>
      <c r="I157" s="4">
        <f t="shared" si="36"/>
        <v>59929</v>
      </c>
      <c r="J157" s="106"/>
      <c r="K157" s="106"/>
      <c r="L157" s="106"/>
      <c r="M157" s="106"/>
      <c r="N157" s="106"/>
      <c r="O157" s="106"/>
      <c r="P157" s="106"/>
      <c r="Q157" s="106"/>
    </row>
    <row r="158" spans="1:22" s="107" customFormat="1" ht="25.5" x14ac:dyDescent="0.2">
      <c r="A158" s="251" t="s">
        <v>137</v>
      </c>
      <c r="B158" s="252">
        <v>904</v>
      </c>
      <c r="C158" s="226" t="s">
        <v>19</v>
      </c>
      <c r="D158" s="226" t="s">
        <v>10</v>
      </c>
      <c r="E158" s="226" t="s">
        <v>136</v>
      </c>
      <c r="F158" s="232"/>
      <c r="G158" s="233">
        <f>G159</f>
        <v>192.8</v>
      </c>
      <c r="H158" s="233">
        <f>H159</f>
        <v>0</v>
      </c>
      <c r="I158" s="233">
        <f>I159</f>
        <v>0</v>
      </c>
    </row>
    <row r="159" spans="1:22" s="102" customFormat="1" ht="25.5" x14ac:dyDescent="0.2">
      <c r="A159" s="230" t="s">
        <v>119</v>
      </c>
      <c r="B159" s="227">
        <v>904</v>
      </c>
      <c r="C159" s="228" t="s">
        <v>19</v>
      </c>
      <c r="D159" s="228" t="s">
        <v>10</v>
      </c>
      <c r="E159" s="228" t="s">
        <v>136</v>
      </c>
      <c r="F159" s="228" t="s">
        <v>62</v>
      </c>
      <c r="G159" s="189">
        <f>165+27.8</f>
        <v>192.8</v>
      </c>
      <c r="H159" s="189"/>
      <c r="I159" s="189"/>
    </row>
    <row r="160" spans="1:22" ht="13.5" customHeight="1" x14ac:dyDescent="0.2">
      <c r="A160" s="18" t="s">
        <v>147</v>
      </c>
      <c r="B160" s="22">
        <v>904</v>
      </c>
      <c r="C160" s="19" t="s">
        <v>19</v>
      </c>
      <c r="D160" s="19" t="s">
        <v>10</v>
      </c>
      <c r="E160" s="24" t="s">
        <v>146</v>
      </c>
      <c r="F160" s="19"/>
      <c r="G160" s="20">
        <f>G162+G161</f>
        <v>3570.2719999999999</v>
      </c>
      <c r="H160" s="20">
        <f>H162</f>
        <v>0</v>
      </c>
      <c r="I160" s="20">
        <f>I162</f>
        <v>0</v>
      </c>
      <c r="J160" s="101"/>
      <c r="K160" s="101"/>
      <c r="L160" s="101"/>
      <c r="M160" s="101"/>
      <c r="N160" s="101"/>
      <c r="O160" s="101"/>
      <c r="P160" s="101"/>
      <c r="Q160" s="101"/>
    </row>
    <row r="161" spans="1:17" s="26" customFormat="1" ht="25.5" x14ac:dyDescent="0.2">
      <c r="A161" s="28" t="s">
        <v>73</v>
      </c>
      <c r="B161" s="22">
        <v>904</v>
      </c>
      <c r="C161" s="24" t="s">
        <v>19</v>
      </c>
      <c r="D161" s="24" t="s">
        <v>10</v>
      </c>
      <c r="E161" s="24" t="s">
        <v>146</v>
      </c>
      <c r="F161" s="24" t="s">
        <v>65</v>
      </c>
      <c r="G161" s="25">
        <v>14.9</v>
      </c>
      <c r="H161" s="25"/>
      <c r="I161" s="25"/>
      <c r="J161" s="102"/>
      <c r="K161" s="102"/>
      <c r="L161" s="102"/>
      <c r="M161" s="102"/>
      <c r="N161" s="102"/>
      <c r="O161" s="102"/>
      <c r="P161" s="102"/>
      <c r="Q161" s="102"/>
    </row>
    <row r="162" spans="1:17" s="102" customFormat="1" ht="25.5" x14ac:dyDescent="0.2">
      <c r="A162" s="230" t="s">
        <v>79</v>
      </c>
      <c r="B162" s="225">
        <v>904</v>
      </c>
      <c r="C162" s="228" t="s">
        <v>19</v>
      </c>
      <c r="D162" s="228" t="s">
        <v>10</v>
      </c>
      <c r="E162" s="228" t="s">
        <v>146</v>
      </c>
      <c r="F162" s="228" t="s">
        <v>68</v>
      </c>
      <c r="G162" s="189">
        <f>4137.2-14.9-190.36-913.69+442.882+94.24</f>
        <v>3555.3719999999998</v>
      </c>
      <c r="H162" s="189"/>
      <c r="I162" s="189"/>
    </row>
    <row r="163" spans="1:17" s="101" customFormat="1" ht="25.5" x14ac:dyDescent="0.2">
      <c r="A163" s="224" t="s">
        <v>163</v>
      </c>
      <c r="B163" s="225">
        <v>904</v>
      </c>
      <c r="C163" s="226" t="s">
        <v>19</v>
      </c>
      <c r="D163" s="226" t="s">
        <v>10</v>
      </c>
      <c r="E163" s="226" t="s">
        <v>162</v>
      </c>
      <c r="F163" s="226"/>
      <c r="G163" s="190">
        <f>G164</f>
        <v>15801</v>
      </c>
      <c r="H163" s="190">
        <f>H164</f>
        <v>14556.2</v>
      </c>
      <c r="I163" s="190">
        <f>I164</f>
        <v>14078.7</v>
      </c>
    </row>
    <row r="164" spans="1:17" s="102" customFormat="1" ht="25.5" x14ac:dyDescent="0.2">
      <c r="A164" s="230" t="s">
        <v>119</v>
      </c>
      <c r="B164" s="227">
        <v>904</v>
      </c>
      <c r="C164" s="228" t="s">
        <v>19</v>
      </c>
      <c r="D164" s="228" t="s">
        <v>10</v>
      </c>
      <c r="E164" s="228" t="s">
        <v>162</v>
      </c>
      <c r="F164" s="228" t="s">
        <v>62</v>
      </c>
      <c r="G164" s="189">
        <f>15625.1+168.1+7.8</f>
        <v>15801</v>
      </c>
      <c r="H164" s="189">
        <v>14556.2</v>
      </c>
      <c r="I164" s="189">
        <v>14078.7</v>
      </c>
    </row>
    <row r="165" spans="1:17" s="21" customFormat="1" ht="38.25" x14ac:dyDescent="0.2">
      <c r="A165" s="18" t="s">
        <v>165</v>
      </c>
      <c r="B165" s="22">
        <v>904</v>
      </c>
      <c r="C165" s="19" t="s">
        <v>19</v>
      </c>
      <c r="D165" s="19" t="s">
        <v>10</v>
      </c>
      <c r="E165" s="19" t="s">
        <v>164</v>
      </c>
      <c r="F165" s="19"/>
      <c r="G165" s="20">
        <f>G166</f>
        <v>150</v>
      </c>
      <c r="H165" s="20">
        <f>H166</f>
        <v>0</v>
      </c>
      <c r="I165" s="20">
        <f>I166</f>
        <v>0</v>
      </c>
    </row>
    <row r="166" spans="1:17" s="26" customFormat="1" ht="25.5" x14ac:dyDescent="0.2">
      <c r="A166" s="28" t="s">
        <v>73</v>
      </c>
      <c r="B166" s="32">
        <v>904</v>
      </c>
      <c r="C166" s="24" t="s">
        <v>19</v>
      </c>
      <c r="D166" s="24" t="s">
        <v>10</v>
      </c>
      <c r="E166" s="24" t="s">
        <v>164</v>
      </c>
      <c r="F166" s="27" t="s">
        <v>65</v>
      </c>
      <c r="G166" s="25">
        <v>150</v>
      </c>
      <c r="H166" s="25"/>
      <c r="I166" s="25"/>
    </row>
    <row r="167" spans="1:17" s="101" customFormat="1" ht="23.25" customHeight="1" x14ac:dyDescent="0.2">
      <c r="A167" s="224" t="s">
        <v>294</v>
      </c>
      <c r="B167" s="225">
        <v>904</v>
      </c>
      <c r="C167" s="226" t="s">
        <v>19</v>
      </c>
      <c r="D167" s="226" t="s">
        <v>10</v>
      </c>
      <c r="E167" s="226" t="s">
        <v>295</v>
      </c>
      <c r="F167" s="226"/>
      <c r="G167" s="190">
        <f>G168</f>
        <v>47772.9</v>
      </c>
      <c r="H167" s="190">
        <f>H168</f>
        <v>46327.7</v>
      </c>
      <c r="I167" s="190">
        <f>I168</f>
        <v>45850.3</v>
      </c>
    </row>
    <row r="168" spans="1:17" s="102" customFormat="1" ht="25.5" x14ac:dyDescent="0.2">
      <c r="A168" s="230" t="s">
        <v>119</v>
      </c>
      <c r="B168" s="236">
        <v>904</v>
      </c>
      <c r="C168" s="228" t="s">
        <v>19</v>
      </c>
      <c r="D168" s="228" t="s">
        <v>10</v>
      </c>
      <c r="E168" s="228" t="s">
        <v>295</v>
      </c>
      <c r="F168" s="231" t="s">
        <v>62</v>
      </c>
      <c r="G168" s="189">
        <f>47475.4+80+241.1-23.6</f>
        <v>47772.9</v>
      </c>
      <c r="H168" s="189">
        <v>46327.7</v>
      </c>
      <c r="I168" s="189">
        <v>45850.3</v>
      </c>
    </row>
    <row r="169" spans="1:17" s="102" customFormat="1" x14ac:dyDescent="0.2">
      <c r="A169" s="224" t="s">
        <v>685</v>
      </c>
      <c r="B169" s="225">
        <v>904</v>
      </c>
      <c r="C169" s="226" t="s">
        <v>19</v>
      </c>
      <c r="D169" s="226" t="s">
        <v>10</v>
      </c>
      <c r="E169" s="226" t="s">
        <v>686</v>
      </c>
      <c r="F169" s="226"/>
      <c r="G169" s="189">
        <f>G170</f>
        <v>4708.0839999999998</v>
      </c>
      <c r="H169" s="189">
        <f t="shared" ref="H169:I169" si="37">H170</f>
        <v>0</v>
      </c>
      <c r="I169" s="189">
        <f t="shared" si="37"/>
        <v>0</v>
      </c>
    </row>
    <row r="170" spans="1:17" s="102" customFormat="1" ht="25.5" x14ac:dyDescent="0.2">
      <c r="A170" s="230" t="s">
        <v>119</v>
      </c>
      <c r="B170" s="236">
        <v>904</v>
      </c>
      <c r="C170" s="228" t="s">
        <v>19</v>
      </c>
      <c r="D170" s="228" t="s">
        <v>10</v>
      </c>
      <c r="E170" s="228" t="s">
        <v>686</v>
      </c>
      <c r="F170" s="228" t="s">
        <v>62</v>
      </c>
      <c r="G170" s="189">
        <f>913.69-442.882+4237.276</f>
        <v>4708.0839999999998</v>
      </c>
      <c r="H170" s="189">
        <v>0</v>
      </c>
      <c r="I170" s="189">
        <v>0</v>
      </c>
    </row>
    <row r="171" spans="1:17" s="102" customFormat="1" x14ac:dyDescent="0.2">
      <c r="A171" s="224" t="s">
        <v>659</v>
      </c>
      <c r="B171" s="225">
        <v>904</v>
      </c>
      <c r="C171" s="226" t="s">
        <v>19</v>
      </c>
      <c r="D171" s="226" t="s">
        <v>10</v>
      </c>
      <c r="E171" s="226" t="s">
        <v>658</v>
      </c>
      <c r="F171" s="226"/>
      <c r="G171" s="189">
        <f>G172</f>
        <v>1999.7199999999998</v>
      </c>
      <c r="H171" s="189">
        <f t="shared" ref="H171" si="38">H172</f>
        <v>0</v>
      </c>
      <c r="I171" s="189">
        <f t="shared" ref="I171" si="39">I172</f>
        <v>0</v>
      </c>
    </row>
    <row r="172" spans="1:17" s="102" customFormat="1" ht="25.5" x14ac:dyDescent="0.2">
      <c r="A172" s="230" t="s">
        <v>119</v>
      </c>
      <c r="B172" s="236">
        <v>904</v>
      </c>
      <c r="C172" s="228" t="s">
        <v>19</v>
      </c>
      <c r="D172" s="228" t="s">
        <v>10</v>
      </c>
      <c r="E172" s="228" t="s">
        <v>658</v>
      </c>
      <c r="F172" s="228" t="s">
        <v>62</v>
      </c>
      <c r="G172" s="189">
        <f>190.36+1809.36</f>
        <v>1999.7199999999998</v>
      </c>
      <c r="H172" s="189"/>
      <c r="I172" s="189"/>
    </row>
    <row r="173" spans="1:17" s="9" customFormat="1" x14ac:dyDescent="0.2">
      <c r="A173" s="11" t="s">
        <v>1</v>
      </c>
      <c r="B173" s="14">
        <v>904</v>
      </c>
      <c r="C173" s="8" t="s">
        <v>19</v>
      </c>
      <c r="D173" s="8" t="s">
        <v>12</v>
      </c>
      <c r="E173" s="8"/>
      <c r="F173" s="8"/>
      <c r="G173" s="4">
        <f t="shared" ref="G173:I173" si="40">G174</f>
        <v>360</v>
      </c>
      <c r="H173" s="4">
        <f t="shared" si="40"/>
        <v>0</v>
      </c>
      <c r="I173" s="4">
        <f t="shared" si="40"/>
        <v>0</v>
      </c>
      <c r="J173" s="106"/>
      <c r="K173" s="106"/>
      <c r="L173" s="106"/>
      <c r="M173" s="106"/>
      <c r="N173" s="106"/>
      <c r="O173" s="106"/>
      <c r="P173" s="106"/>
      <c r="Q173" s="106"/>
    </row>
    <row r="174" spans="1:17" ht="25.5" x14ac:dyDescent="0.2">
      <c r="A174" s="18" t="s">
        <v>167</v>
      </c>
      <c r="B174" s="22">
        <v>904</v>
      </c>
      <c r="C174" s="19" t="s">
        <v>19</v>
      </c>
      <c r="D174" s="19" t="s">
        <v>12</v>
      </c>
      <c r="E174" s="19" t="s">
        <v>166</v>
      </c>
      <c r="F174" s="19"/>
      <c r="G174" s="20">
        <f>G176+G175</f>
        <v>360</v>
      </c>
      <c r="H174" s="20">
        <f t="shared" ref="H174:I174" si="41">H176+H175</f>
        <v>0</v>
      </c>
      <c r="I174" s="20">
        <f t="shared" si="41"/>
        <v>0</v>
      </c>
      <c r="J174" s="101"/>
      <c r="K174" s="101"/>
      <c r="L174" s="101"/>
      <c r="M174" s="101"/>
      <c r="N174" s="101"/>
      <c r="O174" s="101"/>
      <c r="P174" s="101"/>
      <c r="Q174" s="101"/>
    </row>
    <row r="175" spans="1:17" ht="53.25" customHeight="1" x14ac:dyDescent="0.2">
      <c r="A175" s="30" t="s">
        <v>63</v>
      </c>
      <c r="B175" s="32">
        <v>904</v>
      </c>
      <c r="C175" s="24" t="s">
        <v>19</v>
      </c>
      <c r="D175" s="24" t="s">
        <v>12</v>
      </c>
      <c r="E175" s="24" t="s">
        <v>166</v>
      </c>
      <c r="F175" s="19" t="s">
        <v>64</v>
      </c>
      <c r="G175" s="20">
        <v>50</v>
      </c>
      <c r="H175" s="20"/>
      <c r="I175" s="20"/>
      <c r="J175" s="101"/>
      <c r="K175" s="101"/>
      <c r="L175" s="101"/>
      <c r="M175" s="101"/>
      <c r="N175" s="101"/>
      <c r="O175" s="101"/>
      <c r="P175" s="101"/>
      <c r="Q175" s="101"/>
    </row>
    <row r="176" spans="1:17" s="26" customFormat="1" ht="25.5" x14ac:dyDescent="0.2">
      <c r="A176" s="28" t="s">
        <v>73</v>
      </c>
      <c r="B176" s="32">
        <v>904</v>
      </c>
      <c r="C176" s="24" t="s">
        <v>19</v>
      </c>
      <c r="D176" s="24" t="s">
        <v>12</v>
      </c>
      <c r="E176" s="24" t="s">
        <v>166</v>
      </c>
      <c r="F176" s="27" t="s">
        <v>65</v>
      </c>
      <c r="G176" s="25">
        <v>310</v>
      </c>
      <c r="H176" s="25"/>
      <c r="I176" s="25"/>
      <c r="J176" s="102"/>
      <c r="K176" s="102"/>
      <c r="L176" s="102"/>
      <c r="M176" s="102"/>
      <c r="N176" s="102"/>
      <c r="O176" s="102"/>
      <c r="P176" s="102"/>
      <c r="Q176" s="102"/>
    </row>
    <row r="177" spans="1:22" s="9" customFormat="1" ht="25.5" x14ac:dyDescent="0.2">
      <c r="A177" s="11" t="s">
        <v>3</v>
      </c>
      <c r="B177" s="14">
        <v>904</v>
      </c>
      <c r="C177" s="8" t="s">
        <v>19</v>
      </c>
      <c r="D177" s="8" t="s">
        <v>28</v>
      </c>
      <c r="E177" s="8"/>
      <c r="F177" s="8"/>
      <c r="G177" s="4">
        <f>G178+G181</f>
        <v>5172.7000000000007</v>
      </c>
      <c r="H177" s="4">
        <f>H178+H181</f>
        <v>5651.8</v>
      </c>
      <c r="I177" s="4">
        <f>I178+I181</f>
        <v>5651.8</v>
      </c>
    </row>
    <row r="178" spans="1:22" ht="25.5" x14ac:dyDescent="0.2">
      <c r="A178" s="18" t="s">
        <v>163</v>
      </c>
      <c r="B178" s="22">
        <v>904</v>
      </c>
      <c r="C178" s="19" t="s">
        <v>19</v>
      </c>
      <c r="D178" s="19" t="s">
        <v>28</v>
      </c>
      <c r="E178" s="19" t="s">
        <v>168</v>
      </c>
      <c r="F178" s="19"/>
      <c r="G178" s="20">
        <f>G179+G180</f>
        <v>1749.4</v>
      </c>
      <c r="H178" s="20">
        <f>H179+H180</f>
        <v>2328.5</v>
      </c>
      <c r="I178" s="20">
        <f>I179+I180</f>
        <v>2328.5</v>
      </c>
      <c r="J178" s="101"/>
      <c r="K178" s="101"/>
      <c r="L178" s="101"/>
      <c r="M178" s="101"/>
      <c r="N178" s="101"/>
      <c r="O178" s="101"/>
      <c r="P178" s="101"/>
      <c r="Q178" s="101"/>
    </row>
    <row r="179" spans="1:22" s="26" customFormat="1" ht="50.25" customHeight="1" x14ac:dyDescent="0.2">
      <c r="A179" s="30" t="s">
        <v>63</v>
      </c>
      <c r="B179" s="32">
        <v>904</v>
      </c>
      <c r="C179" s="24" t="s">
        <v>19</v>
      </c>
      <c r="D179" s="24" t="s">
        <v>28</v>
      </c>
      <c r="E179" s="24" t="s">
        <v>168</v>
      </c>
      <c r="F179" s="27" t="s">
        <v>64</v>
      </c>
      <c r="G179" s="25">
        <f>1186.8+5+498.1</f>
        <v>1689.9</v>
      </c>
      <c r="H179" s="25">
        <f>1186.8+1070.2</f>
        <v>2257</v>
      </c>
      <c r="I179" s="25">
        <f>1186.8+1070.2</f>
        <v>2257</v>
      </c>
      <c r="J179" s="102"/>
      <c r="K179" s="102"/>
      <c r="L179" s="102"/>
      <c r="M179" s="102"/>
      <c r="N179" s="102"/>
      <c r="O179" s="102"/>
      <c r="P179" s="102"/>
      <c r="Q179" s="102"/>
    </row>
    <row r="180" spans="1:22" s="102" customFormat="1" ht="25.5" x14ac:dyDescent="0.2">
      <c r="A180" s="230" t="s">
        <v>73</v>
      </c>
      <c r="B180" s="236">
        <v>904</v>
      </c>
      <c r="C180" s="228" t="s">
        <v>19</v>
      </c>
      <c r="D180" s="228" t="s">
        <v>28</v>
      </c>
      <c r="E180" s="228" t="s">
        <v>168</v>
      </c>
      <c r="F180" s="231" t="s">
        <v>65</v>
      </c>
      <c r="G180" s="189">
        <f>71.5-12</f>
        <v>59.5</v>
      </c>
      <c r="H180" s="189">
        <v>71.5</v>
      </c>
      <c r="I180" s="189">
        <v>71.5</v>
      </c>
    </row>
    <row r="181" spans="1:22" ht="25.5" x14ac:dyDescent="0.2">
      <c r="A181" s="18" t="s">
        <v>163</v>
      </c>
      <c r="B181" s="22">
        <v>904</v>
      </c>
      <c r="C181" s="19" t="s">
        <v>19</v>
      </c>
      <c r="D181" s="19" t="s">
        <v>28</v>
      </c>
      <c r="E181" s="19" t="s">
        <v>325</v>
      </c>
      <c r="F181" s="19"/>
      <c r="G181" s="20">
        <f>G182</f>
        <v>3423.3</v>
      </c>
      <c r="H181" s="20">
        <f>H182</f>
        <v>3323.3</v>
      </c>
      <c r="I181" s="20">
        <f>I182</f>
        <v>3323.3</v>
      </c>
      <c r="J181" s="101"/>
      <c r="K181" s="101"/>
      <c r="L181" s="101"/>
      <c r="M181" s="101"/>
      <c r="N181" s="101"/>
      <c r="O181" s="101"/>
      <c r="P181" s="101"/>
      <c r="Q181" s="101"/>
    </row>
    <row r="182" spans="1:22" s="26" customFormat="1" ht="27.75" customHeight="1" x14ac:dyDescent="0.2">
      <c r="A182" s="28" t="s">
        <v>119</v>
      </c>
      <c r="B182" s="32">
        <v>904</v>
      </c>
      <c r="C182" s="24" t="s">
        <v>19</v>
      </c>
      <c r="D182" s="24" t="s">
        <v>28</v>
      </c>
      <c r="E182" s="24" t="s">
        <v>325</v>
      </c>
      <c r="F182" s="27" t="s">
        <v>62</v>
      </c>
      <c r="G182" s="25">
        <v>3423.3</v>
      </c>
      <c r="H182" s="25">
        <v>3323.3</v>
      </c>
      <c r="I182" s="25">
        <v>3323.3</v>
      </c>
      <c r="J182" s="102"/>
      <c r="K182" s="102"/>
      <c r="L182" s="102"/>
      <c r="M182" s="102"/>
      <c r="N182" s="102"/>
      <c r="O182" s="102"/>
      <c r="P182" s="102"/>
      <c r="Q182" s="102"/>
    </row>
    <row r="183" spans="1:22" s="9" customFormat="1" ht="30.75" customHeight="1" x14ac:dyDescent="0.2">
      <c r="A183" s="39" t="s">
        <v>44</v>
      </c>
      <c r="B183" s="36">
        <v>905</v>
      </c>
      <c r="C183" s="40"/>
      <c r="D183" s="40"/>
      <c r="E183" s="40"/>
      <c r="F183" s="40"/>
      <c r="G183" s="38">
        <f>G184+G203+G213+G209</f>
        <v>102119.40000000001</v>
      </c>
      <c r="H183" s="38">
        <f>H184+H203+H213+H209</f>
        <v>94316.2</v>
      </c>
      <c r="I183" s="38">
        <f>I184+I203+I213+I209</f>
        <v>94493.2</v>
      </c>
      <c r="S183" s="222"/>
      <c r="V183" s="222"/>
    </row>
    <row r="184" spans="1:22" s="3" customFormat="1" x14ac:dyDescent="0.2">
      <c r="A184" s="13" t="s">
        <v>57</v>
      </c>
      <c r="B184" s="41">
        <v>905</v>
      </c>
      <c r="C184" s="1" t="s">
        <v>10</v>
      </c>
      <c r="D184" s="1"/>
      <c r="E184" s="1"/>
      <c r="F184" s="1"/>
      <c r="G184" s="2">
        <f>G185</f>
        <v>17076.300000000003</v>
      </c>
      <c r="H184" s="2">
        <f>H185</f>
        <v>9065.2000000000007</v>
      </c>
      <c r="I184" s="2">
        <f>I185</f>
        <v>9065.2000000000007</v>
      </c>
      <c r="J184" s="105"/>
      <c r="K184" s="105"/>
      <c r="L184" s="105"/>
      <c r="M184" s="105"/>
      <c r="N184" s="105"/>
      <c r="O184" s="105"/>
      <c r="P184" s="105"/>
      <c r="Q184" s="105"/>
    </row>
    <row r="185" spans="1:22" s="9" customFormat="1" x14ac:dyDescent="0.2">
      <c r="A185" s="11" t="s">
        <v>22</v>
      </c>
      <c r="B185" s="14">
        <v>905</v>
      </c>
      <c r="C185" s="8" t="s">
        <v>10</v>
      </c>
      <c r="D185" s="8" t="s">
        <v>58</v>
      </c>
      <c r="E185" s="8"/>
      <c r="F185" s="8"/>
      <c r="G185" s="4">
        <f>G186+G188+G192+G195+G197+G200+G190</f>
        <v>17076.300000000003</v>
      </c>
      <c r="H185" s="4">
        <f>H186+H188+H192+H195+H197+H200+H190</f>
        <v>9065.2000000000007</v>
      </c>
      <c r="I185" s="4">
        <f>I186+I188+I192+I195+I197+I200+I190</f>
        <v>9065.2000000000007</v>
      </c>
      <c r="J185" s="106"/>
      <c r="K185" s="106"/>
      <c r="L185" s="106"/>
      <c r="M185" s="106"/>
      <c r="N185" s="106"/>
      <c r="O185" s="106"/>
      <c r="P185" s="106"/>
      <c r="Q185" s="106"/>
    </row>
    <row r="186" spans="1:22" ht="25.5" x14ac:dyDescent="0.2">
      <c r="A186" s="18" t="s">
        <v>170</v>
      </c>
      <c r="B186" s="22">
        <v>905</v>
      </c>
      <c r="C186" s="19" t="s">
        <v>10</v>
      </c>
      <c r="D186" s="19" t="s">
        <v>58</v>
      </c>
      <c r="E186" s="5" t="s">
        <v>169</v>
      </c>
      <c r="F186" s="5"/>
      <c r="G186" s="6">
        <f>G187</f>
        <v>500</v>
      </c>
      <c r="H186" s="6">
        <f>H187</f>
        <v>0</v>
      </c>
      <c r="I186" s="6">
        <f>I187</f>
        <v>0</v>
      </c>
      <c r="J186" s="101"/>
      <c r="K186" s="101"/>
      <c r="L186" s="101"/>
      <c r="M186" s="101"/>
      <c r="N186" s="101"/>
      <c r="O186" s="101"/>
      <c r="P186" s="101"/>
      <c r="Q186" s="101"/>
    </row>
    <row r="187" spans="1:22" s="26" customFormat="1" ht="25.5" x14ac:dyDescent="0.2">
      <c r="A187" s="28" t="s">
        <v>73</v>
      </c>
      <c r="B187" s="32">
        <v>905</v>
      </c>
      <c r="C187" s="24" t="s">
        <v>10</v>
      </c>
      <c r="D187" s="24" t="s">
        <v>58</v>
      </c>
      <c r="E187" s="24" t="s">
        <v>169</v>
      </c>
      <c r="F187" s="27" t="s">
        <v>65</v>
      </c>
      <c r="G187" s="25">
        <v>500</v>
      </c>
      <c r="H187" s="25"/>
      <c r="I187" s="25"/>
      <c r="J187" s="102"/>
      <c r="K187" s="102"/>
      <c r="L187" s="102"/>
      <c r="M187" s="102"/>
      <c r="N187" s="102"/>
      <c r="O187" s="102"/>
      <c r="P187" s="102"/>
      <c r="Q187" s="102"/>
    </row>
    <row r="188" spans="1:22" s="101" customFormat="1" ht="25.5" x14ac:dyDescent="0.2">
      <c r="A188" s="224" t="s">
        <v>171</v>
      </c>
      <c r="B188" s="225">
        <v>905</v>
      </c>
      <c r="C188" s="226" t="s">
        <v>10</v>
      </c>
      <c r="D188" s="226" t="s">
        <v>58</v>
      </c>
      <c r="E188" s="232" t="s">
        <v>172</v>
      </c>
      <c r="F188" s="232"/>
      <c r="G188" s="233">
        <f>G189</f>
        <v>200</v>
      </c>
      <c r="H188" s="233">
        <f>H189</f>
        <v>0</v>
      </c>
      <c r="I188" s="233">
        <f>I189</f>
        <v>0</v>
      </c>
    </row>
    <row r="189" spans="1:22" s="102" customFormat="1" ht="25.5" x14ac:dyDescent="0.2">
      <c r="A189" s="230" t="s">
        <v>73</v>
      </c>
      <c r="B189" s="236">
        <v>905</v>
      </c>
      <c r="C189" s="228" t="s">
        <v>10</v>
      </c>
      <c r="D189" s="228" t="s">
        <v>58</v>
      </c>
      <c r="E189" s="228" t="s">
        <v>172</v>
      </c>
      <c r="F189" s="231" t="s">
        <v>65</v>
      </c>
      <c r="G189" s="189">
        <f>300-100</f>
        <v>200</v>
      </c>
      <c r="H189" s="189"/>
      <c r="I189" s="189"/>
    </row>
    <row r="190" spans="1:22" s="21" customFormat="1" ht="38.25" x14ac:dyDescent="0.2">
      <c r="A190" s="18" t="s">
        <v>173</v>
      </c>
      <c r="B190" s="22">
        <v>905</v>
      </c>
      <c r="C190" s="19" t="s">
        <v>10</v>
      </c>
      <c r="D190" s="19" t="s">
        <v>58</v>
      </c>
      <c r="E190" s="19" t="s">
        <v>174</v>
      </c>
      <c r="F190" s="19"/>
      <c r="G190" s="20">
        <f>G191</f>
        <v>200</v>
      </c>
      <c r="H190" s="20">
        <f>H191</f>
        <v>0</v>
      </c>
      <c r="I190" s="20">
        <f>I191</f>
        <v>0</v>
      </c>
    </row>
    <row r="191" spans="1:22" s="26" customFormat="1" ht="25.5" x14ac:dyDescent="0.2">
      <c r="A191" s="28" t="s">
        <v>73</v>
      </c>
      <c r="B191" s="31">
        <v>905</v>
      </c>
      <c r="C191" s="24" t="s">
        <v>10</v>
      </c>
      <c r="D191" s="24" t="s">
        <v>58</v>
      </c>
      <c r="E191" s="24" t="s">
        <v>174</v>
      </c>
      <c r="F191" s="27" t="s">
        <v>65</v>
      </c>
      <c r="G191" s="25">
        <v>200</v>
      </c>
      <c r="H191" s="25"/>
      <c r="I191" s="25"/>
    </row>
    <row r="192" spans="1:22" s="101" customFormat="1" x14ac:dyDescent="0.2">
      <c r="A192" s="224" t="s">
        <v>175</v>
      </c>
      <c r="B192" s="225">
        <v>905</v>
      </c>
      <c r="C192" s="226" t="s">
        <v>10</v>
      </c>
      <c r="D192" s="226" t="s">
        <v>58</v>
      </c>
      <c r="E192" s="232" t="s">
        <v>176</v>
      </c>
      <c r="F192" s="232"/>
      <c r="G192" s="233">
        <f>G194+G193</f>
        <v>5954.5</v>
      </c>
      <c r="H192" s="233">
        <f>H194+H193</f>
        <v>0</v>
      </c>
      <c r="I192" s="233">
        <f>I194+I193</f>
        <v>0</v>
      </c>
    </row>
    <row r="193" spans="1:17" s="102" customFormat="1" ht="25.5" x14ac:dyDescent="0.2">
      <c r="A193" s="230" t="s">
        <v>73</v>
      </c>
      <c r="B193" s="236">
        <v>905</v>
      </c>
      <c r="C193" s="228" t="s">
        <v>10</v>
      </c>
      <c r="D193" s="228" t="s">
        <v>58</v>
      </c>
      <c r="E193" s="228" t="s">
        <v>176</v>
      </c>
      <c r="F193" s="231" t="s">
        <v>65</v>
      </c>
      <c r="G193" s="189">
        <f>142.7+2435.3+503.5+120.9+1494.7+532.4+384</f>
        <v>5613.5</v>
      </c>
      <c r="H193" s="189"/>
      <c r="I193" s="189"/>
    </row>
    <row r="194" spans="1:17" s="102" customFormat="1" x14ac:dyDescent="0.2">
      <c r="A194" s="230" t="s">
        <v>69</v>
      </c>
      <c r="B194" s="236">
        <v>905</v>
      </c>
      <c r="C194" s="228" t="s">
        <v>10</v>
      </c>
      <c r="D194" s="228" t="s">
        <v>58</v>
      </c>
      <c r="E194" s="228" t="s">
        <v>176</v>
      </c>
      <c r="F194" s="231" t="s">
        <v>70</v>
      </c>
      <c r="G194" s="189">
        <f>130.9-120.9+331</f>
        <v>341</v>
      </c>
      <c r="H194" s="189"/>
      <c r="I194" s="189"/>
    </row>
    <row r="195" spans="1:17" s="101" customFormat="1" x14ac:dyDescent="0.2">
      <c r="A195" s="224" t="s">
        <v>178</v>
      </c>
      <c r="B195" s="225">
        <v>905</v>
      </c>
      <c r="C195" s="226" t="s">
        <v>10</v>
      </c>
      <c r="D195" s="226" t="s">
        <v>58</v>
      </c>
      <c r="E195" s="232" t="s">
        <v>177</v>
      </c>
      <c r="F195" s="232"/>
      <c r="G195" s="233">
        <f>G196</f>
        <v>300</v>
      </c>
      <c r="H195" s="233">
        <f>H196</f>
        <v>0</v>
      </c>
      <c r="I195" s="233">
        <f>I196</f>
        <v>0</v>
      </c>
    </row>
    <row r="196" spans="1:17" s="102" customFormat="1" ht="25.5" x14ac:dyDescent="0.2">
      <c r="A196" s="230" t="s">
        <v>73</v>
      </c>
      <c r="B196" s="236">
        <v>905</v>
      </c>
      <c r="C196" s="228" t="s">
        <v>10</v>
      </c>
      <c r="D196" s="228" t="s">
        <v>58</v>
      </c>
      <c r="E196" s="228" t="s">
        <v>177</v>
      </c>
      <c r="F196" s="231" t="s">
        <v>65</v>
      </c>
      <c r="G196" s="189">
        <f>500-200</f>
        <v>300</v>
      </c>
      <c r="H196" s="189"/>
      <c r="I196" s="189"/>
    </row>
    <row r="197" spans="1:17" s="101" customFormat="1" x14ac:dyDescent="0.2">
      <c r="A197" s="224" t="s">
        <v>179</v>
      </c>
      <c r="B197" s="225">
        <v>905</v>
      </c>
      <c r="C197" s="226" t="s">
        <v>10</v>
      </c>
      <c r="D197" s="226" t="s">
        <v>58</v>
      </c>
      <c r="E197" s="232" t="s">
        <v>180</v>
      </c>
      <c r="F197" s="232"/>
      <c r="G197" s="233">
        <f>SUM(G198:G199)</f>
        <v>169</v>
      </c>
      <c r="H197" s="233">
        <f t="shared" ref="H197:I197" si="42">SUM(H198:H199)</f>
        <v>0</v>
      </c>
      <c r="I197" s="233">
        <f t="shared" si="42"/>
        <v>0</v>
      </c>
    </row>
    <row r="198" spans="1:17" s="102" customFormat="1" ht="25.5" x14ac:dyDescent="0.2">
      <c r="A198" s="230" t="s">
        <v>73</v>
      </c>
      <c r="B198" s="247">
        <v>905</v>
      </c>
      <c r="C198" s="228" t="s">
        <v>10</v>
      </c>
      <c r="D198" s="228" t="s">
        <v>58</v>
      </c>
      <c r="E198" s="228" t="s">
        <v>180</v>
      </c>
      <c r="F198" s="231" t="s">
        <v>65</v>
      </c>
      <c r="G198" s="189">
        <f>169-142.9</f>
        <v>26.099999999999994</v>
      </c>
      <c r="H198" s="189">
        <v>0</v>
      </c>
      <c r="I198" s="189">
        <v>0</v>
      </c>
    </row>
    <row r="199" spans="1:17" s="102" customFormat="1" x14ac:dyDescent="0.2">
      <c r="A199" s="230" t="s">
        <v>69</v>
      </c>
      <c r="B199" s="247">
        <v>905</v>
      </c>
      <c r="C199" s="228" t="s">
        <v>10</v>
      </c>
      <c r="D199" s="228" t="s">
        <v>58</v>
      </c>
      <c r="E199" s="228" t="s">
        <v>180</v>
      </c>
      <c r="F199" s="231" t="s">
        <v>70</v>
      </c>
      <c r="G199" s="189">
        <v>142.9</v>
      </c>
      <c r="H199" s="189">
        <v>0</v>
      </c>
      <c r="I199" s="189">
        <v>0</v>
      </c>
    </row>
    <row r="200" spans="1:17" ht="25.5" x14ac:dyDescent="0.2">
      <c r="A200" s="18" t="s">
        <v>181</v>
      </c>
      <c r="B200" s="22">
        <v>905</v>
      </c>
      <c r="C200" s="19" t="s">
        <v>10</v>
      </c>
      <c r="D200" s="19" t="s">
        <v>58</v>
      </c>
      <c r="E200" s="5" t="s">
        <v>182</v>
      </c>
      <c r="F200" s="19"/>
      <c r="G200" s="20">
        <f>G201+G202</f>
        <v>9752.8000000000011</v>
      </c>
      <c r="H200" s="20">
        <f t="shared" ref="H200:I200" si="43">H201+H202</f>
        <v>9065.2000000000007</v>
      </c>
      <c r="I200" s="20">
        <f t="shared" si="43"/>
        <v>9065.2000000000007</v>
      </c>
      <c r="J200" s="101"/>
      <c r="K200" s="101"/>
      <c r="L200" s="101"/>
      <c r="M200" s="101"/>
      <c r="N200" s="101"/>
      <c r="O200" s="101"/>
      <c r="P200" s="101"/>
      <c r="Q200" s="101"/>
    </row>
    <row r="201" spans="1:17" s="26" customFormat="1" ht="51" customHeight="1" x14ac:dyDescent="0.2">
      <c r="A201" s="30" t="s">
        <v>63</v>
      </c>
      <c r="B201" s="32">
        <v>905</v>
      </c>
      <c r="C201" s="24" t="s">
        <v>10</v>
      </c>
      <c r="D201" s="24" t="s">
        <v>58</v>
      </c>
      <c r="E201" s="24" t="s">
        <v>182</v>
      </c>
      <c r="F201" s="27" t="s">
        <v>64</v>
      </c>
      <c r="G201" s="25">
        <f>6756.1+100+2070.5</f>
        <v>8926.6</v>
      </c>
      <c r="H201" s="25">
        <f>6756.1+100+2070.5</f>
        <v>8926.6</v>
      </c>
      <c r="I201" s="25">
        <f>6756.1+100+2070.5</f>
        <v>8926.6</v>
      </c>
      <c r="J201" s="102"/>
      <c r="K201" s="102"/>
      <c r="L201" s="102"/>
      <c r="M201" s="102"/>
      <c r="N201" s="102"/>
      <c r="O201" s="102"/>
      <c r="P201" s="102"/>
      <c r="Q201" s="102"/>
    </row>
    <row r="202" spans="1:17" s="26" customFormat="1" ht="25.5" x14ac:dyDescent="0.2">
      <c r="A202" s="28" t="s">
        <v>73</v>
      </c>
      <c r="B202" s="32">
        <v>905</v>
      </c>
      <c r="C202" s="24" t="s">
        <v>10</v>
      </c>
      <c r="D202" s="24" t="s">
        <v>58</v>
      </c>
      <c r="E202" s="24" t="s">
        <v>182</v>
      </c>
      <c r="F202" s="27" t="s">
        <v>65</v>
      </c>
      <c r="G202" s="25">
        <f>138.6+30+531.1+36.5+90</f>
        <v>826.2</v>
      </c>
      <c r="H202" s="25">
        <v>138.6</v>
      </c>
      <c r="I202" s="25">
        <v>138.6</v>
      </c>
      <c r="J202" s="102"/>
      <c r="K202" s="102"/>
      <c r="L202" s="102"/>
      <c r="M202" s="102"/>
      <c r="N202" s="102"/>
      <c r="O202" s="102"/>
      <c r="P202" s="102"/>
      <c r="Q202" s="102"/>
    </row>
    <row r="203" spans="1:17" s="3" customFormat="1" x14ac:dyDescent="0.2">
      <c r="A203" s="13" t="s">
        <v>25</v>
      </c>
      <c r="B203" s="41">
        <v>905</v>
      </c>
      <c r="C203" s="1" t="s">
        <v>16</v>
      </c>
      <c r="D203" s="1"/>
      <c r="E203" s="1"/>
      <c r="F203" s="1"/>
      <c r="G203" s="2">
        <f>G204</f>
        <v>1585</v>
      </c>
      <c r="H203" s="2">
        <f>H204</f>
        <v>0</v>
      </c>
      <c r="I203" s="2">
        <f>I204</f>
        <v>0</v>
      </c>
      <c r="J203" s="105"/>
      <c r="K203" s="105"/>
      <c r="L203" s="105"/>
      <c r="M203" s="105"/>
      <c r="N203" s="105"/>
      <c r="O203" s="105"/>
      <c r="P203" s="105"/>
      <c r="Q203" s="105"/>
    </row>
    <row r="204" spans="1:17" s="9" customFormat="1" x14ac:dyDescent="0.2">
      <c r="A204" s="11" t="s">
        <v>26</v>
      </c>
      <c r="B204" s="14">
        <v>905</v>
      </c>
      <c r="C204" s="8" t="s">
        <v>16</v>
      </c>
      <c r="D204" s="8" t="s">
        <v>21</v>
      </c>
      <c r="E204" s="8"/>
      <c r="F204" s="8"/>
      <c r="G204" s="4">
        <f>G205+G207</f>
        <v>1585</v>
      </c>
      <c r="H204" s="4">
        <f>H205+H207</f>
        <v>0</v>
      </c>
      <c r="I204" s="4">
        <f>I205+I207</f>
        <v>0</v>
      </c>
      <c r="J204" s="106"/>
      <c r="K204" s="106"/>
      <c r="L204" s="106"/>
      <c r="M204" s="106"/>
      <c r="N204" s="106"/>
      <c r="O204" s="106"/>
      <c r="P204" s="106"/>
      <c r="Q204" s="106"/>
    </row>
    <row r="205" spans="1:17" s="101" customFormat="1" x14ac:dyDescent="0.2">
      <c r="A205" s="224" t="s">
        <v>184</v>
      </c>
      <c r="B205" s="225">
        <v>905</v>
      </c>
      <c r="C205" s="226" t="s">
        <v>16</v>
      </c>
      <c r="D205" s="226" t="s">
        <v>21</v>
      </c>
      <c r="E205" s="226" t="s">
        <v>183</v>
      </c>
      <c r="F205" s="226"/>
      <c r="G205" s="190">
        <f>G206</f>
        <v>1085</v>
      </c>
      <c r="H205" s="190">
        <f>H206</f>
        <v>0</v>
      </c>
      <c r="I205" s="190">
        <f>I206</f>
        <v>0</v>
      </c>
    </row>
    <row r="206" spans="1:17" s="102" customFormat="1" ht="25.5" x14ac:dyDescent="0.2">
      <c r="A206" s="230" t="s">
        <v>73</v>
      </c>
      <c r="B206" s="227">
        <v>905</v>
      </c>
      <c r="C206" s="228" t="s">
        <v>16</v>
      </c>
      <c r="D206" s="228" t="s">
        <v>21</v>
      </c>
      <c r="E206" s="228" t="s">
        <v>183</v>
      </c>
      <c r="F206" s="231" t="s">
        <v>65</v>
      </c>
      <c r="G206" s="189">
        <f>1500-415</f>
        <v>1085</v>
      </c>
      <c r="H206" s="189"/>
      <c r="I206" s="189"/>
    </row>
    <row r="207" spans="1:17" s="21" customFormat="1" ht="38.25" x14ac:dyDescent="0.2">
      <c r="A207" s="18" t="s">
        <v>185</v>
      </c>
      <c r="B207" s="22">
        <v>905</v>
      </c>
      <c r="C207" s="19" t="s">
        <v>16</v>
      </c>
      <c r="D207" s="19" t="s">
        <v>21</v>
      </c>
      <c r="E207" s="19" t="s">
        <v>186</v>
      </c>
      <c r="F207" s="19"/>
      <c r="G207" s="20">
        <f>G208</f>
        <v>500</v>
      </c>
      <c r="H207" s="20">
        <f>H208</f>
        <v>0</v>
      </c>
      <c r="I207" s="20">
        <f>I208</f>
        <v>0</v>
      </c>
      <c r="J207" s="101"/>
      <c r="K207" s="101"/>
      <c r="L207" s="101"/>
      <c r="M207" s="101"/>
      <c r="N207" s="101"/>
      <c r="O207" s="101"/>
      <c r="P207" s="101"/>
      <c r="Q207" s="101"/>
    </row>
    <row r="208" spans="1:17" s="26" customFormat="1" ht="25.5" x14ac:dyDescent="0.2">
      <c r="A208" s="28" t="s">
        <v>73</v>
      </c>
      <c r="B208" s="32">
        <v>905</v>
      </c>
      <c r="C208" s="24" t="s">
        <v>16</v>
      </c>
      <c r="D208" s="24" t="s">
        <v>21</v>
      </c>
      <c r="E208" s="24" t="s">
        <v>186</v>
      </c>
      <c r="F208" s="27" t="s">
        <v>65</v>
      </c>
      <c r="G208" s="25">
        <v>500</v>
      </c>
      <c r="H208" s="25"/>
      <c r="I208" s="25"/>
      <c r="J208" s="102"/>
      <c r="K208" s="102"/>
      <c r="L208" s="102"/>
      <c r="M208" s="102"/>
      <c r="N208" s="102"/>
      <c r="O208" s="102"/>
      <c r="P208" s="102"/>
      <c r="Q208" s="102"/>
    </row>
    <row r="209" spans="1:23" s="3" customFormat="1" x14ac:dyDescent="0.2">
      <c r="A209" s="13" t="s">
        <v>27</v>
      </c>
      <c r="B209" s="41">
        <v>905</v>
      </c>
      <c r="C209" s="1" t="s">
        <v>28</v>
      </c>
      <c r="D209" s="1"/>
      <c r="E209" s="1"/>
      <c r="F209" s="1"/>
      <c r="G209" s="2">
        <f>G210</f>
        <v>1201.0999999999999</v>
      </c>
      <c r="H209" s="2">
        <f t="shared" ref="H209:I209" si="44">H210</f>
        <v>0</v>
      </c>
      <c r="I209" s="2">
        <f t="shared" si="44"/>
        <v>0</v>
      </c>
    </row>
    <row r="210" spans="1:23" s="9" customFormat="1" x14ac:dyDescent="0.2">
      <c r="A210" s="11" t="s">
        <v>29</v>
      </c>
      <c r="B210" s="14">
        <v>905</v>
      </c>
      <c r="C210" s="8" t="s">
        <v>28</v>
      </c>
      <c r="D210" s="8" t="s">
        <v>10</v>
      </c>
      <c r="E210" s="8"/>
      <c r="F210" s="8"/>
      <c r="G210" s="4">
        <f t="shared" ref="G210:I211" si="45">G211</f>
        <v>1201.0999999999999</v>
      </c>
      <c r="H210" s="4">
        <f t="shared" si="45"/>
        <v>0</v>
      </c>
      <c r="I210" s="4">
        <f t="shared" si="45"/>
        <v>0</v>
      </c>
    </row>
    <row r="211" spans="1:23" s="72" customFormat="1" ht="25.5" x14ac:dyDescent="0.2">
      <c r="A211" s="68" t="s">
        <v>187</v>
      </c>
      <c r="B211" s="69">
        <v>905</v>
      </c>
      <c r="C211" s="70" t="s">
        <v>28</v>
      </c>
      <c r="D211" s="70" t="s">
        <v>10</v>
      </c>
      <c r="E211" s="70" t="s">
        <v>188</v>
      </c>
      <c r="F211" s="70"/>
      <c r="G211" s="71">
        <f t="shared" si="45"/>
        <v>1201.0999999999999</v>
      </c>
      <c r="H211" s="71">
        <f t="shared" si="45"/>
        <v>0</v>
      </c>
      <c r="I211" s="71">
        <f t="shared" si="45"/>
        <v>0</v>
      </c>
      <c r="J211" s="101"/>
      <c r="K211" s="101"/>
      <c r="L211" s="101"/>
      <c r="M211" s="101"/>
      <c r="N211" s="101"/>
      <c r="O211" s="101"/>
      <c r="P211" s="101"/>
      <c r="Q211" s="101"/>
    </row>
    <row r="212" spans="1:23" s="26" customFormat="1" ht="25.5" x14ac:dyDescent="0.2">
      <c r="A212" s="28" t="s">
        <v>73</v>
      </c>
      <c r="B212" s="31">
        <v>905</v>
      </c>
      <c r="C212" s="24" t="s">
        <v>28</v>
      </c>
      <c r="D212" s="24" t="s">
        <v>10</v>
      </c>
      <c r="E212" s="24" t="s">
        <v>188</v>
      </c>
      <c r="F212" s="24" t="s">
        <v>65</v>
      </c>
      <c r="G212" s="25">
        <v>1201.0999999999999</v>
      </c>
      <c r="H212" s="25"/>
      <c r="I212" s="25"/>
      <c r="J212" s="102"/>
      <c r="K212" s="102"/>
      <c r="L212" s="102"/>
      <c r="M212" s="102"/>
      <c r="N212" s="102"/>
      <c r="O212" s="102"/>
      <c r="P212" s="102"/>
      <c r="Q212" s="102"/>
    </row>
    <row r="213" spans="1:23" s="9" customFormat="1" x14ac:dyDescent="0.2">
      <c r="A213" s="11" t="s">
        <v>49</v>
      </c>
      <c r="B213" s="14">
        <v>905</v>
      </c>
      <c r="C213" s="8" t="s">
        <v>48</v>
      </c>
      <c r="D213" s="8"/>
      <c r="E213" s="8"/>
      <c r="F213" s="8"/>
      <c r="G213" s="4">
        <f>G214</f>
        <v>82257</v>
      </c>
      <c r="H213" s="4">
        <f t="shared" ref="H213:I213" si="46">H214</f>
        <v>85251</v>
      </c>
      <c r="I213" s="4">
        <f t="shared" si="46"/>
        <v>85428</v>
      </c>
    </row>
    <row r="214" spans="1:23" s="9" customFormat="1" x14ac:dyDescent="0.2">
      <c r="A214" s="11" t="s">
        <v>53</v>
      </c>
      <c r="B214" s="14">
        <v>905</v>
      </c>
      <c r="C214" s="8" t="s">
        <v>48</v>
      </c>
      <c r="D214" s="8" t="s">
        <v>16</v>
      </c>
      <c r="E214" s="8"/>
      <c r="F214" s="8"/>
      <c r="G214" s="4">
        <f>G215+G217</f>
        <v>82257</v>
      </c>
      <c r="H214" s="4">
        <f t="shared" ref="H214:I214" si="47">H215+H217</f>
        <v>85251</v>
      </c>
      <c r="I214" s="4">
        <f t="shared" si="47"/>
        <v>85428</v>
      </c>
    </row>
    <row r="215" spans="1:23" ht="39" customHeight="1" x14ac:dyDescent="0.2">
      <c r="A215" s="18" t="s">
        <v>189</v>
      </c>
      <c r="B215" s="22">
        <v>905</v>
      </c>
      <c r="C215" s="19" t="s">
        <v>48</v>
      </c>
      <c r="D215" s="16" t="s">
        <v>16</v>
      </c>
      <c r="E215" s="19" t="s">
        <v>113</v>
      </c>
      <c r="F215" s="19"/>
      <c r="G215" s="20">
        <f>G216</f>
        <v>23875</v>
      </c>
      <c r="H215" s="20">
        <f>H216</f>
        <v>26869</v>
      </c>
      <c r="I215" s="20">
        <f>I216</f>
        <v>27046</v>
      </c>
      <c r="J215" s="101"/>
      <c r="K215" s="101"/>
      <c r="L215" s="101"/>
      <c r="M215" s="101"/>
      <c r="N215" s="101"/>
      <c r="O215" s="101"/>
      <c r="P215" s="101"/>
      <c r="Q215" s="101"/>
    </row>
    <row r="216" spans="1:23" s="26" customFormat="1" ht="25.5" x14ac:dyDescent="0.2">
      <c r="A216" s="28" t="s">
        <v>79</v>
      </c>
      <c r="B216" s="31">
        <v>905</v>
      </c>
      <c r="C216" s="24" t="s">
        <v>48</v>
      </c>
      <c r="D216" s="24" t="s">
        <v>16</v>
      </c>
      <c r="E216" s="19" t="s">
        <v>113</v>
      </c>
      <c r="F216" s="24" t="s">
        <v>68</v>
      </c>
      <c r="G216" s="25">
        <f>24009-134</f>
        <v>23875</v>
      </c>
      <c r="H216" s="25">
        <f>24009+2860</f>
        <v>26869</v>
      </c>
      <c r="I216" s="25">
        <f>24133+2913</f>
        <v>27046</v>
      </c>
      <c r="J216" s="102"/>
      <c r="K216" s="102"/>
      <c r="L216" s="102"/>
      <c r="M216" s="102"/>
      <c r="N216" s="102"/>
      <c r="O216" s="102"/>
      <c r="P216" s="102"/>
      <c r="Q216" s="102"/>
    </row>
    <row r="217" spans="1:23" s="21" customFormat="1" ht="41.25" customHeight="1" x14ac:dyDescent="0.2">
      <c r="A217" s="18" t="s">
        <v>189</v>
      </c>
      <c r="B217" s="18">
        <v>905</v>
      </c>
      <c r="C217" s="19" t="s">
        <v>48</v>
      </c>
      <c r="D217" s="16" t="s">
        <v>16</v>
      </c>
      <c r="E217" s="19" t="s">
        <v>291</v>
      </c>
      <c r="F217" s="19"/>
      <c r="G217" s="20">
        <f>G218</f>
        <v>58382</v>
      </c>
      <c r="H217" s="20">
        <f>H218</f>
        <v>58382</v>
      </c>
      <c r="I217" s="20">
        <f>I218</f>
        <v>58382</v>
      </c>
      <c r="S217" s="257"/>
      <c r="T217" s="257"/>
      <c r="U217" s="257"/>
      <c r="V217" s="257"/>
      <c r="W217" s="257"/>
    </row>
    <row r="218" spans="1:23" s="72" customFormat="1" ht="25.5" x14ac:dyDescent="0.2">
      <c r="A218" s="80" t="s">
        <v>79</v>
      </c>
      <c r="B218" s="80">
        <v>905</v>
      </c>
      <c r="C218" s="75" t="s">
        <v>48</v>
      </c>
      <c r="D218" s="75" t="s">
        <v>16</v>
      </c>
      <c r="E218" s="70" t="s">
        <v>291</v>
      </c>
      <c r="F218" s="75" t="s">
        <v>68</v>
      </c>
      <c r="G218" s="55">
        <v>58382</v>
      </c>
      <c r="H218" s="55">
        <v>58382</v>
      </c>
      <c r="I218" s="55">
        <v>58382</v>
      </c>
      <c r="S218" s="257"/>
      <c r="T218" s="257"/>
      <c r="U218" s="257"/>
      <c r="V218" s="257"/>
      <c r="W218" s="257"/>
    </row>
    <row r="219" spans="1:23" s="9" customFormat="1" ht="29.25" customHeight="1" x14ac:dyDescent="0.2">
      <c r="A219" s="39" t="s">
        <v>60</v>
      </c>
      <c r="B219" s="36">
        <v>906</v>
      </c>
      <c r="C219" s="40"/>
      <c r="D219" s="40"/>
      <c r="E219" s="40"/>
      <c r="F219" s="40"/>
      <c r="G219" s="38">
        <f t="shared" ref="G219:I220" si="48">G220</f>
        <v>3046.0000000000005</v>
      </c>
      <c r="H219" s="38">
        <f t="shared" si="48"/>
        <v>3046.0000000000005</v>
      </c>
      <c r="I219" s="38">
        <f t="shared" si="48"/>
        <v>3046.0000000000005</v>
      </c>
      <c r="S219" s="222"/>
      <c r="V219" s="222"/>
    </row>
    <row r="220" spans="1:23" s="3" customFormat="1" x14ac:dyDescent="0.2">
      <c r="A220" s="13" t="s">
        <v>57</v>
      </c>
      <c r="B220" s="41">
        <v>906</v>
      </c>
      <c r="C220" s="1" t="s">
        <v>10</v>
      </c>
      <c r="D220" s="1"/>
      <c r="E220" s="1"/>
      <c r="F220" s="1"/>
      <c r="G220" s="2">
        <f t="shared" si="48"/>
        <v>3046.0000000000005</v>
      </c>
      <c r="H220" s="2">
        <f t="shared" si="48"/>
        <v>3046.0000000000005</v>
      </c>
      <c r="I220" s="2">
        <f t="shared" si="48"/>
        <v>3046.0000000000005</v>
      </c>
    </row>
    <row r="221" spans="1:23" s="9" customFormat="1" ht="38.25" x14ac:dyDescent="0.2">
      <c r="A221" s="11" t="s">
        <v>78</v>
      </c>
      <c r="B221" s="14">
        <v>906</v>
      </c>
      <c r="C221" s="8" t="s">
        <v>10</v>
      </c>
      <c r="D221" s="8" t="s">
        <v>47</v>
      </c>
      <c r="E221" s="8"/>
      <c r="F221" s="8"/>
      <c r="G221" s="4">
        <f>G222+G226</f>
        <v>3046.0000000000005</v>
      </c>
      <c r="H221" s="4">
        <f>H222+H226</f>
        <v>3046.0000000000005</v>
      </c>
      <c r="I221" s="4">
        <f>I222+I226</f>
        <v>3046.0000000000005</v>
      </c>
    </row>
    <row r="222" spans="1:23" s="21" customFormat="1" x14ac:dyDescent="0.2">
      <c r="A222" s="18" t="s">
        <v>191</v>
      </c>
      <c r="B222" s="22">
        <v>906</v>
      </c>
      <c r="C222" s="19" t="s">
        <v>10</v>
      </c>
      <c r="D222" s="19" t="s">
        <v>47</v>
      </c>
      <c r="E222" s="19" t="s">
        <v>190</v>
      </c>
      <c r="F222" s="19"/>
      <c r="G222" s="20">
        <f>+G223+G224+G225</f>
        <v>2250.6000000000004</v>
      </c>
      <c r="H222" s="20">
        <f>+H223+H224+H225</f>
        <v>2250.6000000000004</v>
      </c>
      <c r="I222" s="20">
        <f>+I223+I224+I225</f>
        <v>2250.6000000000004</v>
      </c>
      <c r="J222" s="101"/>
      <c r="K222" s="101"/>
      <c r="L222" s="101"/>
      <c r="M222" s="101"/>
      <c r="N222" s="101"/>
      <c r="O222" s="101"/>
      <c r="P222" s="101"/>
      <c r="Q222" s="101"/>
    </row>
    <row r="223" spans="1:23" s="26" customFormat="1" ht="53.25" customHeight="1" x14ac:dyDescent="0.2">
      <c r="A223" s="30" t="s">
        <v>63</v>
      </c>
      <c r="B223" s="32">
        <v>906</v>
      </c>
      <c r="C223" s="24" t="s">
        <v>10</v>
      </c>
      <c r="D223" s="24" t="s">
        <v>47</v>
      </c>
      <c r="E223" s="24" t="s">
        <v>190</v>
      </c>
      <c r="F223" s="27" t="s">
        <v>64</v>
      </c>
      <c r="G223" s="25">
        <f>1364.2+8.4+5.7+412</f>
        <v>1790.3000000000002</v>
      </c>
      <c r="H223" s="25">
        <f>1364.2+8.4+5.7+412</f>
        <v>1790.3000000000002</v>
      </c>
      <c r="I223" s="25">
        <f>1364.2+8.4+5.7+412</f>
        <v>1790.3000000000002</v>
      </c>
      <c r="J223" s="102"/>
      <c r="K223" s="102"/>
      <c r="L223" s="102"/>
      <c r="M223" s="102"/>
      <c r="N223" s="102"/>
      <c r="O223" s="102"/>
      <c r="P223" s="102"/>
      <c r="Q223" s="102"/>
    </row>
    <row r="224" spans="1:23" s="26" customFormat="1" ht="25.5" x14ac:dyDescent="0.2">
      <c r="A224" s="28" t="s">
        <v>73</v>
      </c>
      <c r="B224" s="31">
        <v>906</v>
      </c>
      <c r="C224" s="24" t="s">
        <v>10</v>
      </c>
      <c r="D224" s="24" t="s">
        <v>47</v>
      </c>
      <c r="E224" s="24" t="s">
        <v>190</v>
      </c>
      <c r="F224" s="27" t="s">
        <v>65</v>
      </c>
      <c r="G224" s="25">
        <v>459.5</v>
      </c>
      <c r="H224" s="25">
        <v>459.5</v>
      </c>
      <c r="I224" s="25">
        <v>459.5</v>
      </c>
      <c r="J224" s="102"/>
      <c r="K224" s="102"/>
      <c r="L224" s="102"/>
      <c r="M224" s="102"/>
      <c r="N224" s="102"/>
      <c r="O224" s="102"/>
      <c r="P224" s="102"/>
      <c r="Q224" s="102"/>
    </row>
    <row r="225" spans="1:22" s="26" customFormat="1" x14ac:dyDescent="0.2">
      <c r="A225" s="28" t="s">
        <v>69</v>
      </c>
      <c r="B225" s="31">
        <v>906</v>
      </c>
      <c r="C225" s="24" t="s">
        <v>10</v>
      </c>
      <c r="D225" s="24" t="s">
        <v>47</v>
      </c>
      <c r="E225" s="24" t="s">
        <v>190</v>
      </c>
      <c r="F225" s="24" t="s">
        <v>70</v>
      </c>
      <c r="G225" s="25">
        <v>0.8</v>
      </c>
      <c r="H225" s="25">
        <v>0.8</v>
      </c>
      <c r="I225" s="25">
        <v>0.8</v>
      </c>
    </row>
    <row r="226" spans="1:22" s="21" customFormat="1" x14ac:dyDescent="0.2">
      <c r="A226" s="18" t="s">
        <v>192</v>
      </c>
      <c r="B226" s="22">
        <v>906</v>
      </c>
      <c r="C226" s="19" t="s">
        <v>10</v>
      </c>
      <c r="D226" s="19" t="s">
        <v>47</v>
      </c>
      <c r="E226" s="19" t="s">
        <v>193</v>
      </c>
      <c r="F226" s="19"/>
      <c r="G226" s="20">
        <f>G227</f>
        <v>795.4</v>
      </c>
      <c r="H226" s="20">
        <f>H227</f>
        <v>795.4</v>
      </c>
      <c r="I226" s="20">
        <f>I227</f>
        <v>795.4</v>
      </c>
      <c r="J226" s="101"/>
      <c r="K226" s="101"/>
      <c r="L226" s="101"/>
      <c r="M226" s="101"/>
      <c r="N226" s="101"/>
      <c r="O226" s="101"/>
      <c r="P226" s="101"/>
      <c r="Q226" s="101"/>
    </row>
    <row r="227" spans="1:22" s="26" customFormat="1" ht="51" customHeight="1" x14ac:dyDescent="0.2">
      <c r="A227" s="30" t="s">
        <v>63</v>
      </c>
      <c r="B227" s="32">
        <v>906</v>
      </c>
      <c r="C227" s="24" t="s">
        <v>10</v>
      </c>
      <c r="D227" s="24" t="s">
        <v>47</v>
      </c>
      <c r="E227" s="24" t="s">
        <v>193</v>
      </c>
      <c r="F227" s="27" t="s">
        <v>64</v>
      </c>
      <c r="G227" s="25">
        <f>610.9+184.5</f>
        <v>795.4</v>
      </c>
      <c r="H227" s="25">
        <f>610.9+184.5</f>
        <v>795.4</v>
      </c>
      <c r="I227" s="25">
        <f>610.9+184.5</f>
        <v>795.4</v>
      </c>
      <c r="J227" s="102"/>
      <c r="K227" s="102"/>
      <c r="L227" s="102"/>
      <c r="M227" s="102"/>
      <c r="N227" s="102"/>
      <c r="O227" s="102"/>
      <c r="P227" s="102"/>
      <c r="Q227" s="102"/>
    </row>
    <row r="228" spans="1:22" s="9" customFormat="1" ht="30" customHeight="1" x14ac:dyDescent="0.2">
      <c r="A228" s="39" t="s">
        <v>74</v>
      </c>
      <c r="B228" s="36">
        <v>907</v>
      </c>
      <c r="C228" s="40"/>
      <c r="D228" s="40"/>
      <c r="E228" s="40"/>
      <c r="F228" s="40"/>
      <c r="G228" s="38">
        <f>G229</f>
        <v>8694.1999999999989</v>
      </c>
      <c r="H228" s="38">
        <f>H229</f>
        <v>8549.9</v>
      </c>
      <c r="I228" s="38">
        <f>I229</f>
        <v>8549.9</v>
      </c>
      <c r="S228" s="222"/>
      <c r="V228" s="222"/>
    </row>
    <row r="229" spans="1:22" s="3" customFormat="1" x14ac:dyDescent="0.2">
      <c r="A229" s="13" t="s">
        <v>57</v>
      </c>
      <c r="B229" s="41">
        <v>907</v>
      </c>
      <c r="C229" s="1" t="s">
        <v>10</v>
      </c>
      <c r="D229" s="1"/>
      <c r="E229" s="1"/>
      <c r="F229" s="1"/>
      <c r="G229" s="2">
        <f>G230+G240</f>
        <v>8694.1999999999989</v>
      </c>
      <c r="H229" s="2">
        <f>H230+H240</f>
        <v>8549.9</v>
      </c>
      <c r="I229" s="2">
        <f>I230+I240</f>
        <v>8549.9</v>
      </c>
    </row>
    <row r="230" spans="1:22" s="9" customFormat="1" ht="51" x14ac:dyDescent="0.2">
      <c r="A230" s="11" t="s">
        <v>13</v>
      </c>
      <c r="B230" s="14">
        <v>907</v>
      </c>
      <c r="C230" s="8" t="s">
        <v>10</v>
      </c>
      <c r="D230" s="8" t="s">
        <v>14</v>
      </c>
      <c r="E230" s="8"/>
      <c r="F230" s="8"/>
      <c r="G230" s="4">
        <f>G231+G235+G238</f>
        <v>8549.9</v>
      </c>
      <c r="H230" s="4">
        <f>H231+H235+H238</f>
        <v>8549.9</v>
      </c>
      <c r="I230" s="4">
        <f>I231+I235+I238</f>
        <v>8549.9</v>
      </c>
      <c r="J230" s="106"/>
      <c r="K230" s="106"/>
      <c r="L230" s="106"/>
      <c r="M230" s="106"/>
      <c r="N230" s="106"/>
      <c r="O230" s="106"/>
      <c r="P230" s="106"/>
      <c r="Q230" s="106"/>
    </row>
    <row r="231" spans="1:22" s="21" customFormat="1" x14ac:dyDescent="0.2">
      <c r="A231" s="18" t="s">
        <v>191</v>
      </c>
      <c r="B231" s="22">
        <v>907</v>
      </c>
      <c r="C231" s="19" t="s">
        <v>10</v>
      </c>
      <c r="D231" s="19" t="s">
        <v>14</v>
      </c>
      <c r="E231" s="19" t="s">
        <v>190</v>
      </c>
      <c r="F231" s="19"/>
      <c r="G231" s="20">
        <f>G232+G233+G234</f>
        <v>3451</v>
      </c>
      <c r="H231" s="20">
        <f>H232+H233+H234</f>
        <v>3538.2</v>
      </c>
      <c r="I231" s="20">
        <f>I232+I233+I234</f>
        <v>3538.2</v>
      </c>
      <c r="J231" s="101"/>
      <c r="K231" s="101"/>
      <c r="L231" s="101"/>
      <c r="M231" s="101"/>
      <c r="N231" s="101"/>
      <c r="O231" s="101"/>
      <c r="P231" s="101"/>
      <c r="Q231" s="101"/>
    </row>
    <row r="232" spans="1:22" s="26" customFormat="1" ht="51.75" customHeight="1" x14ac:dyDescent="0.2">
      <c r="A232" s="30" t="s">
        <v>63</v>
      </c>
      <c r="B232" s="32">
        <v>907</v>
      </c>
      <c r="C232" s="24" t="s">
        <v>10</v>
      </c>
      <c r="D232" s="24" t="s">
        <v>14</v>
      </c>
      <c r="E232" s="24" t="s">
        <v>190</v>
      </c>
      <c r="F232" s="27" t="s">
        <v>64</v>
      </c>
      <c r="G232" s="25">
        <f>3115.7-87.2</f>
        <v>3028.5</v>
      </c>
      <c r="H232" s="25">
        <v>3115.7</v>
      </c>
      <c r="I232" s="25">
        <v>3115.7</v>
      </c>
      <c r="J232" s="102"/>
      <c r="K232" s="102"/>
      <c r="L232" s="102"/>
      <c r="M232" s="102"/>
      <c r="N232" s="102"/>
      <c r="O232" s="102"/>
      <c r="P232" s="102"/>
      <c r="Q232" s="102"/>
    </row>
    <row r="233" spans="1:22" s="26" customFormat="1" ht="25.5" x14ac:dyDescent="0.2">
      <c r="A233" s="28" t="s">
        <v>73</v>
      </c>
      <c r="B233" s="32">
        <v>907</v>
      </c>
      <c r="C233" s="24" t="s">
        <v>10</v>
      </c>
      <c r="D233" s="24" t="s">
        <v>14</v>
      </c>
      <c r="E233" s="24" t="s">
        <v>190</v>
      </c>
      <c r="F233" s="27" t="s">
        <v>65</v>
      </c>
      <c r="G233" s="25">
        <v>420.4</v>
      </c>
      <c r="H233" s="25">
        <v>420.4</v>
      </c>
      <c r="I233" s="25">
        <v>420.4</v>
      </c>
    </row>
    <row r="234" spans="1:22" s="26" customFormat="1" x14ac:dyDescent="0.2">
      <c r="A234" s="28" t="s">
        <v>69</v>
      </c>
      <c r="B234" s="31">
        <v>907</v>
      </c>
      <c r="C234" s="24" t="s">
        <v>10</v>
      </c>
      <c r="D234" s="24" t="s">
        <v>14</v>
      </c>
      <c r="E234" s="24" t="s">
        <v>190</v>
      </c>
      <c r="F234" s="24" t="s">
        <v>70</v>
      </c>
      <c r="G234" s="25">
        <v>2.1</v>
      </c>
      <c r="H234" s="25">
        <v>2.1</v>
      </c>
      <c r="I234" s="25">
        <v>2.1</v>
      </c>
    </row>
    <row r="235" spans="1:22" s="21" customFormat="1" ht="25.5" x14ac:dyDescent="0.2">
      <c r="A235" s="18" t="s">
        <v>194</v>
      </c>
      <c r="B235" s="22">
        <v>907</v>
      </c>
      <c r="C235" s="19" t="s">
        <v>10</v>
      </c>
      <c r="D235" s="19" t="s">
        <v>14</v>
      </c>
      <c r="E235" s="19" t="s">
        <v>196</v>
      </c>
      <c r="F235" s="19"/>
      <c r="G235" s="20">
        <f>G236+G237</f>
        <v>1905</v>
      </c>
      <c r="H235" s="20">
        <f t="shared" ref="H235:I235" si="49">H236+H237</f>
        <v>1895</v>
      </c>
      <c r="I235" s="20">
        <f t="shared" si="49"/>
        <v>1895</v>
      </c>
      <c r="J235" s="101"/>
      <c r="K235" s="101"/>
      <c r="L235" s="101"/>
      <c r="M235" s="101"/>
      <c r="N235" s="101"/>
      <c r="O235" s="101"/>
      <c r="P235" s="101"/>
      <c r="Q235" s="101"/>
    </row>
    <row r="236" spans="1:22" s="26" customFormat="1" ht="51.75" customHeight="1" x14ac:dyDescent="0.2">
      <c r="A236" s="30" t="s">
        <v>63</v>
      </c>
      <c r="B236" s="32">
        <v>907</v>
      </c>
      <c r="C236" s="24" t="s">
        <v>10</v>
      </c>
      <c r="D236" s="24" t="s">
        <v>14</v>
      </c>
      <c r="E236" s="24" t="s">
        <v>196</v>
      </c>
      <c r="F236" s="27" t="s">
        <v>64</v>
      </c>
      <c r="G236" s="25">
        <f>1880+10</f>
        <v>1890</v>
      </c>
      <c r="H236" s="25">
        <v>1880</v>
      </c>
      <c r="I236" s="25">
        <v>1880</v>
      </c>
      <c r="J236" s="102"/>
      <c r="K236" s="102"/>
      <c r="L236" s="102"/>
      <c r="M236" s="102"/>
      <c r="N236" s="102"/>
      <c r="O236" s="102"/>
      <c r="P236" s="102"/>
      <c r="Q236" s="102"/>
    </row>
    <row r="237" spans="1:22" s="77" customFormat="1" ht="51.75" customHeight="1" x14ac:dyDescent="0.2">
      <c r="A237" s="28" t="s">
        <v>73</v>
      </c>
      <c r="B237" s="74">
        <v>907</v>
      </c>
      <c r="C237" s="75" t="s">
        <v>10</v>
      </c>
      <c r="D237" s="75" t="s">
        <v>14</v>
      </c>
      <c r="E237" s="75" t="s">
        <v>196</v>
      </c>
      <c r="F237" s="76" t="s">
        <v>65</v>
      </c>
      <c r="G237" s="55">
        <v>15</v>
      </c>
      <c r="H237" s="55">
        <v>15</v>
      </c>
      <c r="I237" s="55">
        <v>15</v>
      </c>
      <c r="J237" s="102"/>
      <c r="K237" s="102"/>
      <c r="L237" s="102"/>
      <c r="M237" s="102"/>
      <c r="N237" s="102"/>
      <c r="O237" s="102"/>
      <c r="P237" s="102"/>
      <c r="Q237" s="102"/>
    </row>
    <row r="238" spans="1:22" s="21" customFormat="1" ht="25.5" x14ac:dyDescent="0.2">
      <c r="A238" s="18" t="s">
        <v>195</v>
      </c>
      <c r="B238" s="22">
        <v>907</v>
      </c>
      <c r="C238" s="19" t="s">
        <v>10</v>
      </c>
      <c r="D238" s="19" t="s">
        <v>14</v>
      </c>
      <c r="E238" s="19" t="s">
        <v>197</v>
      </c>
      <c r="F238" s="19"/>
      <c r="G238" s="20">
        <f>G239</f>
        <v>3193.8999999999996</v>
      </c>
      <c r="H238" s="20">
        <f>H239</f>
        <v>3116.7</v>
      </c>
      <c r="I238" s="20">
        <f>I239</f>
        <v>3116.7</v>
      </c>
      <c r="J238" s="101"/>
      <c r="K238" s="101"/>
      <c r="L238" s="101"/>
      <c r="M238" s="101"/>
      <c r="N238" s="101"/>
      <c r="O238" s="101"/>
      <c r="P238" s="101"/>
      <c r="Q238" s="101"/>
    </row>
    <row r="239" spans="1:22" s="26" customFormat="1" ht="51" customHeight="1" x14ac:dyDescent="0.2">
      <c r="A239" s="30" t="s">
        <v>63</v>
      </c>
      <c r="B239" s="32">
        <v>907</v>
      </c>
      <c r="C239" s="24" t="s">
        <v>10</v>
      </c>
      <c r="D239" s="24" t="s">
        <v>14</v>
      </c>
      <c r="E239" s="24" t="s">
        <v>197</v>
      </c>
      <c r="F239" s="27" t="s">
        <v>64</v>
      </c>
      <c r="G239" s="25">
        <f>3116.7+77.2</f>
        <v>3193.8999999999996</v>
      </c>
      <c r="H239" s="25">
        <v>3116.7</v>
      </c>
      <c r="I239" s="25">
        <v>3116.7</v>
      </c>
      <c r="J239" s="102"/>
      <c r="K239" s="102"/>
      <c r="L239" s="102"/>
      <c r="M239" s="102"/>
      <c r="N239" s="102"/>
      <c r="O239" s="102"/>
      <c r="P239" s="102"/>
      <c r="Q239" s="102"/>
    </row>
    <row r="240" spans="1:22" s="9" customFormat="1" x14ac:dyDescent="0.2">
      <c r="A240" s="11" t="s">
        <v>22</v>
      </c>
      <c r="B240" s="14">
        <v>907</v>
      </c>
      <c r="C240" s="8" t="s">
        <v>10</v>
      </c>
      <c r="D240" s="8" t="s">
        <v>58</v>
      </c>
      <c r="E240" s="8"/>
      <c r="F240" s="8"/>
      <c r="G240" s="4">
        <f t="shared" ref="G240:I241" si="50">G241</f>
        <v>144.30000000000001</v>
      </c>
      <c r="H240" s="4">
        <f t="shared" si="50"/>
        <v>0</v>
      </c>
      <c r="I240" s="4">
        <f t="shared" si="50"/>
        <v>0</v>
      </c>
    </row>
    <row r="241" spans="1:22" s="21" customFormat="1" x14ac:dyDescent="0.2">
      <c r="A241" s="18" t="s">
        <v>199</v>
      </c>
      <c r="B241" s="22">
        <v>907</v>
      </c>
      <c r="C241" s="19" t="s">
        <v>10</v>
      </c>
      <c r="D241" s="19" t="s">
        <v>58</v>
      </c>
      <c r="E241" s="19" t="s">
        <v>198</v>
      </c>
      <c r="F241" s="19"/>
      <c r="G241" s="20">
        <f t="shared" si="50"/>
        <v>144.30000000000001</v>
      </c>
      <c r="H241" s="20">
        <f t="shared" si="50"/>
        <v>0</v>
      </c>
      <c r="I241" s="20">
        <f t="shared" si="50"/>
        <v>0</v>
      </c>
    </row>
    <row r="242" spans="1:22" s="26" customFormat="1" x14ac:dyDescent="0.2">
      <c r="A242" s="28" t="s">
        <v>66</v>
      </c>
      <c r="B242" s="31">
        <v>907</v>
      </c>
      <c r="C242" s="24" t="s">
        <v>10</v>
      </c>
      <c r="D242" s="24" t="s">
        <v>58</v>
      </c>
      <c r="E242" s="24" t="s">
        <v>198</v>
      </c>
      <c r="F242" s="24" t="s">
        <v>67</v>
      </c>
      <c r="G242" s="25">
        <v>144.30000000000001</v>
      </c>
      <c r="H242" s="25"/>
      <c r="I242" s="25"/>
    </row>
    <row r="243" spans="1:22" s="9" customFormat="1" ht="32.25" customHeight="1" x14ac:dyDescent="0.2">
      <c r="A243" s="39" t="s">
        <v>43</v>
      </c>
      <c r="B243" s="36">
        <v>911</v>
      </c>
      <c r="C243" s="40"/>
      <c r="D243" s="40"/>
      <c r="E243" s="40"/>
      <c r="F243" s="40"/>
      <c r="G243" s="38">
        <f>G244+G343+G377</f>
        <v>1359530.835</v>
      </c>
      <c r="H243" s="38">
        <f>H244+H343+H377</f>
        <v>1273454.0999999999</v>
      </c>
      <c r="I243" s="38">
        <f>I244+I343+I377</f>
        <v>1248213.5999999999</v>
      </c>
      <c r="S243" s="222"/>
      <c r="V243" s="222"/>
    </row>
    <row r="244" spans="1:22" s="89" customFormat="1" x14ac:dyDescent="0.2">
      <c r="A244" s="88" t="s">
        <v>34</v>
      </c>
      <c r="B244" s="57">
        <v>911</v>
      </c>
      <c r="C244" s="58" t="s">
        <v>17</v>
      </c>
      <c r="D244" s="58"/>
      <c r="E244" s="58"/>
      <c r="F244" s="58"/>
      <c r="G244" s="61">
        <f>G245+G258+G302+G315+G311</f>
        <v>1285051.335</v>
      </c>
      <c r="H244" s="61">
        <f>H245+H258+H302+H315+H311</f>
        <v>1200942.3999999999</v>
      </c>
      <c r="I244" s="61">
        <f>I245+I258+I302+I315+I311</f>
        <v>1175681.8999999999</v>
      </c>
    </row>
    <row r="245" spans="1:22" s="9" customFormat="1" x14ac:dyDescent="0.2">
      <c r="A245" s="11" t="s">
        <v>35</v>
      </c>
      <c r="B245" s="14">
        <v>911</v>
      </c>
      <c r="C245" s="8" t="s">
        <v>17</v>
      </c>
      <c r="D245" s="8" t="s">
        <v>10</v>
      </c>
      <c r="E245" s="8"/>
      <c r="F245" s="8"/>
      <c r="G245" s="4">
        <f>G249+G253+G246</f>
        <v>474101.79999999993</v>
      </c>
      <c r="H245" s="4">
        <f t="shared" ref="H245:I245" si="51">H249+H253+H246</f>
        <v>440739.5</v>
      </c>
      <c r="I245" s="4">
        <f t="shared" si="51"/>
        <v>431654</v>
      </c>
    </row>
    <row r="246" spans="1:22" ht="25.5" x14ac:dyDescent="0.2">
      <c r="A246" s="17" t="s">
        <v>137</v>
      </c>
      <c r="B246" s="17">
        <v>911</v>
      </c>
      <c r="C246" s="19" t="s">
        <v>17</v>
      </c>
      <c r="D246" s="19" t="s">
        <v>10</v>
      </c>
      <c r="E246" s="19" t="s">
        <v>136</v>
      </c>
      <c r="F246" s="5"/>
      <c r="G246" s="6">
        <f>G248+G247</f>
        <v>5264.8</v>
      </c>
      <c r="H246" s="6">
        <f t="shared" ref="H246:I246" si="52">H248+H247</f>
        <v>866</v>
      </c>
      <c r="I246" s="6">
        <f t="shared" si="52"/>
        <v>866</v>
      </c>
      <c r="J246" s="194"/>
      <c r="K246" s="194"/>
      <c r="L246" s="194"/>
      <c r="M246" s="194"/>
      <c r="N246" s="194"/>
      <c r="O246" s="194"/>
      <c r="P246" s="194"/>
      <c r="Q246" s="194"/>
    </row>
    <row r="247" spans="1:22" ht="25.5" x14ac:dyDescent="0.2">
      <c r="A247" s="28" t="s">
        <v>73</v>
      </c>
      <c r="B247" s="28">
        <v>911</v>
      </c>
      <c r="C247" s="24" t="s">
        <v>17</v>
      </c>
      <c r="D247" s="24" t="s">
        <v>10</v>
      </c>
      <c r="E247" s="24" t="s">
        <v>136</v>
      </c>
      <c r="F247" s="24" t="s">
        <v>65</v>
      </c>
      <c r="G247" s="25">
        <f>486.8+241</f>
        <v>727.8</v>
      </c>
      <c r="H247" s="25">
        <v>148.9</v>
      </c>
      <c r="I247" s="25">
        <v>148.9</v>
      </c>
      <c r="J247" s="101"/>
      <c r="K247" s="101"/>
      <c r="L247" s="101"/>
      <c r="M247" s="101"/>
      <c r="N247" s="101"/>
      <c r="O247" s="101"/>
      <c r="P247" s="101"/>
      <c r="Q247" s="101"/>
    </row>
    <row r="248" spans="1:22" ht="25.5" x14ac:dyDescent="0.2">
      <c r="A248" s="28" t="s">
        <v>119</v>
      </c>
      <c r="B248" s="28">
        <v>911</v>
      </c>
      <c r="C248" s="24" t="s">
        <v>17</v>
      </c>
      <c r="D248" s="24" t="s">
        <v>10</v>
      </c>
      <c r="E248" s="24" t="s">
        <v>136</v>
      </c>
      <c r="F248" s="24" t="s">
        <v>62</v>
      </c>
      <c r="G248" s="25">
        <v>4537</v>
      </c>
      <c r="H248" s="25">
        <v>717.1</v>
      </c>
      <c r="I248" s="25">
        <v>717.1</v>
      </c>
      <c r="J248" s="101"/>
      <c r="K248" s="101"/>
      <c r="L248" s="101"/>
      <c r="M248" s="101"/>
      <c r="N248" s="101"/>
      <c r="O248" s="101"/>
      <c r="P248" s="101"/>
      <c r="Q248" s="101"/>
    </row>
    <row r="249" spans="1:22" ht="51" x14ac:dyDescent="0.2">
      <c r="A249" s="53" t="s">
        <v>297</v>
      </c>
      <c r="B249" s="22">
        <v>911</v>
      </c>
      <c r="C249" s="19" t="s">
        <v>17</v>
      </c>
      <c r="D249" s="19" t="s">
        <v>10</v>
      </c>
      <c r="E249" s="19" t="s">
        <v>104</v>
      </c>
      <c r="F249" s="19"/>
      <c r="G249" s="20">
        <f>G252+G250+G251</f>
        <v>264133.59999999998</v>
      </c>
      <c r="H249" s="20">
        <f t="shared" ref="H249:I249" si="53">H252+H250+H251</f>
        <v>264200</v>
      </c>
      <c r="I249" s="20">
        <f t="shared" si="53"/>
        <v>264200</v>
      </c>
      <c r="J249" s="101"/>
      <c r="K249" s="101"/>
      <c r="L249" s="101"/>
      <c r="M249" s="101"/>
      <c r="N249" s="101"/>
      <c r="O249" s="101"/>
      <c r="P249" s="101"/>
      <c r="Q249" s="101"/>
    </row>
    <row r="250" spans="1:22" ht="49.5" customHeight="1" x14ac:dyDescent="0.2">
      <c r="A250" s="30" t="s">
        <v>63</v>
      </c>
      <c r="B250" s="23">
        <v>911</v>
      </c>
      <c r="C250" s="24" t="s">
        <v>17</v>
      </c>
      <c r="D250" s="24" t="s">
        <v>10</v>
      </c>
      <c r="E250" s="24" t="s">
        <v>104</v>
      </c>
      <c r="F250" s="27" t="s">
        <v>64</v>
      </c>
      <c r="G250" s="25">
        <f>47990+492</f>
        <v>48482</v>
      </c>
      <c r="H250" s="25">
        <v>47990</v>
      </c>
      <c r="I250" s="25">
        <v>47990</v>
      </c>
      <c r="J250" s="101"/>
      <c r="K250" s="101"/>
      <c r="L250" s="101"/>
      <c r="M250" s="101"/>
      <c r="N250" s="101"/>
      <c r="O250" s="101"/>
      <c r="P250" s="101"/>
      <c r="Q250" s="101"/>
    </row>
    <row r="251" spans="1:22" ht="25.5" x14ac:dyDescent="0.2">
      <c r="A251" s="28" t="s">
        <v>73</v>
      </c>
      <c r="B251" s="23">
        <v>911</v>
      </c>
      <c r="C251" s="24" t="s">
        <v>17</v>
      </c>
      <c r="D251" s="24" t="s">
        <v>10</v>
      </c>
      <c r="E251" s="24" t="s">
        <v>104</v>
      </c>
      <c r="F251" s="27" t="s">
        <v>65</v>
      </c>
      <c r="G251" s="25">
        <f>189.2-2.7</f>
        <v>186.5</v>
      </c>
      <c r="H251" s="25">
        <v>189.2</v>
      </c>
      <c r="I251" s="25">
        <v>189.2</v>
      </c>
      <c r="J251" s="101"/>
      <c r="K251" s="101"/>
      <c r="L251" s="101"/>
      <c r="M251" s="101"/>
      <c r="N251" s="101"/>
      <c r="O251" s="101"/>
      <c r="P251" s="101"/>
      <c r="Q251" s="101"/>
    </row>
    <row r="252" spans="1:22" s="26" customFormat="1" ht="25.5" x14ac:dyDescent="0.2">
      <c r="A252" s="28" t="s">
        <v>119</v>
      </c>
      <c r="B252" s="31">
        <v>911</v>
      </c>
      <c r="C252" s="24" t="s">
        <v>17</v>
      </c>
      <c r="D252" s="24" t="s">
        <v>10</v>
      </c>
      <c r="E252" s="24" t="s">
        <v>104</v>
      </c>
      <c r="F252" s="24" t="s">
        <v>62</v>
      </c>
      <c r="G252" s="25">
        <f>216020.8-63.7-492</f>
        <v>215465.09999999998</v>
      </c>
      <c r="H252" s="25">
        <v>216020.8</v>
      </c>
      <c r="I252" s="25">
        <v>216020.8</v>
      </c>
      <c r="J252" s="102"/>
      <c r="K252" s="102"/>
      <c r="L252" s="102"/>
      <c r="M252" s="102"/>
      <c r="N252" s="102"/>
      <c r="O252" s="102"/>
      <c r="P252" s="102"/>
      <c r="Q252" s="102"/>
    </row>
    <row r="253" spans="1:22" ht="63.75" x14ac:dyDescent="0.2">
      <c r="A253" s="18" t="s">
        <v>283</v>
      </c>
      <c r="B253" s="22">
        <v>911</v>
      </c>
      <c r="C253" s="19" t="s">
        <v>17</v>
      </c>
      <c r="D253" s="19" t="s">
        <v>10</v>
      </c>
      <c r="E253" s="19" t="s">
        <v>208</v>
      </c>
      <c r="F253" s="19"/>
      <c r="G253" s="20">
        <f>G256+G255+G254+G257</f>
        <v>204703.39999999997</v>
      </c>
      <c r="H253" s="20">
        <f>H256+H255+H254+H257</f>
        <v>175673.49999999997</v>
      </c>
      <c r="I253" s="20">
        <f>I256+I255+I254+I257</f>
        <v>166587.99999999997</v>
      </c>
      <c r="J253" s="194"/>
      <c r="K253" s="194"/>
      <c r="L253" s="194"/>
      <c r="M253" s="194"/>
      <c r="N253" s="194"/>
      <c r="O253" s="194"/>
      <c r="P253" s="194"/>
      <c r="Q253" s="194"/>
    </row>
    <row r="254" spans="1:22" s="101" customFormat="1" ht="53.25" customHeight="1" x14ac:dyDescent="0.2">
      <c r="A254" s="248" t="s">
        <v>63</v>
      </c>
      <c r="B254" s="225">
        <v>911</v>
      </c>
      <c r="C254" s="226" t="s">
        <v>17</v>
      </c>
      <c r="D254" s="226" t="s">
        <v>10</v>
      </c>
      <c r="E254" s="226" t="s">
        <v>208</v>
      </c>
      <c r="F254" s="226" t="s">
        <v>64</v>
      </c>
      <c r="G254" s="190">
        <f>29924.9+1+2.5</f>
        <v>29928.400000000001</v>
      </c>
      <c r="H254" s="190">
        <v>29923.3</v>
      </c>
      <c r="I254" s="190">
        <v>29923.3</v>
      </c>
    </row>
    <row r="255" spans="1:22" s="101" customFormat="1" ht="25.5" x14ac:dyDescent="0.2">
      <c r="A255" s="230" t="s">
        <v>73</v>
      </c>
      <c r="B255" s="247">
        <v>911</v>
      </c>
      <c r="C255" s="228" t="s">
        <v>17</v>
      </c>
      <c r="D255" s="228" t="s">
        <v>10</v>
      </c>
      <c r="E255" s="228" t="s">
        <v>208</v>
      </c>
      <c r="F255" s="231" t="s">
        <v>65</v>
      </c>
      <c r="G255" s="189">
        <f>7266.2+6541.8-1+412.9-2.5</f>
        <v>14217.4</v>
      </c>
      <c r="H255" s="189">
        <f>7266.2+3104.1</f>
        <v>10370.299999999999</v>
      </c>
      <c r="I255" s="189">
        <f>7266.2+1883.8</f>
        <v>9150</v>
      </c>
    </row>
    <row r="256" spans="1:22" s="102" customFormat="1" ht="25.5" x14ac:dyDescent="0.2">
      <c r="A256" s="230" t="s">
        <v>119</v>
      </c>
      <c r="B256" s="227">
        <v>911</v>
      </c>
      <c r="C256" s="228" t="s">
        <v>17</v>
      </c>
      <c r="D256" s="228" t="s">
        <v>10</v>
      </c>
      <c r="E256" s="228" t="s">
        <v>208</v>
      </c>
      <c r="F256" s="228" t="s">
        <v>62</v>
      </c>
      <c r="G256" s="189">
        <f>159006.7-141.2-950+2432.8</f>
        <v>160348.29999999999</v>
      </c>
      <c r="H256" s="189">
        <v>135290.6</v>
      </c>
      <c r="I256" s="189">
        <v>127425.4</v>
      </c>
    </row>
    <row r="257" spans="1:17" s="26" customFormat="1" x14ac:dyDescent="0.2">
      <c r="A257" s="28" t="s">
        <v>69</v>
      </c>
      <c r="B257" s="31">
        <v>911</v>
      </c>
      <c r="C257" s="24" t="s">
        <v>17</v>
      </c>
      <c r="D257" s="24" t="s">
        <v>10</v>
      </c>
      <c r="E257" s="24" t="s">
        <v>208</v>
      </c>
      <c r="F257" s="24" t="s">
        <v>70</v>
      </c>
      <c r="G257" s="25">
        <f>1+133.3+75</f>
        <v>209.3</v>
      </c>
      <c r="H257" s="25">
        <f>1+88.3</f>
        <v>89.3</v>
      </c>
      <c r="I257" s="25">
        <f>1+88.3</f>
        <v>89.3</v>
      </c>
      <c r="J257" s="102"/>
      <c r="K257" s="102"/>
      <c r="L257" s="102"/>
      <c r="M257" s="102"/>
      <c r="N257" s="102"/>
      <c r="O257" s="102"/>
      <c r="P257" s="102"/>
      <c r="Q257" s="102"/>
    </row>
    <row r="258" spans="1:17" s="9" customFormat="1" x14ac:dyDescent="0.2">
      <c r="A258" s="11" t="s">
        <v>36</v>
      </c>
      <c r="B258" s="14">
        <v>911</v>
      </c>
      <c r="C258" s="8" t="s">
        <v>17</v>
      </c>
      <c r="D258" s="8" t="s">
        <v>12</v>
      </c>
      <c r="E258" s="8"/>
      <c r="F258" s="8"/>
      <c r="G258" s="4">
        <f>G269+G273+G277+G282+G284+G288+G299+G296+G293+G263+G266+G261+G280+G291+G259</f>
        <v>602119.33499999985</v>
      </c>
      <c r="H258" s="4">
        <f t="shared" ref="H258:I258" si="54">H269+H273+H277+H282+H284+H288+H299+H296+H293+H263+H266+H261+H280+H291+H259</f>
        <v>574137.59999999986</v>
      </c>
      <c r="I258" s="4">
        <f t="shared" si="54"/>
        <v>561881.59999999998</v>
      </c>
      <c r="J258" s="106"/>
      <c r="K258" s="106"/>
      <c r="L258" s="106"/>
      <c r="M258" s="106"/>
      <c r="N258" s="106"/>
      <c r="O258" s="106"/>
      <c r="P258" s="106"/>
      <c r="Q258" s="106"/>
    </row>
    <row r="259" spans="1:17" x14ac:dyDescent="0.2">
      <c r="A259" s="18" t="s">
        <v>147</v>
      </c>
      <c r="B259" s="22">
        <v>911</v>
      </c>
      <c r="C259" s="19" t="s">
        <v>17</v>
      </c>
      <c r="D259" s="19" t="s">
        <v>12</v>
      </c>
      <c r="E259" s="24" t="s">
        <v>146</v>
      </c>
      <c r="F259" s="19"/>
      <c r="G259" s="20">
        <f>G260</f>
        <v>2000</v>
      </c>
      <c r="H259" s="20">
        <f>H260</f>
        <v>0</v>
      </c>
      <c r="I259" s="20">
        <f>I260</f>
        <v>0</v>
      </c>
      <c r="J259" s="101"/>
      <c r="K259" s="101"/>
      <c r="L259" s="101"/>
      <c r="M259" s="101"/>
      <c r="N259" s="101"/>
      <c r="O259" s="101"/>
      <c r="P259" s="101"/>
      <c r="Q259" s="101"/>
    </row>
    <row r="260" spans="1:17" s="26" customFormat="1" ht="25.5" x14ac:dyDescent="0.2">
      <c r="A260" s="28" t="s">
        <v>119</v>
      </c>
      <c r="B260" s="22">
        <v>911</v>
      </c>
      <c r="C260" s="19" t="s">
        <v>17</v>
      </c>
      <c r="D260" s="19" t="s">
        <v>12</v>
      </c>
      <c r="E260" s="24" t="s">
        <v>146</v>
      </c>
      <c r="F260" s="24" t="s">
        <v>62</v>
      </c>
      <c r="G260" s="25">
        <v>2000</v>
      </c>
      <c r="H260" s="25">
        <v>0</v>
      </c>
      <c r="I260" s="25">
        <v>0</v>
      </c>
      <c r="J260" s="102"/>
      <c r="K260" s="102"/>
      <c r="L260" s="102"/>
      <c r="M260" s="102"/>
      <c r="N260" s="102"/>
      <c r="O260" s="102"/>
      <c r="P260" s="102"/>
      <c r="Q260" s="102"/>
    </row>
    <row r="261" spans="1:17" s="106" customFormat="1" ht="25.5" x14ac:dyDescent="0.2">
      <c r="A261" s="224" t="s">
        <v>339</v>
      </c>
      <c r="B261" s="224">
        <v>911</v>
      </c>
      <c r="C261" s="226" t="s">
        <v>17</v>
      </c>
      <c r="D261" s="226" t="s">
        <v>12</v>
      </c>
      <c r="E261" s="226" t="s">
        <v>542</v>
      </c>
      <c r="F261" s="226"/>
      <c r="G261" s="190">
        <f>G262</f>
        <v>2518.13</v>
      </c>
      <c r="H261" s="190">
        <f t="shared" ref="H261:I261" si="55">H262</f>
        <v>0</v>
      </c>
      <c r="I261" s="190">
        <f t="shared" si="55"/>
        <v>0</v>
      </c>
    </row>
    <row r="262" spans="1:17" s="106" customFormat="1" ht="25.5" x14ac:dyDescent="0.2">
      <c r="A262" s="230" t="s">
        <v>119</v>
      </c>
      <c r="B262" s="230">
        <v>911</v>
      </c>
      <c r="C262" s="228" t="s">
        <v>17</v>
      </c>
      <c r="D262" s="228" t="s">
        <v>12</v>
      </c>
      <c r="E262" s="228" t="s">
        <v>542</v>
      </c>
      <c r="F262" s="228" t="s">
        <v>62</v>
      </c>
      <c r="G262" s="189">
        <f>950-825+1143.13+1250</f>
        <v>2518.13</v>
      </c>
      <c r="H262" s="189"/>
      <c r="I262" s="189"/>
    </row>
    <row r="263" spans="1:17" ht="25.5" x14ac:dyDescent="0.2">
      <c r="A263" s="17" t="s">
        <v>137</v>
      </c>
      <c r="B263" s="17">
        <v>911</v>
      </c>
      <c r="C263" s="19" t="s">
        <v>17</v>
      </c>
      <c r="D263" s="19" t="s">
        <v>12</v>
      </c>
      <c r="E263" s="19" t="s">
        <v>136</v>
      </c>
      <c r="F263" s="5"/>
      <c r="G263" s="6">
        <f>G265+G264</f>
        <v>8633.6</v>
      </c>
      <c r="H263" s="6">
        <f t="shared" ref="H263:I263" si="56">H265+H264</f>
        <v>1419.7</v>
      </c>
      <c r="I263" s="6">
        <f t="shared" si="56"/>
        <v>1419.7</v>
      </c>
      <c r="J263" s="101"/>
      <c r="K263" s="101"/>
      <c r="L263" s="101"/>
      <c r="M263" s="101"/>
      <c r="N263" s="101"/>
      <c r="O263" s="101"/>
      <c r="P263" s="101"/>
      <c r="Q263" s="101"/>
    </row>
    <row r="264" spans="1:17" ht="25.5" x14ac:dyDescent="0.2">
      <c r="A264" s="28" t="s">
        <v>73</v>
      </c>
      <c r="B264" s="28">
        <v>911</v>
      </c>
      <c r="C264" s="24" t="s">
        <v>17</v>
      </c>
      <c r="D264" s="24" t="s">
        <v>12</v>
      </c>
      <c r="E264" s="24" t="s">
        <v>136</v>
      </c>
      <c r="F264" s="24" t="s">
        <v>65</v>
      </c>
      <c r="G264" s="25">
        <f>1162.1+400</f>
        <v>1562.1</v>
      </c>
      <c r="H264" s="25">
        <v>316.8</v>
      </c>
      <c r="I264" s="25">
        <v>316.8</v>
      </c>
      <c r="J264" s="101"/>
      <c r="K264" s="101"/>
      <c r="L264" s="101"/>
      <c r="M264" s="101"/>
      <c r="N264" s="101"/>
      <c r="O264" s="101"/>
      <c r="P264" s="101"/>
      <c r="Q264" s="101"/>
    </row>
    <row r="265" spans="1:17" s="101" customFormat="1" ht="25.5" x14ac:dyDescent="0.2">
      <c r="A265" s="230" t="s">
        <v>119</v>
      </c>
      <c r="B265" s="230">
        <v>911</v>
      </c>
      <c r="C265" s="228" t="s">
        <v>17</v>
      </c>
      <c r="D265" s="228" t="s">
        <v>12</v>
      </c>
      <c r="E265" s="228" t="s">
        <v>136</v>
      </c>
      <c r="F265" s="228" t="s">
        <v>62</v>
      </c>
      <c r="G265" s="189">
        <f>6251.5+825-400+395</f>
        <v>7071.5</v>
      </c>
      <c r="H265" s="189">
        <v>1102.9000000000001</v>
      </c>
      <c r="I265" s="189">
        <v>1102.9000000000001</v>
      </c>
    </row>
    <row r="266" spans="1:17" ht="51" x14ac:dyDescent="0.2">
      <c r="A266" s="18" t="s">
        <v>680</v>
      </c>
      <c r="B266" s="18">
        <v>911</v>
      </c>
      <c r="C266" s="19" t="s">
        <v>17</v>
      </c>
      <c r="D266" s="19" t="s">
        <v>12</v>
      </c>
      <c r="E266" s="19" t="s">
        <v>681</v>
      </c>
      <c r="F266" s="19"/>
      <c r="G266" s="20">
        <f>G268+G267</f>
        <v>14556.4</v>
      </c>
      <c r="H266" s="20">
        <f t="shared" ref="H266:I266" si="57">H268+H267</f>
        <v>43669.1</v>
      </c>
      <c r="I266" s="20">
        <f t="shared" si="57"/>
        <v>43669.1</v>
      </c>
      <c r="J266" s="101"/>
      <c r="K266" s="101"/>
      <c r="L266" s="101"/>
      <c r="M266" s="101"/>
      <c r="N266" s="101"/>
      <c r="O266" s="101"/>
      <c r="P266" s="101"/>
      <c r="Q266" s="101"/>
    </row>
    <row r="267" spans="1:17" s="26" customFormat="1" ht="63.75" x14ac:dyDescent="0.2">
      <c r="A267" s="23" t="s">
        <v>63</v>
      </c>
      <c r="B267" s="28">
        <v>911</v>
      </c>
      <c r="C267" s="24" t="s">
        <v>17</v>
      </c>
      <c r="D267" s="24" t="s">
        <v>12</v>
      </c>
      <c r="E267" s="24" t="s">
        <v>681</v>
      </c>
      <c r="F267" s="24" t="s">
        <v>64</v>
      </c>
      <c r="G267" s="25">
        <v>1562.4</v>
      </c>
      <c r="H267" s="25">
        <v>4687.2</v>
      </c>
      <c r="I267" s="25">
        <v>4687.2</v>
      </c>
      <c r="J267" s="102"/>
      <c r="K267" s="102"/>
      <c r="L267" s="102"/>
      <c r="M267" s="102"/>
      <c r="N267" s="102"/>
      <c r="O267" s="102"/>
      <c r="P267" s="102"/>
      <c r="Q267" s="102"/>
    </row>
    <row r="268" spans="1:17" s="26" customFormat="1" ht="25.5" x14ac:dyDescent="0.2">
      <c r="A268" s="28" t="s">
        <v>119</v>
      </c>
      <c r="B268" s="28">
        <v>911</v>
      </c>
      <c r="C268" s="24" t="s">
        <v>17</v>
      </c>
      <c r="D268" s="24" t="s">
        <v>12</v>
      </c>
      <c r="E268" s="24" t="s">
        <v>681</v>
      </c>
      <c r="F268" s="24" t="s">
        <v>62</v>
      </c>
      <c r="G268" s="25">
        <v>12994</v>
      </c>
      <c r="H268" s="25">
        <v>38981.9</v>
      </c>
      <c r="I268" s="25">
        <v>38981.9</v>
      </c>
      <c r="J268" s="102"/>
      <c r="K268" s="102"/>
      <c r="L268" s="102"/>
      <c r="M268" s="102"/>
      <c r="N268" s="102"/>
      <c r="O268" s="102"/>
      <c r="P268" s="102"/>
      <c r="Q268" s="102"/>
    </row>
    <row r="269" spans="1:17" ht="24.75" customHeight="1" x14ac:dyDescent="0.2">
      <c r="A269" s="18" t="s">
        <v>200</v>
      </c>
      <c r="B269" s="22">
        <v>911</v>
      </c>
      <c r="C269" s="19" t="s">
        <v>17</v>
      </c>
      <c r="D269" s="19" t="s">
        <v>12</v>
      </c>
      <c r="E269" s="19" t="s">
        <v>102</v>
      </c>
      <c r="F269" s="19"/>
      <c r="G269" s="20">
        <f>G270+G271+G272</f>
        <v>50552</v>
      </c>
      <c r="H269" s="20">
        <f>H270+H271+H272</f>
        <v>50552</v>
      </c>
      <c r="I269" s="20">
        <f>I270+I271+I272</f>
        <v>50552</v>
      </c>
      <c r="J269" s="194"/>
      <c r="K269" s="194"/>
      <c r="L269" s="194"/>
      <c r="M269" s="194"/>
      <c r="N269" s="194"/>
      <c r="O269" s="194"/>
      <c r="P269" s="194"/>
      <c r="Q269" s="194"/>
    </row>
    <row r="270" spans="1:17" s="26" customFormat="1" ht="50.25" customHeight="1" x14ac:dyDescent="0.2">
      <c r="A270" s="23" t="s">
        <v>63</v>
      </c>
      <c r="B270" s="31">
        <v>911</v>
      </c>
      <c r="C270" s="24" t="s">
        <v>17</v>
      </c>
      <c r="D270" s="24" t="s">
        <v>12</v>
      </c>
      <c r="E270" s="24" t="s">
        <v>102</v>
      </c>
      <c r="F270" s="27" t="s">
        <v>64</v>
      </c>
      <c r="G270" s="25">
        <f>35733.6+173</f>
        <v>35906.6</v>
      </c>
      <c r="H270" s="25">
        <f>35733.6+173</f>
        <v>35906.6</v>
      </c>
      <c r="I270" s="25">
        <f>35733.6+173</f>
        <v>35906.6</v>
      </c>
      <c r="J270" s="102"/>
      <c r="K270" s="102"/>
      <c r="L270" s="102"/>
      <c r="M270" s="102"/>
      <c r="N270" s="102"/>
      <c r="O270" s="102"/>
      <c r="P270" s="102"/>
      <c r="Q270" s="102"/>
    </row>
    <row r="271" spans="1:17" s="26" customFormat="1" ht="24.75" customHeight="1" x14ac:dyDescent="0.2">
      <c r="A271" s="28" t="s">
        <v>73</v>
      </c>
      <c r="B271" s="31">
        <v>911</v>
      </c>
      <c r="C271" s="24" t="s">
        <v>17</v>
      </c>
      <c r="D271" s="24" t="s">
        <v>12</v>
      </c>
      <c r="E271" s="24" t="s">
        <v>102</v>
      </c>
      <c r="F271" s="27" t="s">
        <v>65</v>
      </c>
      <c r="G271" s="25">
        <v>14203.5</v>
      </c>
      <c r="H271" s="25">
        <v>14203.5</v>
      </c>
      <c r="I271" s="25">
        <v>14203.5</v>
      </c>
      <c r="J271" s="102"/>
      <c r="K271" s="102"/>
      <c r="L271" s="102"/>
      <c r="M271" s="102"/>
      <c r="N271" s="102"/>
      <c r="O271" s="102"/>
      <c r="P271" s="102"/>
      <c r="Q271" s="102"/>
    </row>
    <row r="272" spans="1:17" s="26" customFormat="1" x14ac:dyDescent="0.2">
      <c r="A272" s="28" t="s">
        <v>69</v>
      </c>
      <c r="B272" s="31">
        <v>911</v>
      </c>
      <c r="C272" s="24" t="s">
        <v>17</v>
      </c>
      <c r="D272" s="24" t="s">
        <v>12</v>
      </c>
      <c r="E272" s="24" t="s">
        <v>102</v>
      </c>
      <c r="F272" s="24" t="s">
        <v>70</v>
      </c>
      <c r="G272" s="25">
        <v>441.9</v>
      </c>
      <c r="H272" s="25">
        <v>441.9</v>
      </c>
      <c r="I272" s="25">
        <v>441.9</v>
      </c>
      <c r="J272" s="102"/>
      <c r="K272" s="102"/>
      <c r="L272" s="102"/>
      <c r="M272" s="102"/>
      <c r="N272" s="102"/>
      <c r="O272" s="102"/>
      <c r="P272" s="102"/>
      <c r="Q272" s="102"/>
    </row>
    <row r="273" spans="1:17" ht="76.5" x14ac:dyDescent="0.2">
      <c r="A273" s="18" t="s">
        <v>454</v>
      </c>
      <c r="B273" s="22">
        <v>911</v>
      </c>
      <c r="C273" s="19" t="s">
        <v>17</v>
      </c>
      <c r="D273" s="19" t="s">
        <v>12</v>
      </c>
      <c r="E273" s="19" t="s">
        <v>100</v>
      </c>
      <c r="F273" s="19"/>
      <c r="G273" s="20">
        <f>G276+G274+G275</f>
        <v>425356</v>
      </c>
      <c r="H273" s="20">
        <f>H276+H274+H275</f>
        <v>425320</v>
      </c>
      <c r="I273" s="20">
        <f>I276+I274+I275</f>
        <v>425320</v>
      </c>
      <c r="J273" s="101"/>
      <c r="K273" s="101"/>
      <c r="L273" s="101"/>
      <c r="M273" s="101"/>
      <c r="N273" s="101"/>
      <c r="O273" s="101"/>
      <c r="P273" s="101"/>
      <c r="Q273" s="101"/>
    </row>
    <row r="274" spans="1:17" s="26" customFormat="1" ht="51" customHeight="1" x14ac:dyDescent="0.2">
      <c r="A274" s="23" t="s">
        <v>63</v>
      </c>
      <c r="B274" s="31">
        <v>911</v>
      </c>
      <c r="C274" s="24" t="s">
        <v>17</v>
      </c>
      <c r="D274" s="24" t="s">
        <v>12</v>
      </c>
      <c r="E274" s="24" t="s">
        <v>100</v>
      </c>
      <c r="F274" s="27" t="s">
        <v>64</v>
      </c>
      <c r="G274" s="25">
        <f>68740+46.8+14.1</f>
        <v>68800.900000000009</v>
      </c>
      <c r="H274" s="25">
        <f>68740+46.8+14.1</f>
        <v>68800.900000000009</v>
      </c>
      <c r="I274" s="25">
        <f>68740+46.8+14.1</f>
        <v>68800.900000000009</v>
      </c>
      <c r="J274" s="102"/>
      <c r="K274" s="102"/>
      <c r="L274" s="102"/>
      <c r="M274" s="102"/>
      <c r="N274" s="102"/>
      <c r="O274" s="102"/>
      <c r="P274" s="102"/>
      <c r="Q274" s="102"/>
    </row>
    <row r="275" spans="1:17" s="26" customFormat="1" ht="25.5" x14ac:dyDescent="0.2">
      <c r="A275" s="28" t="s">
        <v>73</v>
      </c>
      <c r="B275" s="31">
        <v>911</v>
      </c>
      <c r="C275" s="24" t="s">
        <v>17</v>
      </c>
      <c r="D275" s="24" t="s">
        <v>12</v>
      </c>
      <c r="E275" s="24" t="s">
        <v>100</v>
      </c>
      <c r="F275" s="27" t="s">
        <v>65</v>
      </c>
      <c r="G275" s="25">
        <v>2061.1</v>
      </c>
      <c r="H275" s="25">
        <v>2061.1</v>
      </c>
      <c r="I275" s="25">
        <v>2061.1</v>
      </c>
      <c r="J275" s="102"/>
      <c r="K275" s="102"/>
      <c r="L275" s="102"/>
      <c r="M275" s="102"/>
      <c r="N275" s="102"/>
      <c r="O275" s="102"/>
      <c r="P275" s="102"/>
      <c r="Q275" s="102"/>
    </row>
    <row r="276" spans="1:17" s="26" customFormat="1" ht="25.5" x14ac:dyDescent="0.2">
      <c r="A276" s="28" t="s">
        <v>119</v>
      </c>
      <c r="B276" s="31">
        <v>911</v>
      </c>
      <c r="C276" s="24" t="s">
        <v>17</v>
      </c>
      <c r="D276" s="24" t="s">
        <v>12</v>
      </c>
      <c r="E276" s="24" t="s">
        <v>100</v>
      </c>
      <c r="F276" s="24" t="s">
        <v>62</v>
      </c>
      <c r="G276" s="25">
        <f>354038.9+211+63.8+120+18.7+5.6+36</f>
        <v>354494</v>
      </c>
      <c r="H276" s="25">
        <f>354038.9+211+63.8+120+18.7+5.6</f>
        <v>354458</v>
      </c>
      <c r="I276" s="25">
        <f>354038.9+211+63.8+120+18.7+5.6</f>
        <v>354458</v>
      </c>
      <c r="J276" s="102"/>
      <c r="K276" s="102"/>
      <c r="L276" s="102"/>
      <c r="M276" s="102"/>
      <c r="N276" s="102"/>
      <c r="O276" s="102"/>
      <c r="P276" s="102"/>
      <c r="Q276" s="102"/>
    </row>
    <row r="277" spans="1:17" ht="38.25" x14ac:dyDescent="0.2">
      <c r="A277" s="18" t="s">
        <v>201</v>
      </c>
      <c r="B277" s="22">
        <v>911</v>
      </c>
      <c r="C277" s="19" t="s">
        <v>17</v>
      </c>
      <c r="D277" s="19" t="s">
        <v>12</v>
      </c>
      <c r="E277" s="19" t="s">
        <v>101</v>
      </c>
      <c r="F277" s="19"/>
      <c r="G277" s="20">
        <f>G279+G278</f>
        <v>4380.1000000000004</v>
      </c>
      <c r="H277" s="20">
        <f t="shared" ref="H277:I277" si="58">H279+H278</f>
        <v>3880.1</v>
      </c>
      <c r="I277" s="20">
        <f t="shared" si="58"/>
        <v>3880.1</v>
      </c>
      <c r="J277" s="101"/>
      <c r="K277" s="101"/>
      <c r="L277" s="101"/>
      <c r="M277" s="101"/>
      <c r="N277" s="101"/>
      <c r="O277" s="101"/>
      <c r="P277" s="101"/>
      <c r="Q277" s="101"/>
    </row>
    <row r="278" spans="1:17" s="26" customFormat="1" ht="25.5" x14ac:dyDescent="0.2">
      <c r="A278" s="28" t="s">
        <v>73</v>
      </c>
      <c r="B278" s="31">
        <v>911</v>
      </c>
      <c r="C278" s="24" t="s">
        <v>17</v>
      </c>
      <c r="D278" s="24" t="s">
        <v>12</v>
      </c>
      <c r="E278" s="24" t="s">
        <v>101</v>
      </c>
      <c r="F278" s="27" t="s">
        <v>65</v>
      </c>
      <c r="G278" s="25">
        <f>3880.1+500-906.8</f>
        <v>3473.3</v>
      </c>
      <c r="H278" s="25">
        <v>3880.1</v>
      </c>
      <c r="I278" s="25">
        <v>3880.1</v>
      </c>
      <c r="J278" s="102"/>
      <c r="K278" s="102"/>
      <c r="L278" s="102"/>
      <c r="M278" s="102"/>
      <c r="N278" s="102"/>
      <c r="O278" s="102"/>
      <c r="P278" s="102"/>
      <c r="Q278" s="102"/>
    </row>
    <row r="279" spans="1:17" s="26" customFormat="1" x14ac:dyDescent="0.2">
      <c r="A279" s="28" t="s">
        <v>66</v>
      </c>
      <c r="B279" s="31">
        <v>911</v>
      </c>
      <c r="C279" s="24" t="s">
        <v>17</v>
      </c>
      <c r="D279" s="24" t="s">
        <v>12</v>
      </c>
      <c r="E279" s="24" t="s">
        <v>101</v>
      </c>
      <c r="F279" s="27" t="s">
        <v>67</v>
      </c>
      <c r="G279" s="25">
        <v>906.8</v>
      </c>
      <c r="H279" s="25">
        <v>0</v>
      </c>
      <c r="I279" s="25">
        <v>0</v>
      </c>
      <c r="J279" s="102"/>
      <c r="K279" s="102"/>
      <c r="L279" s="102"/>
      <c r="M279" s="102"/>
      <c r="N279" s="102"/>
      <c r="O279" s="102"/>
      <c r="P279" s="102"/>
      <c r="Q279" s="102"/>
    </row>
    <row r="280" spans="1:17" ht="51" x14ac:dyDescent="0.2">
      <c r="A280" s="18" t="s">
        <v>675</v>
      </c>
      <c r="B280" s="22">
        <v>911</v>
      </c>
      <c r="C280" s="19" t="s">
        <v>17</v>
      </c>
      <c r="D280" s="19" t="s">
        <v>12</v>
      </c>
      <c r="E280" s="19" t="s">
        <v>676</v>
      </c>
      <c r="F280" s="196"/>
      <c r="G280" s="20">
        <f>G281</f>
        <v>7815.1049999999996</v>
      </c>
      <c r="H280" s="20">
        <f t="shared" ref="H280:I280" si="59">H281</f>
        <v>0</v>
      </c>
      <c r="I280" s="20">
        <f t="shared" si="59"/>
        <v>0</v>
      </c>
      <c r="J280" s="234"/>
      <c r="K280" s="234"/>
      <c r="L280" s="234"/>
      <c r="M280" s="234"/>
      <c r="N280" s="234"/>
      <c r="O280" s="234"/>
      <c r="P280" s="234"/>
      <c r="Q280" s="234"/>
    </row>
    <row r="281" spans="1:17" s="26" customFormat="1" ht="25.5" x14ac:dyDescent="0.2">
      <c r="A281" s="28" t="s">
        <v>73</v>
      </c>
      <c r="B281" s="31">
        <v>911</v>
      </c>
      <c r="C281" s="24" t="s">
        <v>17</v>
      </c>
      <c r="D281" s="24" t="s">
        <v>12</v>
      </c>
      <c r="E281" s="24" t="s">
        <v>676</v>
      </c>
      <c r="F281" s="27" t="s">
        <v>65</v>
      </c>
      <c r="G281" s="25">
        <v>7815.1049999999996</v>
      </c>
      <c r="H281" s="25">
        <v>0</v>
      </c>
      <c r="I281" s="25">
        <v>0</v>
      </c>
      <c r="J281" s="235"/>
      <c r="K281" s="235"/>
      <c r="L281" s="235"/>
      <c r="M281" s="235"/>
      <c r="N281" s="235"/>
      <c r="O281" s="235"/>
      <c r="P281" s="235"/>
      <c r="Q281" s="235"/>
    </row>
    <row r="282" spans="1:17" s="101" customFormat="1" ht="63.75" x14ac:dyDescent="0.2">
      <c r="A282" s="224" t="s">
        <v>283</v>
      </c>
      <c r="B282" s="225">
        <v>911</v>
      </c>
      <c r="C282" s="226" t="s">
        <v>17</v>
      </c>
      <c r="D282" s="226" t="s">
        <v>12</v>
      </c>
      <c r="E282" s="226" t="s">
        <v>203</v>
      </c>
      <c r="F282" s="226"/>
      <c r="G282" s="190">
        <f>G283</f>
        <v>73195.299999999988</v>
      </c>
      <c r="H282" s="190">
        <f>H283</f>
        <v>39999.5</v>
      </c>
      <c r="I282" s="190">
        <f>I283</f>
        <v>28557.599999999999</v>
      </c>
    </row>
    <row r="283" spans="1:17" s="102" customFormat="1" ht="25.5" x14ac:dyDescent="0.2">
      <c r="A283" s="230" t="s">
        <v>119</v>
      </c>
      <c r="B283" s="227">
        <v>911</v>
      </c>
      <c r="C283" s="228" t="s">
        <v>17</v>
      </c>
      <c r="D283" s="228" t="s">
        <v>12</v>
      </c>
      <c r="E283" s="228" t="s">
        <v>203</v>
      </c>
      <c r="F283" s="228" t="s">
        <v>62</v>
      </c>
      <c r="G283" s="189">
        <f>74254.9-599.1-1100+100+934.5-395</f>
        <v>73195.299999999988</v>
      </c>
      <c r="H283" s="189">
        <v>39999.5</v>
      </c>
      <c r="I283" s="189">
        <v>28557.599999999999</v>
      </c>
    </row>
    <row r="284" spans="1:17" ht="63.75" x14ac:dyDescent="0.2">
      <c r="A284" s="18" t="s">
        <v>206</v>
      </c>
      <c r="B284" s="22">
        <v>911</v>
      </c>
      <c r="C284" s="19" t="s">
        <v>17</v>
      </c>
      <c r="D284" s="19" t="s">
        <v>12</v>
      </c>
      <c r="E284" s="19" t="s">
        <v>205</v>
      </c>
      <c r="F284" s="19"/>
      <c r="G284" s="20">
        <f>G285+G286+G287</f>
        <v>7165.5000000000009</v>
      </c>
      <c r="H284" s="20">
        <f>H285+H286+H287</f>
        <v>3720.1</v>
      </c>
      <c r="I284" s="20">
        <f>I285+I286+I287</f>
        <v>2905.9999999999995</v>
      </c>
      <c r="J284" s="194"/>
      <c r="K284" s="194"/>
      <c r="L284" s="194"/>
      <c r="M284" s="194"/>
      <c r="N284" s="194"/>
      <c r="O284" s="194"/>
      <c r="P284" s="194"/>
      <c r="Q284" s="194"/>
    </row>
    <row r="285" spans="1:17" s="26" customFormat="1" ht="54.75" customHeight="1" x14ac:dyDescent="0.2">
      <c r="A285" s="30" t="s">
        <v>63</v>
      </c>
      <c r="B285" s="32">
        <v>911</v>
      </c>
      <c r="C285" s="24" t="s">
        <v>17</v>
      </c>
      <c r="D285" s="24" t="s">
        <v>12</v>
      </c>
      <c r="E285" s="24" t="s">
        <v>205</v>
      </c>
      <c r="F285" s="27" t="s">
        <v>64</v>
      </c>
      <c r="G285" s="25">
        <v>3.3</v>
      </c>
      <c r="H285" s="25"/>
      <c r="I285" s="25"/>
    </row>
    <row r="286" spans="1:17" s="102" customFormat="1" ht="25.5" x14ac:dyDescent="0.2">
      <c r="A286" s="230" t="s">
        <v>73</v>
      </c>
      <c r="B286" s="236">
        <v>911</v>
      </c>
      <c r="C286" s="228" t="s">
        <v>17</v>
      </c>
      <c r="D286" s="228" t="s">
        <v>12</v>
      </c>
      <c r="E286" s="228" t="s">
        <v>205</v>
      </c>
      <c r="F286" s="231" t="s">
        <v>65</v>
      </c>
      <c r="G286" s="189">
        <f>540.8+6689.6-130-539+106</f>
        <v>6667.4000000000005</v>
      </c>
      <c r="H286" s="189">
        <f>540.8+3467-540.8</f>
        <v>3467</v>
      </c>
      <c r="I286" s="189">
        <f>540.8+2652.9-540.8</f>
        <v>2652.8999999999996</v>
      </c>
    </row>
    <row r="287" spans="1:17" s="26" customFormat="1" x14ac:dyDescent="0.2">
      <c r="A287" s="28" t="s">
        <v>69</v>
      </c>
      <c r="B287" s="31">
        <v>911</v>
      </c>
      <c r="C287" s="24" t="s">
        <v>17</v>
      </c>
      <c r="D287" s="24" t="s">
        <v>12</v>
      </c>
      <c r="E287" s="24" t="s">
        <v>205</v>
      </c>
      <c r="F287" s="24" t="s">
        <v>70</v>
      </c>
      <c r="G287" s="25">
        <f>52+268.9+130-51.1+45+50</f>
        <v>494.79999999999995</v>
      </c>
      <c r="H287" s="25">
        <f>52+253.1-52</f>
        <v>253.10000000000002</v>
      </c>
      <c r="I287" s="25">
        <f>52+253.1-52</f>
        <v>253.10000000000002</v>
      </c>
      <c r="J287" s="102"/>
      <c r="K287" s="102"/>
      <c r="L287" s="102"/>
      <c r="M287" s="102"/>
      <c r="N287" s="102"/>
      <c r="O287" s="102"/>
      <c r="P287" s="102"/>
      <c r="Q287" s="102"/>
    </row>
    <row r="288" spans="1:17" ht="63.75" x14ac:dyDescent="0.2">
      <c r="A288" s="18" t="s">
        <v>206</v>
      </c>
      <c r="B288" s="22">
        <v>911</v>
      </c>
      <c r="C288" s="19" t="s">
        <v>17</v>
      </c>
      <c r="D288" s="19" t="s">
        <v>12</v>
      </c>
      <c r="E288" s="19" t="s">
        <v>209</v>
      </c>
      <c r="F288" s="19"/>
      <c r="G288" s="20">
        <f>G289+G290</f>
        <v>712.9</v>
      </c>
      <c r="H288" s="20">
        <f t="shared" ref="H288:I288" si="60">H289+H290</f>
        <v>592.79999999999995</v>
      </c>
      <c r="I288" s="20">
        <f t="shared" si="60"/>
        <v>592.79999999999995</v>
      </c>
      <c r="J288" s="101"/>
      <c r="K288" s="101"/>
      <c r="L288" s="101"/>
      <c r="M288" s="101"/>
      <c r="N288" s="101"/>
      <c r="O288" s="101"/>
      <c r="P288" s="101"/>
      <c r="Q288" s="101"/>
    </row>
    <row r="289" spans="1:17" s="26" customFormat="1" ht="25.5" x14ac:dyDescent="0.2">
      <c r="A289" s="28" t="s">
        <v>73</v>
      </c>
      <c r="B289" s="32">
        <v>911</v>
      </c>
      <c r="C289" s="24" t="s">
        <v>17</v>
      </c>
      <c r="D289" s="24" t="s">
        <v>12</v>
      </c>
      <c r="E289" s="24" t="s">
        <v>209</v>
      </c>
      <c r="F289" s="27" t="s">
        <v>65</v>
      </c>
      <c r="G289" s="25">
        <v>661.8</v>
      </c>
      <c r="H289" s="25">
        <v>540.79999999999995</v>
      </c>
      <c r="I289" s="25">
        <v>540.79999999999995</v>
      </c>
      <c r="J289" s="102"/>
      <c r="K289" s="102"/>
      <c r="L289" s="102"/>
      <c r="M289" s="102"/>
      <c r="N289" s="102"/>
      <c r="O289" s="102"/>
      <c r="P289" s="102"/>
      <c r="Q289" s="102"/>
    </row>
    <row r="290" spans="1:17" s="26" customFormat="1" x14ac:dyDescent="0.2">
      <c r="A290" s="28" t="s">
        <v>69</v>
      </c>
      <c r="B290" s="32">
        <v>911</v>
      </c>
      <c r="C290" s="24" t="s">
        <v>17</v>
      </c>
      <c r="D290" s="24" t="s">
        <v>12</v>
      </c>
      <c r="E290" s="24" t="s">
        <v>209</v>
      </c>
      <c r="F290" s="27" t="s">
        <v>70</v>
      </c>
      <c r="G290" s="25">
        <v>51.1</v>
      </c>
      <c r="H290" s="25">
        <v>52</v>
      </c>
      <c r="I290" s="25">
        <v>52</v>
      </c>
      <c r="J290" s="102"/>
      <c r="K290" s="102"/>
      <c r="L290" s="102"/>
      <c r="M290" s="102"/>
      <c r="N290" s="102"/>
      <c r="O290" s="102"/>
      <c r="P290" s="102"/>
      <c r="Q290" s="102"/>
    </row>
    <row r="291" spans="1:17" ht="89.25" x14ac:dyDescent="0.2">
      <c r="A291" s="18" t="s">
        <v>590</v>
      </c>
      <c r="B291" s="22">
        <v>911</v>
      </c>
      <c r="C291" s="19" t="s">
        <v>17</v>
      </c>
      <c r="D291" s="19" t="s">
        <v>12</v>
      </c>
      <c r="E291" s="19" t="s">
        <v>589</v>
      </c>
      <c r="F291" s="19"/>
      <c r="G291" s="20">
        <f>G292</f>
        <v>3525.6</v>
      </c>
      <c r="H291" s="20">
        <f t="shared" ref="H291:I291" si="61">H292</f>
        <v>3525.6</v>
      </c>
      <c r="I291" s="20">
        <f t="shared" si="61"/>
        <v>3525.6</v>
      </c>
      <c r="J291" s="194"/>
      <c r="K291" s="194"/>
      <c r="L291" s="194"/>
      <c r="M291" s="194"/>
      <c r="N291" s="194"/>
      <c r="O291" s="194"/>
      <c r="P291" s="194"/>
      <c r="Q291" s="194"/>
    </row>
    <row r="292" spans="1:17" s="26" customFormat="1" ht="25.5" x14ac:dyDescent="0.2">
      <c r="A292" s="28" t="s">
        <v>73</v>
      </c>
      <c r="B292" s="32">
        <v>911</v>
      </c>
      <c r="C292" s="24" t="s">
        <v>17</v>
      </c>
      <c r="D292" s="24" t="s">
        <v>12</v>
      </c>
      <c r="E292" s="24" t="s">
        <v>589</v>
      </c>
      <c r="F292" s="27" t="s">
        <v>62</v>
      </c>
      <c r="G292" s="25">
        <v>3525.6</v>
      </c>
      <c r="H292" s="25">
        <v>3525.6</v>
      </c>
      <c r="I292" s="25">
        <v>3525.6</v>
      </c>
    </row>
    <row r="293" spans="1:17" s="21" customFormat="1" ht="25.5" x14ac:dyDescent="0.2">
      <c r="A293" s="18" t="s">
        <v>202</v>
      </c>
      <c r="B293" s="18">
        <v>911</v>
      </c>
      <c r="C293" s="19" t="s">
        <v>17</v>
      </c>
      <c r="D293" s="19" t="s">
        <v>12</v>
      </c>
      <c r="E293" s="19" t="s">
        <v>116</v>
      </c>
      <c r="F293" s="19"/>
      <c r="G293" s="20">
        <f>G295+G294</f>
        <v>249.70000000000002</v>
      </c>
      <c r="H293" s="20">
        <f t="shared" ref="H293:I293" si="62">H295+H294</f>
        <v>249.7</v>
      </c>
      <c r="I293" s="20">
        <f t="shared" si="62"/>
        <v>249.7</v>
      </c>
    </row>
    <row r="294" spans="1:17" s="26" customFormat="1" ht="25.5" x14ac:dyDescent="0.2">
      <c r="A294" s="28" t="s">
        <v>73</v>
      </c>
      <c r="B294" s="28">
        <v>911</v>
      </c>
      <c r="C294" s="24" t="s">
        <v>17</v>
      </c>
      <c r="D294" s="24" t="s">
        <v>12</v>
      </c>
      <c r="E294" s="24" t="s">
        <v>116</v>
      </c>
      <c r="F294" s="27" t="s">
        <v>65</v>
      </c>
      <c r="G294" s="25">
        <f>29.5+28.2-19.3</f>
        <v>38.400000000000006</v>
      </c>
      <c r="H294" s="25">
        <f>29.5+28.2</f>
        <v>57.7</v>
      </c>
      <c r="I294" s="25">
        <f>29.5+28.2</f>
        <v>57.7</v>
      </c>
      <c r="J294" s="102"/>
      <c r="K294" s="102"/>
      <c r="L294" s="102"/>
      <c r="M294" s="102"/>
      <c r="N294" s="102"/>
      <c r="O294" s="102"/>
      <c r="P294" s="102"/>
      <c r="Q294" s="102"/>
    </row>
    <row r="295" spans="1:17" ht="25.5" x14ac:dyDescent="0.2">
      <c r="A295" s="28" t="s">
        <v>119</v>
      </c>
      <c r="B295" s="28">
        <v>911</v>
      </c>
      <c r="C295" s="24" t="s">
        <v>17</v>
      </c>
      <c r="D295" s="24" t="s">
        <v>12</v>
      </c>
      <c r="E295" s="24" t="s">
        <v>116</v>
      </c>
      <c r="F295" s="24" t="s">
        <v>62</v>
      </c>
      <c r="G295" s="25">
        <f>307.3-115.3+19.3</f>
        <v>211.3</v>
      </c>
      <c r="H295" s="25">
        <f>307.3-115.3</f>
        <v>192</v>
      </c>
      <c r="I295" s="25">
        <f>307.3-115.3</f>
        <v>192</v>
      </c>
      <c r="J295" s="101"/>
      <c r="K295" s="101"/>
      <c r="L295" s="101"/>
      <c r="M295" s="101"/>
      <c r="N295" s="101"/>
      <c r="O295" s="101"/>
      <c r="P295" s="101"/>
      <c r="Q295" s="101"/>
    </row>
    <row r="296" spans="1:17" s="21" customFormat="1" ht="25.5" x14ac:dyDescent="0.2">
      <c r="A296" s="18" t="s">
        <v>207</v>
      </c>
      <c r="B296" s="18">
        <v>911</v>
      </c>
      <c r="C296" s="19" t="s">
        <v>17</v>
      </c>
      <c r="D296" s="19" t="s">
        <v>12</v>
      </c>
      <c r="E296" s="19" t="s">
        <v>117</v>
      </c>
      <c r="F296" s="19"/>
      <c r="G296" s="20">
        <f>G298+G297</f>
        <v>1209</v>
      </c>
      <c r="H296" s="20">
        <f>H298+H297</f>
        <v>1209</v>
      </c>
      <c r="I296" s="20">
        <f>I298+I297</f>
        <v>1209</v>
      </c>
    </row>
    <row r="297" spans="1:17" s="9" customFormat="1" x14ac:dyDescent="0.2">
      <c r="A297" s="28" t="s">
        <v>66</v>
      </c>
      <c r="B297" s="28">
        <v>911</v>
      </c>
      <c r="C297" s="24" t="s">
        <v>17</v>
      </c>
      <c r="D297" s="24" t="s">
        <v>12</v>
      </c>
      <c r="E297" s="19" t="s">
        <v>117</v>
      </c>
      <c r="F297" s="24" t="s">
        <v>67</v>
      </c>
      <c r="G297" s="25">
        <v>31.1</v>
      </c>
      <c r="H297" s="25">
        <v>31.1</v>
      </c>
      <c r="I297" s="25">
        <v>31.1</v>
      </c>
    </row>
    <row r="298" spans="1:17" s="21" customFormat="1" ht="25.5" x14ac:dyDescent="0.2">
      <c r="A298" s="28" t="s">
        <v>119</v>
      </c>
      <c r="B298" s="28">
        <v>911</v>
      </c>
      <c r="C298" s="24" t="s">
        <v>17</v>
      </c>
      <c r="D298" s="24" t="s">
        <v>12</v>
      </c>
      <c r="E298" s="19" t="s">
        <v>117</v>
      </c>
      <c r="F298" s="24" t="s">
        <v>62</v>
      </c>
      <c r="G298" s="25">
        <v>1177.9000000000001</v>
      </c>
      <c r="H298" s="25">
        <v>1177.9000000000001</v>
      </c>
      <c r="I298" s="25">
        <v>1177.9000000000001</v>
      </c>
    </row>
    <row r="299" spans="1:17" s="72" customFormat="1" ht="25.5" x14ac:dyDescent="0.2">
      <c r="A299" s="68" t="s">
        <v>286</v>
      </c>
      <c r="B299" s="68">
        <v>911</v>
      </c>
      <c r="C299" s="70" t="s">
        <v>17</v>
      </c>
      <c r="D299" s="70" t="s">
        <v>12</v>
      </c>
      <c r="E299" s="70" t="s">
        <v>276</v>
      </c>
      <c r="F299" s="70"/>
      <c r="G299" s="71">
        <f>G301+G300</f>
        <v>250</v>
      </c>
      <c r="H299" s="71">
        <f>H301+H300</f>
        <v>0</v>
      </c>
      <c r="I299" s="71">
        <f>I301+I300</f>
        <v>0</v>
      </c>
      <c r="J299" s="101"/>
      <c r="K299" s="101"/>
      <c r="L299" s="101"/>
      <c r="M299" s="101"/>
      <c r="N299" s="101"/>
      <c r="O299" s="101"/>
      <c r="P299" s="101"/>
      <c r="Q299" s="101"/>
    </row>
    <row r="300" spans="1:17" s="72" customFormat="1" x14ac:dyDescent="0.2">
      <c r="A300" s="80" t="s">
        <v>66</v>
      </c>
      <c r="B300" s="80">
        <v>911</v>
      </c>
      <c r="C300" s="75" t="s">
        <v>17</v>
      </c>
      <c r="D300" s="75" t="s">
        <v>12</v>
      </c>
      <c r="E300" s="70" t="s">
        <v>276</v>
      </c>
      <c r="F300" s="75" t="s">
        <v>67</v>
      </c>
      <c r="G300" s="55">
        <v>20</v>
      </c>
      <c r="H300" s="55"/>
      <c r="I300" s="55"/>
      <c r="J300" s="101"/>
      <c r="K300" s="101"/>
      <c r="L300" s="101"/>
      <c r="M300" s="101"/>
      <c r="N300" s="101"/>
      <c r="O300" s="101"/>
      <c r="P300" s="101"/>
      <c r="Q300" s="101"/>
    </row>
    <row r="301" spans="1:17" s="72" customFormat="1" ht="25.5" x14ac:dyDescent="0.2">
      <c r="A301" s="80" t="s">
        <v>119</v>
      </c>
      <c r="B301" s="80">
        <v>911</v>
      </c>
      <c r="C301" s="75" t="s">
        <v>17</v>
      </c>
      <c r="D301" s="75" t="s">
        <v>12</v>
      </c>
      <c r="E301" s="70" t="s">
        <v>276</v>
      </c>
      <c r="F301" s="75" t="s">
        <v>62</v>
      </c>
      <c r="G301" s="55">
        <v>230</v>
      </c>
      <c r="H301" s="55"/>
      <c r="I301" s="55"/>
      <c r="J301" s="101"/>
      <c r="K301" s="101"/>
      <c r="L301" s="101"/>
      <c r="M301" s="101"/>
      <c r="N301" s="101"/>
      <c r="O301" s="101"/>
      <c r="P301" s="101"/>
      <c r="Q301" s="101"/>
    </row>
    <row r="302" spans="1:17" s="67" customFormat="1" x14ac:dyDescent="0.2">
      <c r="A302" s="63" t="s">
        <v>277</v>
      </c>
      <c r="B302" s="64">
        <v>911</v>
      </c>
      <c r="C302" s="65" t="s">
        <v>17</v>
      </c>
      <c r="D302" s="65" t="s">
        <v>14</v>
      </c>
      <c r="E302" s="65"/>
      <c r="F302" s="65"/>
      <c r="G302" s="66">
        <f>G307+G305+G303+G309</f>
        <v>134431.1</v>
      </c>
      <c r="H302" s="66">
        <f t="shared" ref="H302:I302" si="63">H307+H305+H303+H309</f>
        <v>121344.30000000002</v>
      </c>
      <c r="I302" s="66">
        <f t="shared" si="63"/>
        <v>118124.60000000002</v>
      </c>
    </row>
    <row r="303" spans="1:17" ht="25.5" x14ac:dyDescent="0.2">
      <c r="A303" s="17" t="s">
        <v>137</v>
      </c>
      <c r="B303" s="17">
        <v>911</v>
      </c>
      <c r="C303" s="19" t="s">
        <v>17</v>
      </c>
      <c r="D303" s="19" t="s">
        <v>14</v>
      </c>
      <c r="E303" s="19" t="s">
        <v>136</v>
      </c>
      <c r="F303" s="5"/>
      <c r="G303" s="6">
        <f>G304</f>
        <v>1759.6</v>
      </c>
      <c r="H303" s="6">
        <f t="shared" ref="H303:I303" si="64">H304</f>
        <v>224.8</v>
      </c>
      <c r="I303" s="6">
        <f t="shared" si="64"/>
        <v>224.8</v>
      </c>
      <c r="J303" s="101"/>
      <c r="K303" s="101"/>
      <c r="L303" s="101"/>
      <c r="M303" s="101"/>
      <c r="N303" s="101"/>
      <c r="O303" s="101"/>
      <c r="P303" s="101"/>
      <c r="Q303" s="101"/>
    </row>
    <row r="304" spans="1:17" ht="25.5" x14ac:dyDescent="0.2">
      <c r="A304" s="28" t="s">
        <v>119</v>
      </c>
      <c r="B304" s="28">
        <v>911</v>
      </c>
      <c r="C304" s="24" t="s">
        <v>17</v>
      </c>
      <c r="D304" s="24" t="s">
        <v>14</v>
      </c>
      <c r="E304" s="24" t="s">
        <v>136</v>
      </c>
      <c r="F304" s="24" t="s">
        <v>62</v>
      </c>
      <c r="G304" s="25">
        <f>2000.6-241</f>
        <v>1759.6</v>
      </c>
      <c r="H304" s="25">
        <v>224.8</v>
      </c>
      <c r="I304" s="25">
        <v>224.8</v>
      </c>
      <c r="J304" s="101"/>
      <c r="K304" s="101"/>
      <c r="L304" s="101"/>
      <c r="M304" s="101"/>
      <c r="N304" s="101"/>
      <c r="O304" s="101"/>
      <c r="P304" s="101"/>
      <c r="Q304" s="101"/>
    </row>
    <row r="305" spans="1:17" ht="25.5" x14ac:dyDescent="0.2">
      <c r="A305" s="18" t="s">
        <v>202</v>
      </c>
      <c r="B305" s="18">
        <v>911</v>
      </c>
      <c r="C305" s="19" t="s">
        <v>17</v>
      </c>
      <c r="D305" s="19" t="s">
        <v>14</v>
      </c>
      <c r="E305" s="19" t="s">
        <v>116</v>
      </c>
      <c r="F305" s="19"/>
      <c r="G305" s="20">
        <f>G306</f>
        <v>115.3</v>
      </c>
      <c r="H305" s="20">
        <f t="shared" ref="H305:I305" si="65">H306</f>
        <v>115.3</v>
      </c>
      <c r="I305" s="20">
        <f t="shared" si="65"/>
        <v>115.3</v>
      </c>
      <c r="J305" s="194"/>
      <c r="K305" s="194"/>
      <c r="L305" s="194"/>
      <c r="M305" s="194"/>
      <c r="N305" s="194"/>
      <c r="O305" s="194"/>
      <c r="P305" s="194"/>
      <c r="Q305" s="194"/>
    </row>
    <row r="306" spans="1:17" ht="25.5" x14ac:dyDescent="0.2">
      <c r="A306" s="28" t="s">
        <v>119</v>
      </c>
      <c r="B306" s="28">
        <v>911</v>
      </c>
      <c r="C306" s="24" t="s">
        <v>17</v>
      </c>
      <c r="D306" s="24" t="s">
        <v>14</v>
      </c>
      <c r="E306" s="24" t="s">
        <v>116</v>
      </c>
      <c r="F306" s="24" t="s">
        <v>62</v>
      </c>
      <c r="G306" s="25">
        <v>115.3</v>
      </c>
      <c r="H306" s="25">
        <v>115.3</v>
      </c>
      <c r="I306" s="25">
        <v>115.3</v>
      </c>
      <c r="J306" s="194"/>
      <c r="K306" s="194"/>
      <c r="L306" s="194"/>
      <c r="M306" s="194"/>
      <c r="N306" s="194"/>
      <c r="O306" s="194"/>
      <c r="P306" s="194"/>
      <c r="Q306" s="194"/>
    </row>
    <row r="307" spans="1:17" s="101" customFormat="1" ht="63.75" x14ac:dyDescent="0.2">
      <c r="A307" s="224" t="s">
        <v>283</v>
      </c>
      <c r="B307" s="225">
        <v>911</v>
      </c>
      <c r="C307" s="226" t="s">
        <v>17</v>
      </c>
      <c r="D307" s="226" t="s">
        <v>14</v>
      </c>
      <c r="E307" s="226" t="s">
        <v>204</v>
      </c>
      <c r="F307" s="226"/>
      <c r="G307" s="190">
        <f>G308</f>
        <v>117351.5</v>
      </c>
      <c r="H307" s="190">
        <f>H308</f>
        <v>106398.6</v>
      </c>
      <c r="I307" s="190">
        <f>I308</f>
        <v>103178.90000000001</v>
      </c>
    </row>
    <row r="308" spans="1:17" s="102" customFormat="1" ht="25.5" x14ac:dyDescent="0.2">
      <c r="A308" s="230" t="s">
        <v>119</v>
      </c>
      <c r="B308" s="227">
        <v>911</v>
      </c>
      <c r="C308" s="228" t="s">
        <v>17</v>
      </c>
      <c r="D308" s="228" t="s">
        <v>14</v>
      </c>
      <c r="E308" s="228" t="s">
        <v>204</v>
      </c>
      <c r="F308" s="228" t="s">
        <v>62</v>
      </c>
      <c r="G308" s="189">
        <f>114802.1+141.2+413.2+1995</f>
        <v>117351.5</v>
      </c>
      <c r="H308" s="189">
        <f>105857.8+540.8</f>
        <v>106398.6</v>
      </c>
      <c r="I308" s="189">
        <f>102638.1+540.8</f>
        <v>103178.90000000001</v>
      </c>
    </row>
    <row r="309" spans="1:17" ht="25.5" x14ac:dyDescent="0.2">
      <c r="A309" s="18" t="s">
        <v>545</v>
      </c>
      <c r="B309" s="22">
        <v>911</v>
      </c>
      <c r="C309" s="19" t="s">
        <v>17</v>
      </c>
      <c r="D309" s="19" t="s">
        <v>14</v>
      </c>
      <c r="E309" s="19" t="s">
        <v>546</v>
      </c>
      <c r="F309" s="19"/>
      <c r="G309" s="20">
        <f>G310</f>
        <v>15204.7</v>
      </c>
      <c r="H309" s="20">
        <f t="shared" ref="H309:I309" si="66">H310</f>
        <v>14605.6</v>
      </c>
      <c r="I309" s="20">
        <f t="shared" si="66"/>
        <v>14605.6</v>
      </c>
      <c r="J309" s="101"/>
      <c r="K309" s="101"/>
      <c r="L309" s="101"/>
      <c r="M309" s="101"/>
      <c r="N309" s="101"/>
      <c r="O309" s="101"/>
      <c r="P309" s="101"/>
      <c r="Q309" s="101"/>
    </row>
    <row r="310" spans="1:17" s="26" customFormat="1" ht="25.5" x14ac:dyDescent="0.2">
      <c r="A310" s="28" t="s">
        <v>119</v>
      </c>
      <c r="B310" s="31">
        <v>911</v>
      </c>
      <c r="C310" s="24" t="s">
        <v>17</v>
      </c>
      <c r="D310" s="24" t="s">
        <v>14</v>
      </c>
      <c r="E310" s="24" t="s">
        <v>546</v>
      </c>
      <c r="F310" s="24" t="s">
        <v>62</v>
      </c>
      <c r="G310" s="25">
        <f>14605.6+599.1</f>
        <v>15204.7</v>
      </c>
      <c r="H310" s="25">
        <v>14605.6</v>
      </c>
      <c r="I310" s="25">
        <v>14605.6</v>
      </c>
      <c r="J310" s="102"/>
      <c r="K310" s="102"/>
      <c r="L310" s="102"/>
      <c r="M310" s="102"/>
      <c r="N310" s="102"/>
      <c r="O310" s="102"/>
      <c r="P310" s="102"/>
      <c r="Q310" s="102"/>
    </row>
    <row r="311" spans="1:17" x14ac:dyDescent="0.2">
      <c r="A311" s="11" t="s">
        <v>37</v>
      </c>
      <c r="B311" s="11">
        <v>911</v>
      </c>
      <c r="C311" s="8" t="s">
        <v>17</v>
      </c>
      <c r="D311" s="8" t="s">
        <v>17</v>
      </c>
      <c r="E311" s="8"/>
      <c r="F311" s="8"/>
      <c r="G311" s="4">
        <f>G312</f>
        <v>853.30000000000007</v>
      </c>
      <c r="H311" s="4">
        <f t="shared" ref="H311:I311" si="67">H312</f>
        <v>0</v>
      </c>
      <c r="I311" s="4">
        <f t="shared" si="67"/>
        <v>0</v>
      </c>
      <c r="J311" s="101"/>
      <c r="K311" s="101"/>
      <c r="L311" s="101"/>
      <c r="M311" s="101"/>
      <c r="N311" s="101"/>
      <c r="O311" s="101"/>
      <c r="P311" s="101"/>
      <c r="Q311" s="101"/>
    </row>
    <row r="312" spans="1:17" ht="51" x14ac:dyDescent="0.2">
      <c r="A312" s="18" t="s">
        <v>285</v>
      </c>
      <c r="B312" s="22">
        <v>911</v>
      </c>
      <c r="C312" s="19" t="s">
        <v>17</v>
      </c>
      <c r="D312" s="19" t="s">
        <v>17</v>
      </c>
      <c r="E312" s="19" t="s">
        <v>211</v>
      </c>
      <c r="F312" s="19"/>
      <c r="G312" s="20">
        <f>G313+G314</f>
        <v>853.30000000000007</v>
      </c>
      <c r="H312" s="20">
        <f>H313+H314</f>
        <v>0</v>
      </c>
      <c r="I312" s="20">
        <f>I313+I314</f>
        <v>0</v>
      </c>
      <c r="J312" s="101"/>
      <c r="K312" s="101"/>
      <c r="L312" s="101"/>
      <c r="M312" s="101"/>
      <c r="N312" s="101"/>
      <c r="O312" s="101"/>
      <c r="P312" s="101"/>
      <c r="Q312" s="101"/>
    </row>
    <row r="313" spans="1:17" s="26" customFormat="1" ht="49.5" customHeight="1" x14ac:dyDescent="0.2">
      <c r="A313" s="30" t="s">
        <v>63</v>
      </c>
      <c r="B313" s="32">
        <v>911</v>
      </c>
      <c r="C313" s="24" t="s">
        <v>17</v>
      </c>
      <c r="D313" s="24" t="s">
        <v>17</v>
      </c>
      <c r="E313" s="24" t="s">
        <v>211</v>
      </c>
      <c r="F313" s="27" t="s">
        <v>64</v>
      </c>
      <c r="G313" s="25">
        <v>43.1</v>
      </c>
      <c r="H313" s="25"/>
      <c r="I313" s="25"/>
      <c r="J313" s="102"/>
      <c r="K313" s="102"/>
      <c r="L313" s="102"/>
      <c r="M313" s="102"/>
      <c r="N313" s="102"/>
      <c r="O313" s="102"/>
      <c r="P313" s="102"/>
      <c r="Q313" s="102"/>
    </row>
    <row r="314" spans="1:17" s="26" customFormat="1" ht="25.5" x14ac:dyDescent="0.2">
      <c r="A314" s="28" t="s">
        <v>119</v>
      </c>
      <c r="B314" s="31">
        <v>911</v>
      </c>
      <c r="C314" s="24" t="s">
        <v>17</v>
      </c>
      <c r="D314" s="24" t="s">
        <v>17</v>
      </c>
      <c r="E314" s="24" t="s">
        <v>211</v>
      </c>
      <c r="F314" s="24" t="s">
        <v>62</v>
      </c>
      <c r="G314" s="25">
        <f>740.2+53.8+16.2</f>
        <v>810.2</v>
      </c>
      <c r="H314" s="25"/>
      <c r="I314" s="25"/>
      <c r="J314" s="102"/>
      <c r="K314" s="102"/>
      <c r="L314" s="102"/>
      <c r="M314" s="102"/>
      <c r="N314" s="102"/>
      <c r="O314" s="102"/>
      <c r="P314" s="102"/>
      <c r="Q314" s="102"/>
    </row>
    <row r="315" spans="1:17" s="67" customFormat="1" x14ac:dyDescent="0.2">
      <c r="A315" s="63" t="s">
        <v>38</v>
      </c>
      <c r="B315" s="64">
        <v>911</v>
      </c>
      <c r="C315" s="65" t="s">
        <v>17</v>
      </c>
      <c r="D315" s="65" t="s">
        <v>24</v>
      </c>
      <c r="E315" s="65"/>
      <c r="F315" s="65"/>
      <c r="G315" s="66">
        <f>G321+G323+G326+G330+G333+G336+G338+G318+G316</f>
        <v>73545.800000000017</v>
      </c>
      <c r="H315" s="66">
        <f t="shared" ref="H315:I315" si="68">H321+H323+H326+H330+H333+H336+H338+H318+H316</f>
        <v>64721</v>
      </c>
      <c r="I315" s="66">
        <f t="shared" si="68"/>
        <v>64021.7</v>
      </c>
    </row>
    <row r="316" spans="1:17" ht="25.5" x14ac:dyDescent="0.2">
      <c r="A316" s="17" t="s">
        <v>137</v>
      </c>
      <c r="B316" s="17">
        <v>911</v>
      </c>
      <c r="C316" s="19" t="s">
        <v>17</v>
      </c>
      <c r="D316" s="19" t="s">
        <v>24</v>
      </c>
      <c r="E316" s="19" t="s">
        <v>136</v>
      </c>
      <c r="F316" s="5"/>
      <c r="G316" s="6">
        <f>G317</f>
        <v>129.1</v>
      </c>
      <c r="H316" s="6">
        <f t="shared" ref="H316:I316" si="69">H317</f>
        <v>26</v>
      </c>
      <c r="I316" s="6">
        <f t="shared" si="69"/>
        <v>26</v>
      </c>
      <c r="J316" s="194"/>
      <c r="K316" s="194"/>
      <c r="L316" s="194"/>
      <c r="M316" s="194"/>
      <c r="N316" s="194"/>
      <c r="O316" s="194"/>
      <c r="P316" s="194"/>
      <c r="Q316" s="194"/>
    </row>
    <row r="317" spans="1:17" ht="25.5" x14ac:dyDescent="0.2">
      <c r="A317" s="28" t="s">
        <v>119</v>
      </c>
      <c r="B317" s="28">
        <v>911</v>
      </c>
      <c r="C317" s="24" t="s">
        <v>17</v>
      </c>
      <c r="D317" s="24" t="s">
        <v>24</v>
      </c>
      <c r="E317" s="24" t="s">
        <v>136</v>
      </c>
      <c r="F317" s="24" t="s">
        <v>62</v>
      </c>
      <c r="G317" s="25">
        <f>66+63.1</f>
        <v>129.1</v>
      </c>
      <c r="H317" s="25">
        <v>26</v>
      </c>
      <c r="I317" s="25">
        <v>26</v>
      </c>
      <c r="J317" s="101"/>
      <c r="K317" s="101"/>
      <c r="L317" s="101"/>
      <c r="M317" s="101"/>
      <c r="N317" s="101"/>
      <c r="O317" s="101"/>
      <c r="P317" s="101"/>
      <c r="Q317" s="101"/>
    </row>
    <row r="318" spans="1:17" ht="29.25" customHeight="1" x14ac:dyDescent="0.2">
      <c r="A318" s="18" t="s">
        <v>160</v>
      </c>
      <c r="B318" s="18">
        <v>911</v>
      </c>
      <c r="C318" s="19" t="s">
        <v>17</v>
      </c>
      <c r="D318" s="19" t="s">
        <v>24</v>
      </c>
      <c r="E318" s="19" t="s">
        <v>115</v>
      </c>
      <c r="F318" s="19"/>
      <c r="G318" s="20">
        <f>G320+G319</f>
        <v>4391</v>
      </c>
      <c r="H318" s="20">
        <f t="shared" ref="H318:I318" si="70">H320+H319</f>
        <v>4391</v>
      </c>
      <c r="I318" s="20">
        <f t="shared" si="70"/>
        <v>4391</v>
      </c>
      <c r="J318" s="101"/>
      <c r="K318" s="101"/>
      <c r="L318" s="101"/>
      <c r="M318" s="101"/>
      <c r="N318" s="101"/>
      <c r="O318" s="101"/>
      <c r="P318" s="101"/>
      <c r="Q318" s="101"/>
    </row>
    <row r="319" spans="1:17" ht="25.5" x14ac:dyDescent="0.2">
      <c r="A319" s="28" t="s">
        <v>73</v>
      </c>
      <c r="B319" s="28">
        <v>911</v>
      </c>
      <c r="C319" s="24" t="s">
        <v>17</v>
      </c>
      <c r="D319" s="24" t="s">
        <v>24</v>
      </c>
      <c r="E319" s="24" t="s">
        <v>115</v>
      </c>
      <c r="F319" s="24" t="s">
        <v>65</v>
      </c>
      <c r="G319" s="25">
        <f>101.25+12.15</f>
        <v>113.4</v>
      </c>
      <c r="H319" s="25">
        <v>101.25</v>
      </c>
      <c r="I319" s="25">
        <v>101.25</v>
      </c>
      <c r="J319" s="101"/>
      <c r="K319" s="101"/>
      <c r="L319" s="101"/>
      <c r="M319" s="101"/>
      <c r="N319" s="101"/>
      <c r="O319" s="101"/>
      <c r="P319" s="101"/>
      <c r="Q319" s="101"/>
    </row>
    <row r="320" spans="1:17" ht="25.5" x14ac:dyDescent="0.2">
      <c r="A320" s="28" t="s">
        <v>119</v>
      </c>
      <c r="B320" s="28">
        <v>911</v>
      </c>
      <c r="C320" s="24" t="s">
        <v>17</v>
      </c>
      <c r="D320" s="24" t="s">
        <v>24</v>
      </c>
      <c r="E320" s="24" t="s">
        <v>115</v>
      </c>
      <c r="F320" s="24" t="s">
        <v>62</v>
      </c>
      <c r="G320" s="25">
        <f>3950+339.75-12.15</f>
        <v>4277.6000000000004</v>
      </c>
      <c r="H320" s="25">
        <f>3950+339.75</f>
        <v>4289.75</v>
      </c>
      <c r="I320" s="25">
        <f>3950+339.75</f>
        <v>4289.75</v>
      </c>
      <c r="J320" s="101"/>
      <c r="K320" s="101"/>
      <c r="L320" s="101"/>
      <c r="M320" s="101"/>
      <c r="N320" s="101"/>
      <c r="O320" s="101"/>
      <c r="P320" s="101"/>
      <c r="Q320" s="101"/>
    </row>
    <row r="321" spans="1:17" ht="25.5" x14ac:dyDescent="0.2">
      <c r="A321" s="18" t="s">
        <v>284</v>
      </c>
      <c r="B321" s="22">
        <v>911</v>
      </c>
      <c r="C321" s="19" t="s">
        <v>17</v>
      </c>
      <c r="D321" s="19" t="s">
        <v>24</v>
      </c>
      <c r="E321" s="19" t="s">
        <v>210</v>
      </c>
      <c r="F321" s="19"/>
      <c r="G321" s="20">
        <f>+G322</f>
        <v>140</v>
      </c>
      <c r="H321" s="20">
        <f t="shared" ref="H321:I321" si="71">+H322</f>
        <v>0</v>
      </c>
      <c r="I321" s="20">
        <f t="shared" si="71"/>
        <v>0</v>
      </c>
      <c r="J321" s="101"/>
      <c r="K321" s="101"/>
      <c r="L321" s="101"/>
      <c r="M321" s="101"/>
      <c r="N321" s="101"/>
      <c r="O321" s="101"/>
      <c r="P321" s="101"/>
      <c r="Q321" s="101"/>
    </row>
    <row r="322" spans="1:17" s="26" customFormat="1" ht="25.5" x14ac:dyDescent="0.2">
      <c r="A322" s="28" t="s">
        <v>119</v>
      </c>
      <c r="B322" s="31">
        <v>911</v>
      </c>
      <c r="C322" s="24" t="s">
        <v>17</v>
      </c>
      <c r="D322" s="24" t="s">
        <v>24</v>
      </c>
      <c r="E322" s="24" t="s">
        <v>210</v>
      </c>
      <c r="F322" s="24" t="s">
        <v>62</v>
      </c>
      <c r="G322" s="25">
        <v>140</v>
      </c>
      <c r="H322" s="25"/>
      <c r="I322" s="25"/>
      <c r="J322" s="102"/>
      <c r="K322" s="102"/>
      <c r="L322" s="102"/>
      <c r="M322" s="102"/>
      <c r="N322" s="102"/>
      <c r="O322" s="102"/>
      <c r="P322" s="102"/>
      <c r="Q322" s="102"/>
    </row>
    <row r="323" spans="1:17" s="72" customFormat="1" ht="25.5" x14ac:dyDescent="0.2">
      <c r="A323" s="68" t="s">
        <v>284</v>
      </c>
      <c r="B323" s="69">
        <v>911</v>
      </c>
      <c r="C323" s="70" t="s">
        <v>17</v>
      </c>
      <c r="D323" s="70" t="s">
        <v>24</v>
      </c>
      <c r="E323" s="70" t="s">
        <v>161</v>
      </c>
      <c r="F323" s="70"/>
      <c r="G323" s="71">
        <f>G325+G324</f>
        <v>323.3</v>
      </c>
      <c r="H323" s="71">
        <f t="shared" ref="H323:I323" si="72">H325+H324</f>
        <v>59.4</v>
      </c>
      <c r="I323" s="71">
        <f t="shared" si="72"/>
        <v>59.4</v>
      </c>
    </row>
    <row r="324" spans="1:17" s="26" customFormat="1" ht="25.5" x14ac:dyDescent="0.2">
      <c r="A324" s="28" t="s">
        <v>73</v>
      </c>
      <c r="B324" s="31">
        <v>911</v>
      </c>
      <c r="C324" s="24" t="s">
        <v>17</v>
      </c>
      <c r="D324" s="24" t="s">
        <v>24</v>
      </c>
      <c r="E324" s="24" t="s">
        <v>161</v>
      </c>
      <c r="F324" s="24" t="s">
        <v>65</v>
      </c>
      <c r="G324" s="25">
        <v>4.5</v>
      </c>
      <c r="H324" s="25"/>
      <c r="I324" s="25"/>
    </row>
    <row r="325" spans="1:17" s="26" customFormat="1" ht="25.5" x14ac:dyDescent="0.2">
      <c r="A325" s="28" t="s">
        <v>119</v>
      </c>
      <c r="B325" s="31">
        <v>911</v>
      </c>
      <c r="C325" s="24" t="s">
        <v>17</v>
      </c>
      <c r="D325" s="24" t="s">
        <v>24</v>
      </c>
      <c r="E325" s="24" t="s">
        <v>161</v>
      </c>
      <c r="F325" s="24" t="s">
        <v>62</v>
      </c>
      <c r="G325" s="25">
        <v>318.8</v>
      </c>
      <c r="H325" s="25">
        <v>59.4</v>
      </c>
      <c r="I325" s="25">
        <v>59.4</v>
      </c>
    </row>
    <row r="326" spans="1:17" ht="25.5" x14ac:dyDescent="0.2">
      <c r="A326" s="18" t="s">
        <v>213</v>
      </c>
      <c r="B326" s="22">
        <v>911</v>
      </c>
      <c r="C326" s="19" t="s">
        <v>17</v>
      </c>
      <c r="D326" s="19" t="s">
        <v>24</v>
      </c>
      <c r="E326" s="19" t="s">
        <v>212</v>
      </c>
      <c r="F326" s="19"/>
      <c r="G326" s="20">
        <f>G329+G328+G327</f>
        <v>567.70000000000005</v>
      </c>
      <c r="H326" s="20">
        <f t="shared" ref="H326:I326" si="73">H329+H328+H327</f>
        <v>516.1</v>
      </c>
      <c r="I326" s="20">
        <f t="shared" si="73"/>
        <v>516.1</v>
      </c>
      <c r="J326" s="194"/>
      <c r="K326" s="194"/>
      <c r="L326" s="194"/>
      <c r="M326" s="194"/>
      <c r="N326" s="194"/>
      <c r="O326" s="194"/>
      <c r="P326" s="194"/>
      <c r="Q326" s="194"/>
    </row>
    <row r="327" spans="1:17" s="26" customFormat="1" ht="49.5" customHeight="1" x14ac:dyDescent="0.2">
      <c r="A327" s="23" t="s">
        <v>63</v>
      </c>
      <c r="B327" s="31">
        <v>911</v>
      </c>
      <c r="C327" s="24" t="s">
        <v>17</v>
      </c>
      <c r="D327" s="24" t="s">
        <v>24</v>
      </c>
      <c r="E327" s="24" t="s">
        <v>212</v>
      </c>
      <c r="F327" s="24" t="s">
        <v>64</v>
      </c>
      <c r="G327" s="25">
        <v>20.6</v>
      </c>
      <c r="H327" s="25">
        <v>20.6</v>
      </c>
      <c r="I327" s="25">
        <v>20.6</v>
      </c>
    </row>
    <row r="328" spans="1:17" s="26" customFormat="1" ht="25.5" x14ac:dyDescent="0.2">
      <c r="A328" s="28" t="s">
        <v>73</v>
      </c>
      <c r="B328" s="31">
        <v>911</v>
      </c>
      <c r="C328" s="24" t="s">
        <v>17</v>
      </c>
      <c r="D328" s="24" t="s">
        <v>24</v>
      </c>
      <c r="E328" s="24" t="s">
        <v>212</v>
      </c>
      <c r="F328" s="24" t="s">
        <v>65</v>
      </c>
      <c r="G328" s="25">
        <v>51.6</v>
      </c>
      <c r="H328" s="25"/>
      <c r="I328" s="25"/>
    </row>
    <row r="329" spans="1:17" s="26" customFormat="1" ht="25.5" x14ac:dyDescent="0.2">
      <c r="A329" s="28" t="s">
        <v>119</v>
      </c>
      <c r="B329" s="31">
        <v>911</v>
      </c>
      <c r="C329" s="24" t="s">
        <v>17</v>
      </c>
      <c r="D329" s="24" t="s">
        <v>24</v>
      </c>
      <c r="E329" s="24" t="s">
        <v>212</v>
      </c>
      <c r="F329" s="24" t="s">
        <v>62</v>
      </c>
      <c r="G329" s="25">
        <v>495.5</v>
      </c>
      <c r="H329" s="25">
        <v>495.5</v>
      </c>
      <c r="I329" s="25">
        <v>495.5</v>
      </c>
    </row>
    <row r="330" spans="1:17" ht="114.75" x14ac:dyDescent="0.2">
      <c r="A330" s="18" t="s">
        <v>337</v>
      </c>
      <c r="B330" s="22">
        <v>911</v>
      </c>
      <c r="C330" s="5" t="s">
        <v>17</v>
      </c>
      <c r="D330" s="5" t="s">
        <v>24</v>
      </c>
      <c r="E330" s="5" t="s">
        <v>103</v>
      </c>
      <c r="F330" s="19"/>
      <c r="G330" s="20">
        <f>G331+G332</f>
        <v>3542.8</v>
      </c>
      <c r="H330" s="20">
        <f>H331+H332</f>
        <v>3542.8</v>
      </c>
      <c r="I330" s="20">
        <f>I331+I332</f>
        <v>3542.8</v>
      </c>
      <c r="J330" s="101"/>
      <c r="K330" s="101"/>
      <c r="L330" s="101"/>
      <c r="M330" s="101"/>
      <c r="N330" s="101"/>
      <c r="O330" s="101"/>
      <c r="P330" s="101"/>
      <c r="Q330" s="101"/>
    </row>
    <row r="331" spans="1:17" s="26" customFormat="1" ht="51" customHeight="1" x14ac:dyDescent="0.2">
      <c r="A331" s="23" t="s">
        <v>63</v>
      </c>
      <c r="B331" s="31">
        <v>911</v>
      </c>
      <c r="C331" s="24" t="s">
        <v>17</v>
      </c>
      <c r="D331" s="24" t="s">
        <v>24</v>
      </c>
      <c r="E331" s="24" t="s">
        <v>103</v>
      </c>
      <c r="F331" s="27" t="s">
        <v>64</v>
      </c>
      <c r="G331" s="25">
        <f>2869.4+296.9</f>
        <v>3166.3</v>
      </c>
      <c r="H331" s="25">
        <f>2869.4+296.9</f>
        <v>3166.3</v>
      </c>
      <c r="I331" s="25">
        <f>2869.4+296.9</f>
        <v>3166.3</v>
      </c>
      <c r="J331" s="102"/>
      <c r="K331" s="102"/>
      <c r="L331" s="102"/>
      <c r="M331" s="102"/>
      <c r="N331" s="102"/>
      <c r="O331" s="102"/>
      <c r="P331" s="102"/>
      <c r="Q331" s="102"/>
    </row>
    <row r="332" spans="1:17" s="26" customFormat="1" ht="25.5" x14ac:dyDescent="0.2">
      <c r="A332" s="28" t="s">
        <v>73</v>
      </c>
      <c r="B332" s="50">
        <v>911</v>
      </c>
      <c r="C332" s="24" t="s">
        <v>17</v>
      </c>
      <c r="D332" s="24" t="s">
        <v>24</v>
      </c>
      <c r="E332" s="24" t="s">
        <v>103</v>
      </c>
      <c r="F332" s="27" t="s">
        <v>65</v>
      </c>
      <c r="G332" s="25">
        <v>376.5</v>
      </c>
      <c r="H332" s="25">
        <v>376.5</v>
      </c>
      <c r="I332" s="25">
        <v>376.5</v>
      </c>
    </row>
    <row r="333" spans="1:17" ht="25.5" x14ac:dyDescent="0.2">
      <c r="A333" s="18" t="s">
        <v>287</v>
      </c>
      <c r="B333" s="22">
        <v>911</v>
      </c>
      <c r="C333" s="19" t="s">
        <v>17</v>
      </c>
      <c r="D333" s="19" t="s">
        <v>24</v>
      </c>
      <c r="E333" s="19" t="s">
        <v>214</v>
      </c>
      <c r="F333" s="19"/>
      <c r="G333" s="20">
        <f>G334+G335</f>
        <v>4467.2</v>
      </c>
      <c r="H333" s="20">
        <f>H334+H335</f>
        <v>4407.2</v>
      </c>
      <c r="I333" s="20">
        <f>I334+I335</f>
        <v>4407.2</v>
      </c>
      <c r="J333" s="101"/>
      <c r="K333" s="101"/>
      <c r="L333" s="101"/>
      <c r="M333" s="101"/>
      <c r="N333" s="101"/>
      <c r="O333" s="101"/>
      <c r="P333" s="101"/>
      <c r="Q333" s="101"/>
    </row>
    <row r="334" spans="1:17" s="26" customFormat="1" ht="51" customHeight="1" x14ac:dyDescent="0.2">
      <c r="A334" s="23" t="s">
        <v>63</v>
      </c>
      <c r="B334" s="31">
        <v>911</v>
      </c>
      <c r="C334" s="24" t="s">
        <v>17</v>
      </c>
      <c r="D334" s="24" t="s">
        <v>24</v>
      </c>
      <c r="E334" s="24" t="s">
        <v>214</v>
      </c>
      <c r="F334" s="27" t="s">
        <v>64</v>
      </c>
      <c r="G334" s="25">
        <v>4427.2</v>
      </c>
      <c r="H334" s="25">
        <v>4407.2</v>
      </c>
      <c r="I334" s="25">
        <v>4407.2</v>
      </c>
      <c r="J334" s="102"/>
      <c r="K334" s="102"/>
      <c r="L334" s="102"/>
      <c r="M334" s="102"/>
      <c r="N334" s="102"/>
      <c r="O334" s="102"/>
      <c r="P334" s="102"/>
      <c r="Q334" s="102"/>
    </row>
    <row r="335" spans="1:17" s="26" customFormat="1" ht="25.5" x14ac:dyDescent="0.2">
      <c r="A335" s="28" t="s">
        <v>73</v>
      </c>
      <c r="B335" s="31">
        <v>911</v>
      </c>
      <c r="C335" s="24" t="s">
        <v>17</v>
      </c>
      <c r="D335" s="24" t="s">
        <v>24</v>
      </c>
      <c r="E335" s="24" t="s">
        <v>214</v>
      </c>
      <c r="F335" s="27" t="s">
        <v>65</v>
      </c>
      <c r="G335" s="25">
        <v>40</v>
      </c>
      <c r="H335" s="25"/>
      <c r="I335" s="25"/>
      <c r="J335" s="102"/>
      <c r="K335" s="102"/>
      <c r="L335" s="102"/>
      <c r="M335" s="102"/>
      <c r="N335" s="102"/>
      <c r="O335" s="102"/>
      <c r="P335" s="102"/>
      <c r="Q335" s="102"/>
    </row>
    <row r="336" spans="1:17" s="101" customFormat="1" ht="25.5" x14ac:dyDescent="0.2">
      <c r="A336" s="224" t="s">
        <v>287</v>
      </c>
      <c r="B336" s="225">
        <v>911</v>
      </c>
      <c r="C336" s="226" t="s">
        <v>17</v>
      </c>
      <c r="D336" s="226" t="s">
        <v>24</v>
      </c>
      <c r="E336" s="226" t="s">
        <v>215</v>
      </c>
      <c r="F336" s="226"/>
      <c r="G336" s="190">
        <f>G337</f>
        <v>22781.300000000003</v>
      </c>
      <c r="H336" s="190">
        <f>H337</f>
        <v>21478.7</v>
      </c>
      <c r="I336" s="190">
        <f>I337</f>
        <v>21108.5</v>
      </c>
    </row>
    <row r="337" spans="1:17" s="102" customFormat="1" ht="25.5" x14ac:dyDescent="0.2">
      <c r="A337" s="230" t="s">
        <v>119</v>
      </c>
      <c r="B337" s="227">
        <v>911</v>
      </c>
      <c r="C337" s="228" t="s">
        <v>17</v>
      </c>
      <c r="D337" s="228" t="s">
        <v>24</v>
      </c>
      <c r="E337" s="228" t="s">
        <v>215</v>
      </c>
      <c r="F337" s="228" t="s">
        <v>62</v>
      </c>
      <c r="G337" s="189">
        <f>22764.4-63.1+80</f>
        <v>22781.300000000003</v>
      </c>
      <c r="H337" s="189">
        <v>21478.7</v>
      </c>
      <c r="I337" s="189">
        <v>21108.5</v>
      </c>
    </row>
    <row r="338" spans="1:17" ht="25.5" x14ac:dyDescent="0.2">
      <c r="A338" s="18" t="s">
        <v>287</v>
      </c>
      <c r="B338" s="22">
        <v>911</v>
      </c>
      <c r="C338" s="19" t="s">
        <v>17</v>
      </c>
      <c r="D338" s="19" t="s">
        <v>24</v>
      </c>
      <c r="E338" s="19" t="s">
        <v>216</v>
      </c>
      <c r="F338" s="19"/>
      <c r="G338" s="20">
        <f>G339+G340+G341+G342</f>
        <v>37203.4</v>
      </c>
      <c r="H338" s="20">
        <f>H339+H340+H341+H342</f>
        <v>30299.8</v>
      </c>
      <c r="I338" s="20">
        <f>I339+I340+I341+I342</f>
        <v>29970.699999999997</v>
      </c>
      <c r="J338" s="194"/>
      <c r="K338" s="194"/>
      <c r="L338" s="194"/>
      <c r="M338" s="194"/>
      <c r="N338" s="194"/>
      <c r="O338" s="194"/>
      <c r="P338" s="194"/>
      <c r="Q338" s="194"/>
    </row>
    <row r="339" spans="1:17" s="26" customFormat="1" ht="51.75" customHeight="1" x14ac:dyDescent="0.2">
      <c r="A339" s="30" t="s">
        <v>63</v>
      </c>
      <c r="B339" s="32">
        <v>911</v>
      </c>
      <c r="C339" s="24" t="s">
        <v>17</v>
      </c>
      <c r="D339" s="24" t="s">
        <v>24</v>
      </c>
      <c r="E339" s="24" t="s">
        <v>216</v>
      </c>
      <c r="F339" s="27" t="s">
        <v>64</v>
      </c>
      <c r="G339" s="25">
        <f>22345.2-7330</f>
        <v>15015.2</v>
      </c>
      <c r="H339" s="25">
        <f>22342.1-10249.2</f>
        <v>12092.899999999998</v>
      </c>
      <c r="I339" s="25">
        <f>22342.1-10249.2</f>
        <v>12092.899999999998</v>
      </c>
      <c r="J339" s="102"/>
      <c r="K339" s="102"/>
      <c r="L339" s="102"/>
      <c r="M339" s="102"/>
      <c r="N339" s="102"/>
      <c r="O339" s="102"/>
      <c r="P339" s="102"/>
      <c r="Q339" s="102"/>
    </row>
    <row r="340" spans="1:17" s="26" customFormat="1" ht="25.5" x14ac:dyDescent="0.2">
      <c r="A340" s="28" t="s">
        <v>73</v>
      </c>
      <c r="B340" s="32">
        <v>911</v>
      </c>
      <c r="C340" s="24" t="s">
        <v>17</v>
      </c>
      <c r="D340" s="24" t="s">
        <v>24</v>
      </c>
      <c r="E340" s="24" t="s">
        <v>216</v>
      </c>
      <c r="F340" s="27" t="s">
        <v>65</v>
      </c>
      <c r="G340" s="25">
        <f>4455.2-120-1698.8</f>
        <v>2636.3999999999996</v>
      </c>
      <c r="H340" s="25">
        <f>2052.9-2052.9</f>
        <v>0</v>
      </c>
      <c r="I340" s="25">
        <f>1199.6-1199.6</f>
        <v>0</v>
      </c>
      <c r="J340" s="102"/>
      <c r="K340" s="102"/>
      <c r="L340" s="102"/>
      <c r="M340" s="102"/>
      <c r="N340" s="102"/>
      <c r="O340" s="102"/>
      <c r="P340" s="102"/>
      <c r="Q340" s="102"/>
    </row>
    <row r="341" spans="1:17" s="102" customFormat="1" ht="25.5" x14ac:dyDescent="0.2">
      <c r="A341" s="230" t="s">
        <v>119</v>
      </c>
      <c r="B341" s="227">
        <v>911</v>
      </c>
      <c r="C341" s="228" t="s">
        <v>17</v>
      </c>
      <c r="D341" s="228" t="s">
        <v>24</v>
      </c>
      <c r="E341" s="228" t="s">
        <v>216</v>
      </c>
      <c r="F341" s="228" t="s">
        <v>62</v>
      </c>
      <c r="G341" s="189">
        <f>19500.5-184.8+195</f>
        <v>19510.7</v>
      </c>
      <c r="H341" s="189">
        <v>18206.900000000001</v>
      </c>
      <c r="I341" s="189">
        <v>17877.8</v>
      </c>
    </row>
    <row r="342" spans="1:17" s="26" customFormat="1" x14ac:dyDescent="0.2">
      <c r="A342" s="28" t="s">
        <v>69</v>
      </c>
      <c r="B342" s="31">
        <v>911</v>
      </c>
      <c r="C342" s="24" t="s">
        <v>17</v>
      </c>
      <c r="D342" s="24" t="s">
        <v>24</v>
      </c>
      <c r="E342" s="24" t="s">
        <v>216</v>
      </c>
      <c r="F342" s="24" t="s">
        <v>70</v>
      </c>
      <c r="G342" s="25">
        <f>54.8-13.7</f>
        <v>41.099999999999994</v>
      </c>
      <c r="H342" s="25"/>
      <c r="I342" s="25"/>
      <c r="J342" s="102"/>
      <c r="K342" s="102"/>
      <c r="L342" s="102"/>
      <c r="M342" s="102"/>
      <c r="N342" s="102"/>
      <c r="O342" s="102"/>
      <c r="P342" s="102"/>
      <c r="Q342" s="102"/>
    </row>
    <row r="343" spans="1:17" s="89" customFormat="1" x14ac:dyDescent="0.2">
      <c r="A343" s="88" t="s">
        <v>49</v>
      </c>
      <c r="B343" s="57">
        <v>911</v>
      </c>
      <c r="C343" s="58" t="s">
        <v>48</v>
      </c>
      <c r="D343" s="58"/>
      <c r="E343" s="58"/>
      <c r="F343" s="58"/>
      <c r="G343" s="61">
        <f>G344+G359</f>
        <v>58838.9</v>
      </c>
      <c r="H343" s="61">
        <f t="shared" ref="H343:I343" si="74">H344+H359</f>
        <v>59143.9</v>
      </c>
      <c r="I343" s="61">
        <f t="shared" si="74"/>
        <v>59163.9</v>
      </c>
      <c r="J343" s="61" t="e">
        <f>J344+J359+#REF!</f>
        <v>#REF!</v>
      </c>
      <c r="K343" s="61" t="e">
        <f>K344+K359+#REF!</f>
        <v>#REF!</v>
      </c>
      <c r="L343" s="61" t="e">
        <f>L344+L359+#REF!</f>
        <v>#REF!</v>
      </c>
      <c r="M343" s="61" t="e">
        <f>M344+M359+#REF!</f>
        <v>#REF!</v>
      </c>
      <c r="N343" s="61" t="e">
        <f>N344+N359+#REF!</f>
        <v>#REF!</v>
      </c>
      <c r="O343" s="61" t="e">
        <f>O344+O359+#REF!</f>
        <v>#REF!</v>
      </c>
      <c r="P343" s="61" t="e">
        <f>P344+P359+#REF!</f>
        <v>#REF!</v>
      </c>
      <c r="Q343" s="61" t="e">
        <f>Q344+Q359+#REF!</f>
        <v>#REF!</v>
      </c>
    </row>
    <row r="344" spans="1:17" s="67" customFormat="1" x14ac:dyDescent="0.2">
      <c r="A344" s="63" t="s">
        <v>52</v>
      </c>
      <c r="B344" s="64">
        <v>911</v>
      </c>
      <c r="C344" s="65" t="s">
        <v>48</v>
      </c>
      <c r="D344" s="65" t="s">
        <v>14</v>
      </c>
      <c r="E344" s="65"/>
      <c r="F344" s="65"/>
      <c r="G344" s="66">
        <f>G345+G350+G348+G355+G357+G352</f>
        <v>11136.4</v>
      </c>
      <c r="H344" s="66">
        <f t="shared" ref="H344:I344" si="75">H345+H350+H348+H355+H357+H352</f>
        <v>11336.4</v>
      </c>
      <c r="I344" s="66">
        <f t="shared" si="75"/>
        <v>11336.4</v>
      </c>
    </row>
    <row r="345" spans="1:17" s="21" customFormat="1" ht="24.75" customHeight="1" x14ac:dyDescent="0.2">
      <c r="A345" s="18" t="s">
        <v>298</v>
      </c>
      <c r="B345" s="22">
        <v>911</v>
      </c>
      <c r="C345" s="19" t="s">
        <v>48</v>
      </c>
      <c r="D345" s="19" t="s">
        <v>14</v>
      </c>
      <c r="E345" s="19" t="s">
        <v>81</v>
      </c>
      <c r="F345" s="19"/>
      <c r="G345" s="20">
        <f>G347+G346</f>
        <v>1368</v>
      </c>
      <c r="H345" s="20">
        <f>H347+H346</f>
        <v>1368</v>
      </c>
      <c r="I345" s="20">
        <f>I347+I346</f>
        <v>1368</v>
      </c>
    </row>
    <row r="346" spans="1:17" s="21" customFormat="1" x14ac:dyDescent="0.2">
      <c r="A346" s="52" t="s">
        <v>66</v>
      </c>
      <c r="B346" s="23">
        <v>911</v>
      </c>
      <c r="C346" s="24" t="s">
        <v>48</v>
      </c>
      <c r="D346" s="24" t="s">
        <v>14</v>
      </c>
      <c r="E346" s="24" t="s">
        <v>81</v>
      </c>
      <c r="F346" s="27" t="s">
        <v>67</v>
      </c>
      <c r="G346" s="25">
        <v>26.7</v>
      </c>
      <c r="H346" s="25">
        <v>26.7</v>
      </c>
      <c r="I346" s="25">
        <v>26.7</v>
      </c>
    </row>
    <row r="347" spans="1:17" s="26" customFormat="1" ht="25.5" x14ac:dyDescent="0.2">
      <c r="A347" s="28" t="s">
        <v>119</v>
      </c>
      <c r="B347" s="31">
        <v>911</v>
      </c>
      <c r="C347" s="24" t="s">
        <v>48</v>
      </c>
      <c r="D347" s="24" t="s">
        <v>14</v>
      </c>
      <c r="E347" s="24" t="s">
        <v>81</v>
      </c>
      <c r="F347" s="24" t="s">
        <v>62</v>
      </c>
      <c r="G347" s="25">
        <f>1271.3+70</f>
        <v>1341.3</v>
      </c>
      <c r="H347" s="25">
        <f>1271.3+70</f>
        <v>1341.3</v>
      </c>
      <c r="I347" s="25">
        <f>1271.3+70</f>
        <v>1341.3</v>
      </c>
    </row>
    <row r="348" spans="1:17" s="21" customFormat="1" ht="51" x14ac:dyDescent="0.2">
      <c r="A348" s="18" t="s">
        <v>217</v>
      </c>
      <c r="B348" s="22">
        <v>911</v>
      </c>
      <c r="C348" s="19" t="s">
        <v>48</v>
      </c>
      <c r="D348" s="19" t="s">
        <v>14</v>
      </c>
      <c r="E348" s="19" t="s">
        <v>106</v>
      </c>
      <c r="F348" s="19"/>
      <c r="G348" s="20">
        <f>G349</f>
        <v>207</v>
      </c>
      <c r="H348" s="20">
        <f>H349</f>
        <v>207</v>
      </c>
      <c r="I348" s="20">
        <f>I349</f>
        <v>207</v>
      </c>
    </row>
    <row r="349" spans="1:17" s="26" customFormat="1" x14ac:dyDescent="0.2">
      <c r="A349" s="52" t="s">
        <v>66</v>
      </c>
      <c r="B349" s="31">
        <v>911</v>
      </c>
      <c r="C349" s="24" t="s">
        <v>48</v>
      </c>
      <c r="D349" s="24" t="s">
        <v>14</v>
      </c>
      <c r="E349" s="24" t="s">
        <v>106</v>
      </c>
      <c r="F349" s="29">
        <v>300</v>
      </c>
      <c r="G349" s="25">
        <v>207</v>
      </c>
      <c r="H349" s="25">
        <v>207</v>
      </c>
      <c r="I349" s="25">
        <v>207</v>
      </c>
    </row>
    <row r="350" spans="1:17" s="21" customFormat="1" ht="38.25" x14ac:dyDescent="0.2">
      <c r="A350" s="46" t="s">
        <v>218</v>
      </c>
      <c r="B350" s="22">
        <v>911</v>
      </c>
      <c r="C350" s="19" t="s">
        <v>48</v>
      </c>
      <c r="D350" s="19" t="s">
        <v>14</v>
      </c>
      <c r="E350" s="19" t="s">
        <v>105</v>
      </c>
      <c r="F350" s="19"/>
      <c r="G350" s="20">
        <f>G351</f>
        <v>570</v>
      </c>
      <c r="H350" s="20">
        <f>H351</f>
        <v>570</v>
      </c>
      <c r="I350" s="20">
        <f>I351</f>
        <v>570</v>
      </c>
    </row>
    <row r="351" spans="1:17" s="26" customFormat="1" x14ac:dyDescent="0.2">
      <c r="A351" s="52" t="s">
        <v>66</v>
      </c>
      <c r="B351" s="31">
        <v>911</v>
      </c>
      <c r="C351" s="24" t="s">
        <v>48</v>
      </c>
      <c r="D351" s="24" t="s">
        <v>14</v>
      </c>
      <c r="E351" s="24" t="s">
        <v>105</v>
      </c>
      <c r="F351" s="24" t="s">
        <v>67</v>
      </c>
      <c r="G351" s="25">
        <v>570</v>
      </c>
      <c r="H351" s="25">
        <v>570</v>
      </c>
      <c r="I351" s="25">
        <v>570</v>
      </c>
    </row>
    <row r="352" spans="1:17" ht="25.5" x14ac:dyDescent="0.2">
      <c r="A352" s="46" t="s">
        <v>219</v>
      </c>
      <c r="B352" s="220" t="s">
        <v>111</v>
      </c>
      <c r="C352" s="19" t="s">
        <v>48</v>
      </c>
      <c r="D352" s="19" t="s">
        <v>14</v>
      </c>
      <c r="E352" s="19" t="s">
        <v>112</v>
      </c>
      <c r="F352" s="19"/>
      <c r="G352" s="20">
        <f>G354+G353</f>
        <v>2005</v>
      </c>
      <c r="H352" s="20">
        <f>H354+H353</f>
        <v>2005</v>
      </c>
      <c r="I352" s="20">
        <f>I354+I353</f>
        <v>2005</v>
      </c>
      <c r="J352" s="101"/>
      <c r="K352" s="101"/>
      <c r="L352" s="101"/>
      <c r="M352" s="101"/>
      <c r="N352" s="101"/>
      <c r="O352" s="101"/>
      <c r="P352" s="101"/>
      <c r="Q352" s="101"/>
    </row>
    <row r="353" spans="1:24" ht="25.5" x14ac:dyDescent="0.2">
      <c r="A353" s="28" t="s">
        <v>73</v>
      </c>
      <c r="B353" s="23">
        <v>911</v>
      </c>
      <c r="C353" s="24" t="s">
        <v>48</v>
      </c>
      <c r="D353" s="24" t="s">
        <v>14</v>
      </c>
      <c r="E353" s="24" t="s">
        <v>112</v>
      </c>
      <c r="F353" s="27" t="s">
        <v>65</v>
      </c>
      <c r="G353" s="25">
        <v>325</v>
      </c>
      <c r="H353" s="25">
        <v>325</v>
      </c>
      <c r="I353" s="25">
        <v>325</v>
      </c>
      <c r="J353" s="101"/>
      <c r="K353" s="101"/>
      <c r="L353" s="101"/>
      <c r="M353" s="101"/>
      <c r="N353" s="101"/>
      <c r="O353" s="101"/>
      <c r="P353" s="101"/>
      <c r="Q353" s="101"/>
    </row>
    <row r="354" spans="1:24" ht="25.5" x14ac:dyDescent="0.2">
      <c r="A354" s="28" t="s">
        <v>119</v>
      </c>
      <c r="B354" s="28">
        <v>911</v>
      </c>
      <c r="C354" s="24" t="s">
        <v>48</v>
      </c>
      <c r="D354" s="24" t="s">
        <v>14</v>
      </c>
      <c r="E354" s="24" t="s">
        <v>112</v>
      </c>
      <c r="F354" s="24" t="s">
        <v>62</v>
      </c>
      <c r="G354" s="25">
        <f>1576+104</f>
        <v>1680</v>
      </c>
      <c r="H354" s="25">
        <f>1576+104</f>
        <v>1680</v>
      </c>
      <c r="I354" s="25">
        <f>1576+104</f>
        <v>1680</v>
      </c>
      <c r="J354" s="101"/>
      <c r="K354" s="101"/>
      <c r="L354" s="101"/>
      <c r="M354" s="101"/>
      <c r="N354" s="101"/>
      <c r="O354" s="101"/>
      <c r="P354" s="101"/>
      <c r="Q354" s="101"/>
    </row>
    <row r="355" spans="1:24" ht="78" customHeight="1" x14ac:dyDescent="0.2">
      <c r="A355" s="18" t="s">
        <v>346</v>
      </c>
      <c r="B355" s="22">
        <v>911</v>
      </c>
      <c r="C355" s="19" t="s">
        <v>48</v>
      </c>
      <c r="D355" s="19" t="s">
        <v>14</v>
      </c>
      <c r="E355" s="19" t="s">
        <v>107</v>
      </c>
      <c r="F355" s="19"/>
      <c r="G355" s="20">
        <f>G356</f>
        <v>125.89999999999998</v>
      </c>
      <c r="H355" s="20">
        <f>H356</f>
        <v>325.89999999999998</v>
      </c>
      <c r="I355" s="20">
        <f>I356</f>
        <v>325.89999999999998</v>
      </c>
      <c r="J355" s="101"/>
      <c r="K355" s="101"/>
      <c r="L355" s="101"/>
      <c r="M355" s="101"/>
      <c r="N355" s="101"/>
      <c r="O355" s="101"/>
      <c r="P355" s="101"/>
      <c r="Q355" s="101"/>
    </row>
    <row r="356" spans="1:24" s="26" customFormat="1" x14ac:dyDescent="0.2">
      <c r="A356" s="28" t="s">
        <v>66</v>
      </c>
      <c r="B356" s="31">
        <v>911</v>
      </c>
      <c r="C356" s="24" t="s">
        <v>48</v>
      </c>
      <c r="D356" s="24" t="s">
        <v>14</v>
      </c>
      <c r="E356" s="24" t="s">
        <v>107</v>
      </c>
      <c r="F356" s="24" t="s">
        <v>67</v>
      </c>
      <c r="G356" s="25">
        <f>326-0.1-200</f>
        <v>125.89999999999998</v>
      </c>
      <c r="H356" s="25">
        <f>326-0.1</f>
        <v>325.89999999999998</v>
      </c>
      <c r="I356" s="25">
        <v>325.89999999999998</v>
      </c>
      <c r="J356" s="102"/>
      <c r="K356" s="102"/>
      <c r="L356" s="102"/>
      <c r="M356" s="102"/>
      <c r="N356" s="102"/>
      <c r="O356" s="102"/>
      <c r="P356" s="102"/>
      <c r="Q356" s="102"/>
    </row>
    <row r="357" spans="1:24" s="21" customFormat="1" ht="51" x14ac:dyDescent="0.2">
      <c r="A357" s="18" t="s">
        <v>220</v>
      </c>
      <c r="B357" s="22">
        <v>911</v>
      </c>
      <c r="C357" s="19" t="s">
        <v>48</v>
      </c>
      <c r="D357" s="19" t="s">
        <v>14</v>
      </c>
      <c r="E357" s="19" t="s">
        <v>578</v>
      </c>
      <c r="F357" s="19"/>
      <c r="G357" s="20">
        <f>G358</f>
        <v>6860.5</v>
      </c>
      <c r="H357" s="20">
        <f>H358</f>
        <v>6860.5</v>
      </c>
      <c r="I357" s="20">
        <f>I358</f>
        <v>6860.5</v>
      </c>
    </row>
    <row r="358" spans="1:24" s="26" customFormat="1" ht="25.5" x14ac:dyDescent="0.2">
      <c r="A358" s="28" t="s">
        <v>119</v>
      </c>
      <c r="B358" s="31">
        <v>911</v>
      </c>
      <c r="C358" s="24" t="s">
        <v>48</v>
      </c>
      <c r="D358" s="24" t="s">
        <v>14</v>
      </c>
      <c r="E358" s="24" t="s">
        <v>578</v>
      </c>
      <c r="F358" s="24" t="s">
        <v>62</v>
      </c>
      <c r="G358" s="25">
        <v>6860.5</v>
      </c>
      <c r="H358" s="25">
        <v>6860.5</v>
      </c>
      <c r="I358" s="25">
        <v>6860.5</v>
      </c>
    </row>
    <row r="359" spans="1:24" s="67" customFormat="1" x14ac:dyDescent="0.2">
      <c r="A359" s="63" t="s">
        <v>53</v>
      </c>
      <c r="B359" s="64">
        <v>911</v>
      </c>
      <c r="C359" s="65" t="s">
        <v>48</v>
      </c>
      <c r="D359" s="65" t="s">
        <v>16</v>
      </c>
      <c r="E359" s="65"/>
      <c r="F359" s="65"/>
      <c r="G359" s="66">
        <f>G360+G362+G368+G372+G374+G366+G370</f>
        <v>47702.5</v>
      </c>
      <c r="H359" s="66">
        <f t="shared" ref="H359:I359" si="76">H360+H362+H368+H372+H374+H366+H370</f>
        <v>47807.5</v>
      </c>
      <c r="I359" s="66">
        <f t="shared" si="76"/>
        <v>47827.5</v>
      </c>
    </row>
    <row r="360" spans="1:24" s="21" customFormat="1" ht="38.25" x14ac:dyDescent="0.2">
      <c r="A360" s="18" t="s">
        <v>221</v>
      </c>
      <c r="B360" s="22">
        <v>911</v>
      </c>
      <c r="C360" s="19" t="s">
        <v>48</v>
      </c>
      <c r="D360" s="19" t="s">
        <v>16</v>
      </c>
      <c r="E360" s="19" t="s">
        <v>110</v>
      </c>
      <c r="F360" s="19"/>
      <c r="G360" s="20">
        <f>G361</f>
        <v>1200</v>
      </c>
      <c r="H360" s="20">
        <f>H361</f>
        <v>1310</v>
      </c>
      <c r="I360" s="20">
        <f>I361</f>
        <v>1330</v>
      </c>
    </row>
    <row r="361" spans="1:24" s="26" customFormat="1" x14ac:dyDescent="0.2">
      <c r="A361" s="28" t="s">
        <v>66</v>
      </c>
      <c r="B361" s="31">
        <v>911</v>
      </c>
      <c r="C361" s="24" t="s">
        <v>48</v>
      </c>
      <c r="D361" s="24" t="s">
        <v>16</v>
      </c>
      <c r="E361" s="24" t="s">
        <v>110</v>
      </c>
      <c r="F361" s="24" t="s">
        <v>67</v>
      </c>
      <c r="G361" s="25">
        <v>1200</v>
      </c>
      <c r="H361" s="25">
        <v>1310</v>
      </c>
      <c r="I361" s="25">
        <v>1330</v>
      </c>
    </row>
    <row r="362" spans="1:24" ht="38.25" customHeight="1" x14ac:dyDescent="0.2">
      <c r="A362" s="18" t="s">
        <v>222</v>
      </c>
      <c r="B362" s="22">
        <v>911</v>
      </c>
      <c r="C362" s="19" t="s">
        <v>48</v>
      </c>
      <c r="D362" s="19" t="s">
        <v>16</v>
      </c>
      <c r="E362" s="19" t="s">
        <v>108</v>
      </c>
      <c r="F362" s="19"/>
      <c r="G362" s="20">
        <f>G364+G365+G363</f>
        <v>2260.1</v>
      </c>
      <c r="H362" s="20">
        <f>H364+H365+H363</f>
        <v>2260.1000000000004</v>
      </c>
      <c r="I362" s="20">
        <f>I364+I365+I363</f>
        <v>2260.1000000000004</v>
      </c>
      <c r="J362" s="101"/>
      <c r="K362" s="101"/>
      <c r="L362" s="101"/>
      <c r="M362" s="101"/>
      <c r="N362" s="101"/>
      <c r="O362" s="101"/>
      <c r="P362" s="101"/>
      <c r="Q362" s="101"/>
    </row>
    <row r="363" spans="1:24" s="26" customFormat="1" ht="25.5" x14ac:dyDescent="0.2">
      <c r="A363" s="28" t="s">
        <v>73</v>
      </c>
      <c r="B363" s="32">
        <v>911</v>
      </c>
      <c r="C363" s="24" t="s">
        <v>48</v>
      </c>
      <c r="D363" s="24" t="s">
        <v>16</v>
      </c>
      <c r="E363" s="24" t="s">
        <v>108</v>
      </c>
      <c r="F363" s="27" t="s">
        <v>65</v>
      </c>
      <c r="G363" s="25">
        <f>1.8+15.66492</f>
        <v>17.464919999999999</v>
      </c>
      <c r="H363" s="25">
        <v>1.8</v>
      </c>
      <c r="I363" s="25">
        <v>1.8</v>
      </c>
      <c r="J363" s="102"/>
      <c r="K363" s="102"/>
      <c r="L363" s="102"/>
      <c r="M363" s="102"/>
      <c r="N363" s="102"/>
      <c r="O363" s="102"/>
      <c r="P363" s="102"/>
      <c r="Q363" s="102"/>
    </row>
    <row r="364" spans="1:24" s="26" customFormat="1" x14ac:dyDescent="0.2">
      <c r="A364" s="52" t="s">
        <v>66</v>
      </c>
      <c r="B364" s="31">
        <v>911</v>
      </c>
      <c r="C364" s="24" t="s">
        <v>48</v>
      </c>
      <c r="D364" s="24" t="s">
        <v>16</v>
      </c>
      <c r="E364" s="24" t="s">
        <v>108</v>
      </c>
      <c r="F364" s="29">
        <v>300</v>
      </c>
      <c r="G364" s="25">
        <f>360+1434.22235</f>
        <v>1794.22235</v>
      </c>
      <c r="H364" s="25">
        <v>360</v>
      </c>
      <c r="I364" s="25">
        <v>360</v>
      </c>
      <c r="J364" s="102"/>
      <c r="K364" s="102"/>
      <c r="L364" s="102"/>
      <c r="M364" s="102"/>
      <c r="N364" s="102"/>
      <c r="O364" s="102"/>
      <c r="P364" s="102"/>
      <c r="Q364" s="102"/>
    </row>
    <row r="365" spans="1:24" s="26" customFormat="1" ht="25.5" x14ac:dyDescent="0.2">
      <c r="A365" s="28" t="s">
        <v>119</v>
      </c>
      <c r="B365" s="31">
        <v>911</v>
      </c>
      <c r="C365" s="24" t="s">
        <v>48</v>
      </c>
      <c r="D365" s="24" t="s">
        <v>16</v>
      </c>
      <c r="E365" s="24" t="s">
        <v>108</v>
      </c>
      <c r="F365" s="24" t="s">
        <v>62</v>
      </c>
      <c r="G365" s="25">
        <f>1898.3-1449.88727</f>
        <v>448.41273000000001</v>
      </c>
      <c r="H365" s="25">
        <v>1898.3</v>
      </c>
      <c r="I365" s="25">
        <v>1898.3</v>
      </c>
      <c r="J365" s="102"/>
      <c r="K365" s="102"/>
      <c r="L365" s="102"/>
      <c r="M365" s="102"/>
      <c r="N365" s="102"/>
      <c r="O365" s="102"/>
      <c r="P365" s="102"/>
      <c r="Q365" s="102"/>
    </row>
    <row r="366" spans="1:24" s="21" customFormat="1" ht="29.25" customHeight="1" x14ac:dyDescent="0.2">
      <c r="A366" s="53" t="s">
        <v>341</v>
      </c>
      <c r="B366" s="22">
        <v>911</v>
      </c>
      <c r="C366" s="19" t="s">
        <v>48</v>
      </c>
      <c r="D366" s="19" t="s">
        <v>16</v>
      </c>
      <c r="E366" s="19" t="s">
        <v>340</v>
      </c>
      <c r="F366" s="19"/>
      <c r="G366" s="20">
        <f>G367</f>
        <v>5</v>
      </c>
      <c r="H366" s="20">
        <f>H367</f>
        <v>0</v>
      </c>
      <c r="I366" s="20">
        <f>I367</f>
        <v>0</v>
      </c>
    </row>
    <row r="367" spans="1:24" s="26" customFormat="1" x14ac:dyDescent="0.2">
      <c r="A367" s="28" t="s">
        <v>66</v>
      </c>
      <c r="B367" s="31">
        <v>911</v>
      </c>
      <c r="C367" s="24" t="s">
        <v>48</v>
      </c>
      <c r="D367" s="24" t="s">
        <v>16</v>
      </c>
      <c r="E367" s="24" t="s">
        <v>340</v>
      </c>
      <c r="F367" s="24" t="s">
        <v>67</v>
      </c>
      <c r="G367" s="25">
        <v>5</v>
      </c>
      <c r="H367" s="25"/>
      <c r="I367" s="25"/>
    </row>
    <row r="368" spans="1:24" ht="112.5" customHeight="1" x14ac:dyDescent="0.2">
      <c r="A368" s="53" t="s">
        <v>343</v>
      </c>
      <c r="B368" s="22">
        <v>911</v>
      </c>
      <c r="C368" s="19" t="s">
        <v>48</v>
      </c>
      <c r="D368" s="19" t="s">
        <v>16</v>
      </c>
      <c r="E368" s="19" t="s">
        <v>109</v>
      </c>
      <c r="F368" s="19"/>
      <c r="G368" s="20">
        <f>G369</f>
        <v>39680</v>
      </c>
      <c r="H368" s="20">
        <f>H369</f>
        <v>39680</v>
      </c>
      <c r="I368" s="20">
        <f>I369</f>
        <v>39680</v>
      </c>
      <c r="J368" s="101"/>
      <c r="K368" s="101"/>
      <c r="L368" s="101"/>
      <c r="M368" s="101"/>
      <c r="N368" s="101"/>
      <c r="O368" s="101"/>
      <c r="P368" s="101"/>
      <c r="Q368" s="101"/>
      <c r="S368" s="257"/>
      <c r="T368" s="257"/>
      <c r="U368" s="257"/>
      <c r="V368" s="257"/>
      <c r="W368" s="257"/>
      <c r="X368" s="257"/>
    </row>
    <row r="369" spans="1:22" s="26" customFormat="1" x14ac:dyDescent="0.2">
      <c r="A369" s="28" t="s">
        <v>66</v>
      </c>
      <c r="B369" s="31">
        <v>911</v>
      </c>
      <c r="C369" s="24" t="s">
        <v>48</v>
      </c>
      <c r="D369" s="24" t="s">
        <v>16</v>
      </c>
      <c r="E369" s="24" t="s">
        <v>109</v>
      </c>
      <c r="F369" s="24" t="s">
        <v>67</v>
      </c>
      <c r="G369" s="25">
        <v>39680</v>
      </c>
      <c r="H369" s="25">
        <v>39680</v>
      </c>
      <c r="I369" s="25">
        <v>39680</v>
      </c>
      <c r="J369" s="102"/>
      <c r="K369" s="102"/>
      <c r="L369" s="102"/>
      <c r="M369" s="102"/>
      <c r="N369" s="102"/>
      <c r="O369" s="102"/>
      <c r="P369" s="102"/>
      <c r="Q369" s="102"/>
    </row>
    <row r="370" spans="1:22" ht="99" customHeight="1" x14ac:dyDescent="0.2">
      <c r="A370" s="53" t="s">
        <v>651</v>
      </c>
      <c r="B370" s="22">
        <v>911</v>
      </c>
      <c r="C370" s="19" t="s">
        <v>48</v>
      </c>
      <c r="D370" s="19" t="s">
        <v>16</v>
      </c>
      <c r="E370" s="19" t="s">
        <v>342</v>
      </c>
      <c r="F370" s="19"/>
      <c r="G370" s="20">
        <f>G371</f>
        <v>250</v>
      </c>
      <c r="H370" s="20">
        <f>H371</f>
        <v>250</v>
      </c>
      <c r="I370" s="20">
        <f>I371</f>
        <v>250</v>
      </c>
      <c r="J370" s="101"/>
      <c r="K370" s="101"/>
      <c r="L370" s="101"/>
      <c r="M370" s="101"/>
      <c r="N370" s="101"/>
      <c r="O370" s="101"/>
      <c r="P370" s="101"/>
      <c r="Q370" s="101"/>
    </row>
    <row r="371" spans="1:22" s="26" customFormat="1" x14ac:dyDescent="0.2">
      <c r="A371" s="28" t="s">
        <v>66</v>
      </c>
      <c r="B371" s="31">
        <v>911</v>
      </c>
      <c r="C371" s="24" t="s">
        <v>48</v>
      </c>
      <c r="D371" s="24" t="s">
        <v>16</v>
      </c>
      <c r="E371" s="24" t="s">
        <v>342</v>
      </c>
      <c r="F371" s="24" t="s">
        <v>67</v>
      </c>
      <c r="G371" s="25">
        <v>250</v>
      </c>
      <c r="H371" s="25">
        <v>250</v>
      </c>
      <c r="I371" s="25">
        <v>250</v>
      </c>
      <c r="J371" s="102"/>
      <c r="K371" s="102"/>
      <c r="L371" s="102"/>
      <c r="M371" s="102"/>
      <c r="N371" s="102"/>
      <c r="O371" s="102"/>
      <c r="P371" s="102"/>
      <c r="Q371" s="102"/>
    </row>
    <row r="372" spans="1:22" s="21" customFormat="1" ht="38.25" x14ac:dyDescent="0.2">
      <c r="A372" s="18" t="s">
        <v>333</v>
      </c>
      <c r="B372" s="22">
        <v>911</v>
      </c>
      <c r="C372" s="19" t="s">
        <v>48</v>
      </c>
      <c r="D372" s="19" t="s">
        <v>16</v>
      </c>
      <c r="E372" s="19" t="s">
        <v>334</v>
      </c>
      <c r="F372" s="19"/>
      <c r="G372" s="20">
        <f>G373</f>
        <v>2957.1</v>
      </c>
      <c r="H372" s="20">
        <f>H373</f>
        <v>2957.1</v>
      </c>
      <c r="I372" s="20">
        <f>I373</f>
        <v>2957.1</v>
      </c>
    </row>
    <row r="373" spans="1:22" s="26" customFormat="1" ht="25.5" x14ac:dyDescent="0.2">
      <c r="A373" s="80" t="s">
        <v>119</v>
      </c>
      <c r="B373" s="31">
        <v>911</v>
      </c>
      <c r="C373" s="24" t="s">
        <v>48</v>
      </c>
      <c r="D373" s="24" t="s">
        <v>16</v>
      </c>
      <c r="E373" s="24" t="s">
        <v>334</v>
      </c>
      <c r="F373" s="24" t="s">
        <v>62</v>
      </c>
      <c r="G373" s="25">
        <v>2957.1</v>
      </c>
      <c r="H373" s="25">
        <v>2957.1</v>
      </c>
      <c r="I373" s="25">
        <v>2957.1</v>
      </c>
    </row>
    <row r="374" spans="1:22" s="21" customFormat="1" ht="38.25" x14ac:dyDescent="0.2">
      <c r="A374" s="18" t="s">
        <v>332</v>
      </c>
      <c r="B374" s="22">
        <v>911</v>
      </c>
      <c r="C374" s="19" t="s">
        <v>48</v>
      </c>
      <c r="D374" s="19" t="s">
        <v>16</v>
      </c>
      <c r="E374" s="19" t="s">
        <v>331</v>
      </c>
      <c r="F374" s="19"/>
      <c r="G374" s="20">
        <f>G376+G375</f>
        <v>1350.3</v>
      </c>
      <c r="H374" s="20">
        <f t="shared" ref="H374:I374" si="77">H376+H375</f>
        <v>1350.3</v>
      </c>
      <c r="I374" s="20">
        <f t="shared" si="77"/>
        <v>1350.3</v>
      </c>
    </row>
    <row r="375" spans="1:22" s="26" customFormat="1" ht="25.5" x14ac:dyDescent="0.2">
      <c r="A375" s="80" t="s">
        <v>73</v>
      </c>
      <c r="B375" s="31">
        <v>911</v>
      </c>
      <c r="C375" s="24" t="s">
        <v>48</v>
      </c>
      <c r="D375" s="24" t="s">
        <v>16</v>
      </c>
      <c r="E375" s="24" t="s">
        <v>331</v>
      </c>
      <c r="F375" s="24" t="s">
        <v>65</v>
      </c>
      <c r="G375" s="25">
        <v>393.2</v>
      </c>
      <c r="H375" s="25">
        <v>393.2</v>
      </c>
      <c r="I375" s="25">
        <v>393.2</v>
      </c>
    </row>
    <row r="376" spans="1:22" s="26" customFormat="1" ht="25.5" x14ac:dyDescent="0.2">
      <c r="A376" s="80" t="s">
        <v>119</v>
      </c>
      <c r="B376" s="31">
        <v>911</v>
      </c>
      <c r="C376" s="24" t="s">
        <v>48</v>
      </c>
      <c r="D376" s="24" t="s">
        <v>16</v>
      </c>
      <c r="E376" s="24" t="s">
        <v>331</v>
      </c>
      <c r="F376" s="24" t="s">
        <v>62</v>
      </c>
      <c r="G376" s="25">
        <v>957.1</v>
      </c>
      <c r="H376" s="25">
        <v>957.1</v>
      </c>
      <c r="I376" s="25">
        <v>957.1</v>
      </c>
    </row>
    <row r="377" spans="1:22" s="77" customFormat="1" x14ac:dyDescent="0.2">
      <c r="A377" s="88" t="s">
        <v>531</v>
      </c>
      <c r="B377" s="57">
        <v>911</v>
      </c>
      <c r="C377" s="58" t="s">
        <v>19</v>
      </c>
      <c r="D377" s="58"/>
      <c r="E377" s="58"/>
      <c r="F377" s="58"/>
      <c r="G377" s="55">
        <f>G378</f>
        <v>15640.6</v>
      </c>
      <c r="H377" s="55">
        <f t="shared" ref="H377:I378" si="78">H378</f>
        <v>13367.8</v>
      </c>
      <c r="I377" s="55">
        <f t="shared" si="78"/>
        <v>13367.8</v>
      </c>
      <c r="J377" s="102"/>
      <c r="K377" s="102"/>
      <c r="L377" s="102"/>
      <c r="M377" s="102"/>
      <c r="N377" s="102"/>
      <c r="O377" s="102"/>
      <c r="P377" s="102"/>
      <c r="Q377" s="102"/>
    </row>
    <row r="378" spans="1:22" s="77" customFormat="1" x14ac:dyDescent="0.2">
      <c r="A378" s="63" t="s">
        <v>0</v>
      </c>
      <c r="B378" s="64">
        <v>911</v>
      </c>
      <c r="C378" s="65" t="s">
        <v>19</v>
      </c>
      <c r="D378" s="65" t="s">
        <v>10</v>
      </c>
      <c r="E378" s="65"/>
      <c r="F378" s="65"/>
      <c r="G378" s="55">
        <f>G379</f>
        <v>15640.6</v>
      </c>
      <c r="H378" s="55">
        <f t="shared" si="78"/>
        <v>13367.8</v>
      </c>
      <c r="I378" s="55">
        <f t="shared" si="78"/>
        <v>13367.8</v>
      </c>
      <c r="J378" s="102"/>
      <c r="K378" s="102"/>
      <c r="L378" s="102"/>
      <c r="M378" s="102"/>
      <c r="N378" s="102"/>
      <c r="O378" s="102"/>
      <c r="P378" s="102"/>
      <c r="Q378" s="102"/>
    </row>
    <row r="379" spans="1:22" s="72" customFormat="1" ht="25.5" x14ac:dyDescent="0.2">
      <c r="A379" s="68" t="s">
        <v>294</v>
      </c>
      <c r="B379" s="69">
        <v>911</v>
      </c>
      <c r="C379" s="70" t="s">
        <v>19</v>
      </c>
      <c r="D379" s="70" t="s">
        <v>10</v>
      </c>
      <c r="E379" s="70" t="s">
        <v>565</v>
      </c>
      <c r="F379" s="70"/>
      <c r="G379" s="71">
        <f>G380</f>
        <v>15640.6</v>
      </c>
      <c r="H379" s="71">
        <f>H380</f>
        <v>13367.8</v>
      </c>
      <c r="I379" s="71">
        <f>I380</f>
        <v>13367.8</v>
      </c>
      <c r="J379" s="101"/>
      <c r="K379" s="101"/>
      <c r="L379" s="101"/>
      <c r="M379" s="101"/>
      <c r="N379" s="101"/>
      <c r="O379" s="101"/>
      <c r="P379" s="101"/>
      <c r="Q379" s="101"/>
    </row>
    <row r="380" spans="1:22" s="77" customFormat="1" ht="25.5" x14ac:dyDescent="0.2">
      <c r="A380" s="80" t="s">
        <v>119</v>
      </c>
      <c r="B380" s="74">
        <v>911</v>
      </c>
      <c r="C380" s="75" t="s">
        <v>19</v>
      </c>
      <c r="D380" s="75" t="s">
        <v>10</v>
      </c>
      <c r="E380" s="75" t="s">
        <v>565</v>
      </c>
      <c r="F380" s="76" t="s">
        <v>62</v>
      </c>
      <c r="G380" s="55">
        <v>15640.6</v>
      </c>
      <c r="H380" s="55">
        <v>13367.8</v>
      </c>
      <c r="I380" s="55">
        <v>13367.8</v>
      </c>
      <c r="J380" s="102"/>
      <c r="K380" s="102"/>
      <c r="L380" s="102"/>
      <c r="M380" s="102"/>
      <c r="N380" s="102"/>
      <c r="O380" s="102"/>
      <c r="P380" s="102"/>
      <c r="Q380" s="102"/>
    </row>
    <row r="381" spans="1:22" s="9" customFormat="1" ht="30.75" customHeight="1" x14ac:dyDescent="0.2">
      <c r="A381" s="39" t="s">
        <v>5</v>
      </c>
      <c r="B381" s="36">
        <v>913</v>
      </c>
      <c r="C381" s="40"/>
      <c r="D381" s="40"/>
      <c r="E381" s="40"/>
      <c r="F381" s="40"/>
      <c r="G381" s="38">
        <f t="shared" ref="G381:Q381" si="79">G396+G412+G436+G382</f>
        <v>145432.1</v>
      </c>
      <c r="H381" s="38">
        <f t="shared" si="79"/>
        <v>148552</v>
      </c>
      <c r="I381" s="38">
        <f t="shared" si="79"/>
        <v>150798.9</v>
      </c>
      <c r="J381" s="38">
        <f t="shared" si="79"/>
        <v>0</v>
      </c>
      <c r="K381" s="38">
        <f t="shared" si="79"/>
        <v>0</v>
      </c>
      <c r="L381" s="38">
        <f t="shared" si="79"/>
        <v>0</v>
      </c>
      <c r="M381" s="38">
        <f t="shared" si="79"/>
        <v>0</v>
      </c>
      <c r="N381" s="38">
        <f t="shared" si="79"/>
        <v>0</v>
      </c>
      <c r="O381" s="38">
        <f t="shared" si="79"/>
        <v>0</v>
      </c>
      <c r="P381" s="38">
        <f t="shared" si="79"/>
        <v>0</v>
      </c>
      <c r="Q381" s="38">
        <f t="shared" si="79"/>
        <v>0</v>
      </c>
      <c r="S381" s="222"/>
      <c r="V381" s="222"/>
    </row>
    <row r="382" spans="1:22" s="3" customFormat="1" x14ac:dyDescent="0.2">
      <c r="A382" s="13" t="s">
        <v>25</v>
      </c>
      <c r="B382" s="41">
        <v>913</v>
      </c>
      <c r="C382" s="1" t="s">
        <v>16</v>
      </c>
      <c r="D382" s="1"/>
      <c r="E382" s="1"/>
      <c r="F382" s="1"/>
      <c r="G382" s="2">
        <f>G383</f>
        <v>250</v>
      </c>
      <c r="H382" s="2">
        <f>H383</f>
        <v>0</v>
      </c>
      <c r="I382" s="2">
        <f>I383</f>
        <v>0</v>
      </c>
      <c r="J382" s="105"/>
      <c r="K382" s="105"/>
      <c r="L382" s="105"/>
      <c r="M382" s="105"/>
      <c r="N382" s="105"/>
      <c r="O382" s="105"/>
      <c r="P382" s="105"/>
      <c r="Q382" s="105"/>
    </row>
    <row r="383" spans="1:22" s="67" customFormat="1" x14ac:dyDescent="0.2">
      <c r="A383" s="63" t="s">
        <v>26</v>
      </c>
      <c r="B383" s="64">
        <v>913</v>
      </c>
      <c r="C383" s="65" t="s">
        <v>16</v>
      </c>
      <c r="D383" s="65" t="s">
        <v>21</v>
      </c>
      <c r="E383" s="65"/>
      <c r="F383" s="65"/>
      <c r="G383" s="66">
        <f>G384+G386+G388+G390+G392+G394</f>
        <v>250</v>
      </c>
      <c r="H383" s="66">
        <f t="shared" ref="H383:I383" si="80">H384+H386+H388+H390+H392+H394</f>
        <v>0</v>
      </c>
      <c r="I383" s="66">
        <f t="shared" si="80"/>
        <v>0</v>
      </c>
    </row>
    <row r="384" spans="1:22" ht="30.75" customHeight="1" x14ac:dyDescent="0.2">
      <c r="A384" s="18" t="s">
        <v>593</v>
      </c>
      <c r="B384" s="22">
        <v>913</v>
      </c>
      <c r="C384" s="19" t="s">
        <v>16</v>
      </c>
      <c r="D384" s="19" t="s">
        <v>21</v>
      </c>
      <c r="E384" s="19" t="s">
        <v>592</v>
      </c>
      <c r="F384" s="19"/>
      <c r="G384" s="20">
        <f>G385</f>
        <v>10</v>
      </c>
      <c r="H384" s="20">
        <f t="shared" ref="H384:I384" si="81">H385</f>
        <v>0</v>
      </c>
      <c r="I384" s="20">
        <f t="shared" si="81"/>
        <v>0</v>
      </c>
      <c r="J384" s="194"/>
      <c r="K384" s="194"/>
      <c r="L384" s="194"/>
      <c r="M384" s="194"/>
      <c r="N384" s="194"/>
      <c r="O384" s="194"/>
      <c r="P384" s="194"/>
      <c r="Q384" s="194"/>
    </row>
    <row r="385" spans="1:17" s="26" customFormat="1" ht="30.75" customHeight="1" x14ac:dyDescent="0.2">
      <c r="A385" s="28" t="s">
        <v>119</v>
      </c>
      <c r="B385" s="31">
        <v>913</v>
      </c>
      <c r="C385" s="24" t="s">
        <v>16</v>
      </c>
      <c r="D385" s="24" t="s">
        <v>21</v>
      </c>
      <c r="E385" s="24" t="s">
        <v>592</v>
      </c>
      <c r="F385" s="24" t="s">
        <v>62</v>
      </c>
      <c r="G385" s="25">
        <v>10</v>
      </c>
      <c r="H385" s="25">
        <v>0</v>
      </c>
      <c r="I385" s="25">
        <v>0</v>
      </c>
    </row>
    <row r="386" spans="1:17" ht="30.75" customHeight="1" x14ac:dyDescent="0.2">
      <c r="A386" s="18" t="s">
        <v>596</v>
      </c>
      <c r="B386" s="22">
        <v>913</v>
      </c>
      <c r="C386" s="19" t="s">
        <v>16</v>
      </c>
      <c r="D386" s="19" t="s">
        <v>21</v>
      </c>
      <c r="E386" s="19" t="s">
        <v>594</v>
      </c>
      <c r="F386" s="19"/>
      <c r="G386" s="20">
        <f>G387</f>
        <v>10</v>
      </c>
      <c r="H386" s="20">
        <f t="shared" ref="H386" si="82">H387</f>
        <v>0</v>
      </c>
      <c r="I386" s="20">
        <f t="shared" ref="I386" si="83">I387</f>
        <v>0</v>
      </c>
      <c r="J386" s="194"/>
      <c r="K386" s="194"/>
      <c r="L386" s="194"/>
      <c r="M386" s="194"/>
      <c r="N386" s="194"/>
      <c r="O386" s="194"/>
      <c r="P386" s="194"/>
      <c r="Q386" s="194"/>
    </row>
    <row r="387" spans="1:17" s="26" customFormat="1" ht="30.75" customHeight="1" x14ac:dyDescent="0.2">
      <c r="A387" s="28" t="s">
        <v>119</v>
      </c>
      <c r="B387" s="31">
        <v>913</v>
      </c>
      <c r="C387" s="24" t="s">
        <v>16</v>
      </c>
      <c r="D387" s="24" t="s">
        <v>21</v>
      </c>
      <c r="E387" s="24" t="s">
        <v>595</v>
      </c>
      <c r="F387" s="24" t="s">
        <v>62</v>
      </c>
      <c r="G387" s="25">
        <v>10</v>
      </c>
      <c r="H387" s="25">
        <v>0</v>
      </c>
      <c r="I387" s="25">
        <v>0</v>
      </c>
    </row>
    <row r="388" spans="1:17" ht="30.75" customHeight="1" x14ac:dyDescent="0.2">
      <c r="A388" s="18" t="s">
        <v>598</v>
      </c>
      <c r="B388" s="22">
        <v>913</v>
      </c>
      <c r="C388" s="19" t="s">
        <v>16</v>
      </c>
      <c r="D388" s="19" t="s">
        <v>21</v>
      </c>
      <c r="E388" s="19" t="s">
        <v>597</v>
      </c>
      <c r="F388" s="19"/>
      <c r="G388" s="20">
        <f>G389</f>
        <v>110</v>
      </c>
      <c r="H388" s="20">
        <f t="shared" ref="H388" si="84">H389</f>
        <v>0</v>
      </c>
      <c r="I388" s="20">
        <f t="shared" ref="I388" si="85">I389</f>
        <v>0</v>
      </c>
      <c r="J388" s="194"/>
      <c r="K388" s="194"/>
      <c r="L388" s="194"/>
      <c r="M388" s="194"/>
      <c r="N388" s="194"/>
      <c r="O388" s="194"/>
      <c r="P388" s="194"/>
      <c r="Q388" s="194"/>
    </row>
    <row r="389" spans="1:17" s="26" customFormat="1" ht="30.75" customHeight="1" x14ac:dyDescent="0.2">
      <c r="A389" s="28" t="s">
        <v>119</v>
      </c>
      <c r="B389" s="31">
        <v>913</v>
      </c>
      <c r="C389" s="24" t="s">
        <v>16</v>
      </c>
      <c r="D389" s="24" t="s">
        <v>21</v>
      </c>
      <c r="E389" s="24" t="s">
        <v>597</v>
      </c>
      <c r="F389" s="24" t="s">
        <v>62</v>
      </c>
      <c r="G389" s="25">
        <v>110</v>
      </c>
      <c r="H389" s="25">
        <v>0</v>
      </c>
      <c r="I389" s="25">
        <v>0</v>
      </c>
    </row>
    <row r="390" spans="1:17" ht="30.75" customHeight="1" x14ac:dyDescent="0.2">
      <c r="A390" s="18" t="s">
        <v>600</v>
      </c>
      <c r="B390" s="22">
        <v>913</v>
      </c>
      <c r="C390" s="19" t="s">
        <v>16</v>
      </c>
      <c r="D390" s="19" t="s">
        <v>21</v>
      </c>
      <c r="E390" s="19" t="s">
        <v>599</v>
      </c>
      <c r="F390" s="19"/>
      <c r="G390" s="20">
        <f>G391</f>
        <v>106</v>
      </c>
      <c r="H390" s="20">
        <f t="shared" ref="H390" si="86">H391</f>
        <v>0</v>
      </c>
      <c r="I390" s="20">
        <f t="shared" ref="I390" si="87">I391</f>
        <v>0</v>
      </c>
      <c r="J390" s="194"/>
      <c r="K390" s="194"/>
      <c r="L390" s="194"/>
      <c r="M390" s="194"/>
      <c r="N390" s="194"/>
      <c r="O390" s="194"/>
      <c r="P390" s="194"/>
      <c r="Q390" s="194"/>
    </row>
    <row r="391" spans="1:17" s="26" customFormat="1" ht="30.75" customHeight="1" x14ac:dyDescent="0.2">
      <c r="A391" s="28" t="s">
        <v>119</v>
      </c>
      <c r="B391" s="31">
        <v>913</v>
      </c>
      <c r="C391" s="24" t="s">
        <v>16</v>
      </c>
      <c r="D391" s="24" t="s">
        <v>21</v>
      </c>
      <c r="E391" s="24" t="s">
        <v>599</v>
      </c>
      <c r="F391" s="24" t="s">
        <v>62</v>
      </c>
      <c r="G391" s="25">
        <v>106</v>
      </c>
      <c r="H391" s="25">
        <v>0</v>
      </c>
      <c r="I391" s="25">
        <v>0</v>
      </c>
    </row>
    <row r="392" spans="1:17" ht="30.75" customHeight="1" x14ac:dyDescent="0.2">
      <c r="A392" s="18" t="s">
        <v>601</v>
      </c>
      <c r="B392" s="22">
        <v>913</v>
      </c>
      <c r="C392" s="19" t="s">
        <v>16</v>
      </c>
      <c r="D392" s="19" t="s">
        <v>21</v>
      </c>
      <c r="E392" s="19" t="s">
        <v>602</v>
      </c>
      <c r="F392" s="19"/>
      <c r="G392" s="20">
        <f>G393</f>
        <v>4</v>
      </c>
      <c r="H392" s="20">
        <f t="shared" ref="H392" si="88">H393</f>
        <v>0</v>
      </c>
      <c r="I392" s="20">
        <f t="shared" ref="I392" si="89">I393</f>
        <v>0</v>
      </c>
      <c r="J392" s="194"/>
      <c r="K392" s="194"/>
      <c r="L392" s="194"/>
      <c r="M392" s="194"/>
      <c r="N392" s="194"/>
      <c r="O392" s="194"/>
      <c r="P392" s="194"/>
      <c r="Q392" s="194"/>
    </row>
    <row r="393" spans="1:17" s="26" customFormat="1" ht="30.75" customHeight="1" x14ac:dyDescent="0.2">
      <c r="A393" s="28" t="s">
        <v>119</v>
      </c>
      <c r="B393" s="31">
        <v>913</v>
      </c>
      <c r="C393" s="24" t="s">
        <v>16</v>
      </c>
      <c r="D393" s="24" t="s">
        <v>21</v>
      </c>
      <c r="E393" s="24" t="s">
        <v>602</v>
      </c>
      <c r="F393" s="24" t="s">
        <v>62</v>
      </c>
      <c r="G393" s="25">
        <v>4</v>
      </c>
      <c r="H393" s="25">
        <v>0</v>
      </c>
      <c r="I393" s="25">
        <v>0</v>
      </c>
    </row>
    <row r="394" spans="1:17" ht="30.75" customHeight="1" x14ac:dyDescent="0.2">
      <c r="A394" s="18" t="s">
        <v>604</v>
      </c>
      <c r="B394" s="22">
        <v>913</v>
      </c>
      <c r="C394" s="19" t="s">
        <v>16</v>
      </c>
      <c r="D394" s="19" t="s">
        <v>21</v>
      </c>
      <c r="E394" s="19" t="s">
        <v>603</v>
      </c>
      <c r="F394" s="19"/>
      <c r="G394" s="20">
        <f>G395</f>
        <v>10</v>
      </c>
      <c r="H394" s="20">
        <f t="shared" ref="H394" si="90">H395</f>
        <v>0</v>
      </c>
      <c r="I394" s="20">
        <f t="shared" ref="I394" si="91">I395</f>
        <v>0</v>
      </c>
      <c r="J394" s="194"/>
      <c r="K394" s="194"/>
      <c r="L394" s="194"/>
      <c r="M394" s="194"/>
      <c r="N394" s="194"/>
      <c r="O394" s="194"/>
      <c r="P394" s="194"/>
      <c r="Q394" s="194"/>
    </row>
    <row r="395" spans="1:17" s="26" customFormat="1" ht="30.75" customHeight="1" x14ac:dyDescent="0.2">
      <c r="A395" s="28" t="s">
        <v>119</v>
      </c>
      <c r="B395" s="31">
        <v>913</v>
      </c>
      <c r="C395" s="24" t="s">
        <v>16</v>
      </c>
      <c r="D395" s="24" t="s">
        <v>21</v>
      </c>
      <c r="E395" s="24" t="s">
        <v>603</v>
      </c>
      <c r="F395" s="24" t="s">
        <v>62</v>
      </c>
      <c r="G395" s="25">
        <v>10</v>
      </c>
      <c r="H395" s="25">
        <v>0</v>
      </c>
      <c r="I395" s="25">
        <v>0</v>
      </c>
    </row>
    <row r="396" spans="1:17" s="89" customFormat="1" x14ac:dyDescent="0.2">
      <c r="A396" s="88" t="s">
        <v>34</v>
      </c>
      <c r="B396" s="57">
        <v>913</v>
      </c>
      <c r="C396" s="58" t="s">
        <v>17</v>
      </c>
      <c r="D396" s="58"/>
      <c r="E396" s="58"/>
      <c r="F396" s="58"/>
      <c r="G396" s="61">
        <f>G397+G407</f>
        <v>32607.1</v>
      </c>
      <c r="H396" s="61">
        <f>H397+H407</f>
        <v>46667.299999999996</v>
      </c>
      <c r="I396" s="61">
        <f>I397+I407</f>
        <v>50922.400000000001</v>
      </c>
    </row>
    <row r="397" spans="1:17" s="67" customFormat="1" x14ac:dyDescent="0.2">
      <c r="A397" s="63" t="s">
        <v>277</v>
      </c>
      <c r="B397" s="64">
        <v>913</v>
      </c>
      <c r="C397" s="65" t="s">
        <v>17</v>
      </c>
      <c r="D397" s="65" t="s">
        <v>14</v>
      </c>
      <c r="E397" s="65"/>
      <c r="F397" s="65"/>
      <c r="G397" s="66">
        <f>G404+G400+G398+G402</f>
        <v>32550.1</v>
      </c>
      <c r="H397" s="66">
        <f t="shared" ref="H397:I397" si="92">H404+H400+H398+H402</f>
        <v>46613.299999999996</v>
      </c>
      <c r="I397" s="66">
        <f t="shared" si="92"/>
        <v>50868.4</v>
      </c>
    </row>
    <row r="398" spans="1:17" s="12" customFormat="1" ht="25.5" x14ac:dyDescent="0.2">
      <c r="A398" s="17" t="s">
        <v>137</v>
      </c>
      <c r="B398" s="43">
        <v>913</v>
      </c>
      <c r="C398" s="19" t="s">
        <v>17</v>
      </c>
      <c r="D398" s="19" t="s">
        <v>14</v>
      </c>
      <c r="E398" s="19" t="s">
        <v>136</v>
      </c>
      <c r="F398" s="5"/>
      <c r="G398" s="6">
        <f>G399</f>
        <v>348.6</v>
      </c>
      <c r="H398" s="6">
        <f>H399</f>
        <v>110.6</v>
      </c>
      <c r="I398" s="6">
        <f>I399</f>
        <v>110.6</v>
      </c>
      <c r="J398" s="107"/>
      <c r="K398" s="107"/>
      <c r="L398" s="107"/>
      <c r="M398" s="107"/>
      <c r="N398" s="107"/>
      <c r="O398" s="107"/>
      <c r="P398" s="107"/>
      <c r="Q398" s="107"/>
    </row>
    <row r="399" spans="1:17" s="26" customFormat="1" ht="25.5" x14ac:dyDescent="0.2">
      <c r="A399" s="28" t="s">
        <v>119</v>
      </c>
      <c r="B399" s="31">
        <v>913</v>
      </c>
      <c r="C399" s="24" t="s">
        <v>17</v>
      </c>
      <c r="D399" s="24" t="s">
        <v>14</v>
      </c>
      <c r="E399" s="24" t="s">
        <v>136</v>
      </c>
      <c r="F399" s="24" t="s">
        <v>62</v>
      </c>
      <c r="G399" s="25">
        <v>348.6</v>
      </c>
      <c r="H399" s="25">
        <v>110.6</v>
      </c>
      <c r="I399" s="25">
        <v>110.6</v>
      </c>
      <c r="J399" s="102"/>
      <c r="K399" s="102"/>
      <c r="L399" s="102"/>
      <c r="M399" s="102"/>
      <c r="N399" s="102"/>
      <c r="O399" s="102"/>
      <c r="P399" s="102"/>
      <c r="Q399" s="102"/>
    </row>
    <row r="400" spans="1:17" s="21" customFormat="1" x14ac:dyDescent="0.2">
      <c r="A400" s="18" t="s">
        <v>145</v>
      </c>
      <c r="B400" s="22">
        <v>913</v>
      </c>
      <c r="C400" s="19" t="s">
        <v>17</v>
      </c>
      <c r="D400" s="19" t="s">
        <v>14</v>
      </c>
      <c r="E400" s="19" t="s">
        <v>144</v>
      </c>
      <c r="F400" s="19"/>
      <c r="G400" s="20">
        <f>G401</f>
        <v>0</v>
      </c>
      <c r="H400" s="20">
        <f t="shared" ref="H400:I400" si="93">H401</f>
        <v>16812.599999999999</v>
      </c>
      <c r="I400" s="20">
        <f t="shared" si="93"/>
        <v>16812.599999999999</v>
      </c>
      <c r="J400" s="101"/>
      <c r="K400" s="101"/>
      <c r="L400" s="101"/>
      <c r="M400" s="101"/>
      <c r="N400" s="101"/>
      <c r="O400" s="101"/>
      <c r="P400" s="101"/>
      <c r="Q400" s="101"/>
    </row>
    <row r="401" spans="1:17" s="26" customFormat="1" ht="23.25" customHeight="1" x14ac:dyDescent="0.2">
      <c r="A401" s="28" t="s">
        <v>79</v>
      </c>
      <c r="B401" s="31">
        <v>913</v>
      </c>
      <c r="C401" s="24" t="s">
        <v>17</v>
      </c>
      <c r="D401" s="24" t="s">
        <v>14</v>
      </c>
      <c r="E401" s="24" t="s">
        <v>144</v>
      </c>
      <c r="F401" s="24" t="s">
        <v>68</v>
      </c>
      <c r="G401" s="25">
        <v>0</v>
      </c>
      <c r="H401" s="25">
        <v>16812.599999999999</v>
      </c>
      <c r="I401" s="25">
        <v>16812.599999999999</v>
      </c>
      <c r="J401" s="102"/>
      <c r="K401" s="102"/>
      <c r="L401" s="102"/>
      <c r="M401" s="102"/>
      <c r="N401" s="102"/>
      <c r="O401" s="102"/>
      <c r="P401" s="102"/>
      <c r="Q401" s="102"/>
    </row>
    <row r="402" spans="1:17" s="12" customFormat="1" ht="63.75" x14ac:dyDescent="0.2">
      <c r="A402" s="17" t="s">
        <v>671</v>
      </c>
      <c r="B402" s="43">
        <v>913</v>
      </c>
      <c r="C402" s="19" t="s">
        <v>17</v>
      </c>
      <c r="D402" s="19" t="s">
        <v>14</v>
      </c>
      <c r="E402" s="19" t="s">
        <v>672</v>
      </c>
      <c r="F402" s="5"/>
      <c r="G402" s="6">
        <f>G403</f>
        <v>0</v>
      </c>
      <c r="H402" s="6">
        <f>H403</f>
        <v>0</v>
      </c>
      <c r="I402" s="6">
        <f>I403</f>
        <v>4550</v>
      </c>
      <c r="J402" s="107"/>
      <c r="K402" s="107"/>
      <c r="L402" s="107"/>
      <c r="M402" s="107"/>
      <c r="N402" s="107"/>
      <c r="O402" s="107"/>
      <c r="P402" s="107"/>
      <c r="Q402" s="107"/>
    </row>
    <row r="403" spans="1:17" s="26" customFormat="1" ht="25.5" x14ac:dyDescent="0.2">
      <c r="A403" s="28" t="s">
        <v>119</v>
      </c>
      <c r="B403" s="31">
        <v>913</v>
      </c>
      <c r="C403" s="24" t="s">
        <v>17</v>
      </c>
      <c r="D403" s="24" t="s">
        <v>14</v>
      </c>
      <c r="E403" s="24" t="s">
        <v>672</v>
      </c>
      <c r="F403" s="24" t="s">
        <v>62</v>
      </c>
      <c r="G403" s="25"/>
      <c r="H403" s="25">
        <v>0</v>
      </c>
      <c r="I403" s="25">
        <f>4500+50</f>
        <v>4550</v>
      </c>
      <c r="J403" s="102"/>
      <c r="K403" s="102"/>
      <c r="L403" s="102"/>
      <c r="M403" s="102"/>
      <c r="N403" s="102"/>
      <c r="O403" s="102"/>
      <c r="P403" s="102"/>
      <c r="Q403" s="102"/>
    </row>
    <row r="404" spans="1:17" s="72" customFormat="1" ht="63.75" x14ac:dyDescent="0.2">
      <c r="A404" s="68" t="s">
        <v>283</v>
      </c>
      <c r="B404" s="69">
        <v>913</v>
      </c>
      <c r="C404" s="70" t="s">
        <v>17</v>
      </c>
      <c r="D404" s="70" t="s">
        <v>14</v>
      </c>
      <c r="E404" s="70" t="s">
        <v>204</v>
      </c>
      <c r="F404" s="70"/>
      <c r="G404" s="71">
        <f>G406+G405</f>
        <v>32201.5</v>
      </c>
      <c r="H404" s="71">
        <f t="shared" ref="H404:I404" si="94">H406+H405</f>
        <v>29690.1</v>
      </c>
      <c r="I404" s="71">
        <f t="shared" si="94"/>
        <v>29395.200000000001</v>
      </c>
      <c r="J404" s="101"/>
      <c r="K404" s="101"/>
      <c r="L404" s="101"/>
      <c r="M404" s="101"/>
      <c r="N404" s="101"/>
      <c r="O404" s="101"/>
      <c r="P404" s="101"/>
      <c r="Q404" s="101"/>
    </row>
    <row r="405" spans="1:17" s="26" customFormat="1" x14ac:dyDescent="0.2">
      <c r="A405" s="28" t="s">
        <v>66</v>
      </c>
      <c r="B405" s="31">
        <v>913</v>
      </c>
      <c r="C405" s="24" t="s">
        <v>17</v>
      </c>
      <c r="D405" s="24" t="s">
        <v>14</v>
      </c>
      <c r="E405" s="24" t="s">
        <v>204</v>
      </c>
      <c r="F405" s="27" t="s">
        <v>67</v>
      </c>
      <c r="G405" s="25">
        <v>30</v>
      </c>
      <c r="H405" s="25"/>
      <c r="I405" s="25"/>
    </row>
    <row r="406" spans="1:17" s="102" customFormat="1" ht="25.5" x14ac:dyDescent="0.2">
      <c r="A406" s="230" t="s">
        <v>119</v>
      </c>
      <c r="B406" s="230">
        <v>913</v>
      </c>
      <c r="C406" s="228" t="s">
        <v>17</v>
      </c>
      <c r="D406" s="228" t="s">
        <v>14</v>
      </c>
      <c r="E406" s="228" t="s">
        <v>204</v>
      </c>
      <c r="F406" s="228" t="s">
        <v>62</v>
      </c>
      <c r="G406" s="189">
        <f>30443.1+540-51.3-33.6+1184.3-19.4+108.4</f>
        <v>32171.5</v>
      </c>
      <c r="H406" s="189">
        <v>29690.1</v>
      </c>
      <c r="I406" s="189">
        <f>29445.2-50</f>
        <v>29395.200000000001</v>
      </c>
    </row>
    <row r="407" spans="1:17" s="67" customFormat="1" x14ac:dyDescent="0.2">
      <c r="A407" s="63" t="s">
        <v>38</v>
      </c>
      <c r="B407" s="64">
        <v>913</v>
      </c>
      <c r="C407" s="65" t="s">
        <v>17</v>
      </c>
      <c r="D407" s="65" t="s">
        <v>24</v>
      </c>
      <c r="E407" s="65"/>
      <c r="F407" s="65"/>
      <c r="G407" s="66">
        <f>G410+G408</f>
        <v>57</v>
      </c>
      <c r="H407" s="66">
        <f t="shared" ref="H407:I407" si="95">H410+H408</f>
        <v>54</v>
      </c>
      <c r="I407" s="66">
        <f t="shared" si="95"/>
        <v>54</v>
      </c>
    </row>
    <row r="408" spans="1:17" s="21" customFormat="1" ht="25.5" x14ac:dyDescent="0.2">
      <c r="A408" s="18" t="s">
        <v>160</v>
      </c>
      <c r="B408" s="18">
        <v>913</v>
      </c>
      <c r="C408" s="19" t="s">
        <v>17</v>
      </c>
      <c r="D408" s="19" t="s">
        <v>24</v>
      </c>
      <c r="E408" s="19" t="s">
        <v>115</v>
      </c>
      <c r="F408" s="19"/>
      <c r="G408" s="20">
        <f>G409</f>
        <v>54</v>
      </c>
      <c r="H408" s="20">
        <f>H409</f>
        <v>54</v>
      </c>
      <c r="I408" s="20">
        <f>I409</f>
        <v>54</v>
      </c>
    </row>
    <row r="409" spans="1:17" s="21" customFormat="1" ht="25.5" x14ac:dyDescent="0.2">
      <c r="A409" s="28" t="s">
        <v>119</v>
      </c>
      <c r="B409" s="28">
        <v>913</v>
      </c>
      <c r="C409" s="24" t="s">
        <v>17</v>
      </c>
      <c r="D409" s="24" t="s">
        <v>24</v>
      </c>
      <c r="E409" s="24" t="s">
        <v>115</v>
      </c>
      <c r="F409" s="24" t="s">
        <v>62</v>
      </c>
      <c r="G409" s="25">
        <v>54</v>
      </c>
      <c r="H409" s="25">
        <v>54</v>
      </c>
      <c r="I409" s="25">
        <v>54</v>
      </c>
    </row>
    <row r="410" spans="1:17" s="21" customFormat="1" ht="25.5" x14ac:dyDescent="0.2">
      <c r="A410" s="18" t="s">
        <v>284</v>
      </c>
      <c r="B410" s="22">
        <v>913</v>
      </c>
      <c r="C410" s="19" t="s">
        <v>17</v>
      </c>
      <c r="D410" s="19" t="s">
        <v>24</v>
      </c>
      <c r="E410" s="19" t="s">
        <v>161</v>
      </c>
      <c r="F410" s="19"/>
      <c r="G410" s="20">
        <f>G411</f>
        <v>3</v>
      </c>
      <c r="H410" s="20">
        <f>H411</f>
        <v>0</v>
      </c>
      <c r="I410" s="20">
        <f>I411</f>
        <v>0</v>
      </c>
    </row>
    <row r="411" spans="1:17" s="26" customFormat="1" ht="25.5" x14ac:dyDescent="0.2">
      <c r="A411" s="28" t="s">
        <v>119</v>
      </c>
      <c r="B411" s="31">
        <v>913</v>
      </c>
      <c r="C411" s="24" t="s">
        <v>17</v>
      </c>
      <c r="D411" s="24" t="s">
        <v>24</v>
      </c>
      <c r="E411" s="24" t="s">
        <v>161</v>
      </c>
      <c r="F411" s="24" t="s">
        <v>62</v>
      </c>
      <c r="G411" s="25">
        <v>3</v>
      </c>
      <c r="H411" s="25"/>
      <c r="I411" s="25"/>
    </row>
    <row r="412" spans="1:17" s="89" customFormat="1" ht="25.5" x14ac:dyDescent="0.2">
      <c r="A412" s="88" t="s">
        <v>39</v>
      </c>
      <c r="B412" s="57">
        <v>913</v>
      </c>
      <c r="C412" s="58" t="s">
        <v>40</v>
      </c>
      <c r="D412" s="58"/>
      <c r="E412" s="58"/>
      <c r="F412" s="58"/>
      <c r="G412" s="61">
        <f>G413+G428</f>
        <v>112343</v>
      </c>
      <c r="H412" s="61">
        <f>H413+H428</f>
        <v>101652.7</v>
      </c>
      <c r="I412" s="61">
        <f>I413+I428</f>
        <v>99644.5</v>
      </c>
    </row>
    <row r="413" spans="1:17" s="67" customFormat="1" x14ac:dyDescent="0.2">
      <c r="A413" s="63" t="s">
        <v>41</v>
      </c>
      <c r="B413" s="64">
        <v>913</v>
      </c>
      <c r="C413" s="65" t="s">
        <v>40</v>
      </c>
      <c r="D413" s="65" t="s">
        <v>10</v>
      </c>
      <c r="E413" s="65"/>
      <c r="F413" s="65"/>
      <c r="G413" s="66">
        <f>G420+G423+G425+G416+G418+G414</f>
        <v>90804.800000000003</v>
      </c>
      <c r="H413" s="66">
        <f t="shared" ref="H413:I413" si="96">H420+H423+H425+H416+H418+H414</f>
        <v>80676.399999999994</v>
      </c>
      <c r="I413" s="66">
        <f t="shared" si="96"/>
        <v>78668.2</v>
      </c>
      <c r="J413" s="66" t="e">
        <f>J420+J423+J425+J416+J418+#REF!+J414</f>
        <v>#REF!</v>
      </c>
      <c r="K413" s="66" t="e">
        <f>K420+K423+K425+K416+K418+#REF!+K414</f>
        <v>#REF!</v>
      </c>
      <c r="L413" s="66" t="e">
        <f>L420+L423+L425+L416+L418+#REF!+L414</f>
        <v>#REF!</v>
      </c>
      <c r="M413" s="66" t="e">
        <f>M420+M423+M425+M416+M418+#REF!+M414</f>
        <v>#REF!</v>
      </c>
      <c r="N413" s="66" t="e">
        <f>N420+N423+N425+N416+N418+#REF!+N414</f>
        <v>#REF!</v>
      </c>
      <c r="O413" s="66" t="e">
        <f>O420+O423+O425+O416+O418+#REF!+O414</f>
        <v>#REF!</v>
      </c>
      <c r="P413" s="66" t="e">
        <f>P420+P423+P425+P416+P418+#REF!+P414</f>
        <v>#REF!</v>
      </c>
      <c r="Q413" s="66" t="e">
        <f>Q420+Q423+Q425+Q416+Q418+#REF!+Q414</f>
        <v>#REF!</v>
      </c>
    </row>
    <row r="414" spans="1:17" s="12" customFormat="1" ht="25.5" x14ac:dyDescent="0.2">
      <c r="A414" s="17" t="s">
        <v>137</v>
      </c>
      <c r="B414" s="43">
        <v>913</v>
      </c>
      <c r="C414" s="19" t="s">
        <v>40</v>
      </c>
      <c r="D414" s="19" t="s">
        <v>10</v>
      </c>
      <c r="E414" s="19" t="s">
        <v>136</v>
      </c>
      <c r="F414" s="5"/>
      <c r="G414" s="6">
        <f>G415</f>
        <v>2442.6</v>
      </c>
      <c r="H414" s="6">
        <f>H415</f>
        <v>520.20000000000005</v>
      </c>
      <c r="I414" s="6">
        <f>I415</f>
        <v>520.20000000000005</v>
      </c>
    </row>
    <row r="415" spans="1:17" s="26" customFormat="1" ht="25.5" x14ac:dyDescent="0.2">
      <c r="A415" s="28" t="s">
        <v>119</v>
      </c>
      <c r="B415" s="31">
        <v>913</v>
      </c>
      <c r="C415" s="24" t="s">
        <v>40</v>
      </c>
      <c r="D415" s="24" t="s">
        <v>10</v>
      </c>
      <c r="E415" s="24" t="s">
        <v>136</v>
      </c>
      <c r="F415" s="24" t="s">
        <v>62</v>
      </c>
      <c r="G415" s="25">
        <f>2422.2+20.4</f>
        <v>2442.6</v>
      </c>
      <c r="H415" s="25">
        <v>520.20000000000005</v>
      </c>
      <c r="I415" s="25">
        <v>520.20000000000005</v>
      </c>
      <c r="J415" s="102"/>
      <c r="K415" s="102"/>
      <c r="L415" s="102"/>
      <c r="M415" s="102"/>
      <c r="N415" s="102"/>
      <c r="O415" s="102"/>
      <c r="P415" s="102"/>
      <c r="Q415" s="102"/>
    </row>
    <row r="416" spans="1:17" x14ac:dyDescent="0.2">
      <c r="A416" s="18" t="s">
        <v>147</v>
      </c>
      <c r="B416" s="22">
        <v>913</v>
      </c>
      <c r="C416" s="19" t="s">
        <v>40</v>
      </c>
      <c r="D416" s="19" t="s">
        <v>10</v>
      </c>
      <c r="E416" s="24" t="s">
        <v>146</v>
      </c>
      <c r="F416" s="19"/>
      <c r="G416" s="20">
        <f>G417</f>
        <v>4598</v>
      </c>
      <c r="H416" s="20">
        <f t="shared" ref="H416:I416" si="97">H417</f>
        <v>0</v>
      </c>
      <c r="I416" s="20">
        <f t="shared" si="97"/>
        <v>0</v>
      </c>
      <c r="J416" s="101"/>
      <c r="K416" s="101"/>
      <c r="L416" s="101"/>
      <c r="M416" s="101"/>
      <c r="N416" s="101"/>
      <c r="O416" s="101"/>
      <c r="P416" s="101"/>
      <c r="Q416" s="101"/>
    </row>
    <row r="417" spans="1:17" s="26" customFormat="1" ht="25.5" x14ac:dyDescent="0.2">
      <c r="A417" s="28" t="s">
        <v>73</v>
      </c>
      <c r="B417" s="22">
        <v>913</v>
      </c>
      <c r="C417" s="24" t="s">
        <v>40</v>
      </c>
      <c r="D417" s="24" t="s">
        <v>10</v>
      </c>
      <c r="E417" s="24" t="s">
        <v>146</v>
      </c>
      <c r="F417" s="24" t="s">
        <v>65</v>
      </c>
      <c r="G417" s="25">
        <v>4598</v>
      </c>
      <c r="H417" s="25"/>
      <c r="I417" s="25"/>
      <c r="J417" s="102"/>
      <c r="K417" s="102"/>
      <c r="L417" s="102"/>
      <c r="M417" s="102"/>
      <c r="N417" s="102"/>
      <c r="O417" s="102"/>
      <c r="P417" s="102"/>
      <c r="Q417" s="102"/>
    </row>
    <row r="418" spans="1:17" ht="38.25" x14ac:dyDescent="0.2">
      <c r="A418" s="18" t="s">
        <v>306</v>
      </c>
      <c r="B418" s="18">
        <v>913</v>
      </c>
      <c r="C418" s="19" t="s">
        <v>40</v>
      </c>
      <c r="D418" s="19" t="s">
        <v>10</v>
      </c>
      <c r="E418" s="19" t="s">
        <v>307</v>
      </c>
      <c r="F418" s="19"/>
      <c r="G418" s="20">
        <f>G419</f>
        <v>4425</v>
      </c>
      <c r="H418" s="20">
        <f>H419</f>
        <v>4425</v>
      </c>
      <c r="I418" s="20">
        <f>I419</f>
        <v>4425</v>
      </c>
      <c r="J418" s="101"/>
      <c r="K418" s="101"/>
      <c r="L418" s="101"/>
      <c r="M418" s="101"/>
      <c r="N418" s="101"/>
      <c r="O418" s="101"/>
      <c r="P418" s="101"/>
      <c r="Q418" s="101"/>
    </row>
    <row r="419" spans="1:17" ht="25.5" x14ac:dyDescent="0.2">
      <c r="A419" s="28" t="s">
        <v>119</v>
      </c>
      <c r="B419" s="28">
        <v>913</v>
      </c>
      <c r="C419" s="24" t="s">
        <v>40</v>
      </c>
      <c r="D419" s="24" t="s">
        <v>10</v>
      </c>
      <c r="E419" s="24" t="s">
        <v>307</v>
      </c>
      <c r="F419" s="24" t="s">
        <v>62</v>
      </c>
      <c r="G419" s="25">
        <v>4425</v>
      </c>
      <c r="H419" s="25">
        <v>4425</v>
      </c>
      <c r="I419" s="25">
        <v>4425</v>
      </c>
      <c r="J419" s="101"/>
      <c r="K419" s="101"/>
      <c r="L419" s="101"/>
      <c r="M419" s="101"/>
      <c r="N419" s="101"/>
      <c r="O419" s="101"/>
      <c r="P419" s="101"/>
      <c r="Q419" s="101"/>
    </row>
    <row r="420" spans="1:17" x14ac:dyDescent="0.2">
      <c r="A420" s="18" t="s">
        <v>224</v>
      </c>
      <c r="B420" s="22">
        <v>913</v>
      </c>
      <c r="C420" s="19" t="s">
        <v>40</v>
      </c>
      <c r="D420" s="19" t="s">
        <v>10</v>
      </c>
      <c r="E420" s="19" t="s">
        <v>223</v>
      </c>
      <c r="F420" s="19"/>
      <c r="G420" s="20">
        <f>G422+G421</f>
        <v>55982.6</v>
      </c>
      <c r="H420" s="20">
        <f>H422+H421</f>
        <v>53505</v>
      </c>
      <c r="I420" s="20">
        <f>I422+I421</f>
        <v>51942.3</v>
      </c>
      <c r="J420" s="101"/>
      <c r="K420" s="101"/>
      <c r="L420" s="101"/>
      <c r="M420" s="101"/>
      <c r="N420" s="101"/>
      <c r="O420" s="101"/>
      <c r="P420" s="101"/>
      <c r="Q420" s="101"/>
    </row>
    <row r="421" spans="1:17" s="26" customFormat="1" x14ac:dyDescent="0.2">
      <c r="A421" s="28" t="s">
        <v>66</v>
      </c>
      <c r="B421" s="28">
        <v>913</v>
      </c>
      <c r="C421" s="24" t="s">
        <v>40</v>
      </c>
      <c r="D421" s="24" t="s">
        <v>10</v>
      </c>
      <c r="E421" s="24" t="s">
        <v>223</v>
      </c>
      <c r="F421" s="27" t="s">
        <v>67</v>
      </c>
      <c r="G421" s="25">
        <v>15</v>
      </c>
      <c r="H421" s="25"/>
      <c r="I421" s="25"/>
    </row>
    <row r="422" spans="1:17" s="102" customFormat="1" ht="25.5" x14ac:dyDescent="0.2">
      <c r="A422" s="230" t="s">
        <v>119</v>
      </c>
      <c r="B422" s="227">
        <v>913</v>
      </c>
      <c r="C422" s="228" t="s">
        <v>40</v>
      </c>
      <c r="D422" s="228" t="s">
        <v>10</v>
      </c>
      <c r="E422" s="228" t="s">
        <v>223</v>
      </c>
      <c r="F422" s="228" t="s">
        <v>62</v>
      </c>
      <c r="G422" s="189">
        <f>57282.4+-540+49.1-1184.3+9.3+80+379.5-108.4</f>
        <v>55967.6</v>
      </c>
      <c r="H422" s="189">
        <v>53505</v>
      </c>
      <c r="I422" s="189">
        <v>51942.3</v>
      </c>
    </row>
    <row r="423" spans="1:17" x14ac:dyDescent="0.2">
      <c r="A423" s="18" t="s">
        <v>226</v>
      </c>
      <c r="B423" s="22">
        <v>913</v>
      </c>
      <c r="C423" s="19" t="s">
        <v>40</v>
      </c>
      <c r="D423" s="19" t="s">
        <v>10</v>
      </c>
      <c r="E423" s="19" t="s">
        <v>225</v>
      </c>
      <c r="F423" s="19"/>
      <c r="G423" s="20">
        <f>G424</f>
        <v>4202.2</v>
      </c>
      <c r="H423" s="20">
        <f>H424</f>
        <v>4059.4</v>
      </c>
      <c r="I423" s="20">
        <f>I424</f>
        <v>3992.5</v>
      </c>
      <c r="J423" s="101"/>
      <c r="K423" s="101"/>
      <c r="L423" s="101"/>
      <c r="M423" s="101"/>
      <c r="N423" s="101"/>
      <c r="O423" s="101"/>
      <c r="P423" s="101"/>
      <c r="Q423" s="101"/>
    </row>
    <row r="424" spans="1:17" s="102" customFormat="1" ht="25.5" x14ac:dyDescent="0.2">
      <c r="A424" s="230" t="s">
        <v>119</v>
      </c>
      <c r="B424" s="227">
        <v>913</v>
      </c>
      <c r="C424" s="228" t="s">
        <v>40</v>
      </c>
      <c r="D424" s="228" t="s">
        <v>10</v>
      </c>
      <c r="E424" s="228" t="s">
        <v>225</v>
      </c>
      <c r="F424" s="228" t="s">
        <v>62</v>
      </c>
      <c r="G424" s="189">
        <f>4209.6-50.6+52.3-9.1</f>
        <v>4202.2</v>
      </c>
      <c r="H424" s="189">
        <v>4059.4</v>
      </c>
      <c r="I424" s="189">
        <v>3992.5</v>
      </c>
    </row>
    <row r="425" spans="1:17" s="72" customFormat="1" x14ac:dyDescent="0.2">
      <c r="A425" s="68" t="s">
        <v>228</v>
      </c>
      <c r="B425" s="69">
        <v>913</v>
      </c>
      <c r="C425" s="70" t="s">
        <v>40</v>
      </c>
      <c r="D425" s="70" t="s">
        <v>10</v>
      </c>
      <c r="E425" s="70" t="s">
        <v>227</v>
      </c>
      <c r="F425" s="70"/>
      <c r="G425" s="71">
        <f>G427+G426</f>
        <v>19154.400000000001</v>
      </c>
      <c r="H425" s="71">
        <f>H427+H426</f>
        <v>18166.8</v>
      </c>
      <c r="I425" s="71">
        <f>I427+I426</f>
        <v>17788.2</v>
      </c>
      <c r="J425" s="101"/>
      <c r="K425" s="101"/>
      <c r="L425" s="101"/>
      <c r="M425" s="101"/>
      <c r="N425" s="101"/>
      <c r="O425" s="101"/>
      <c r="P425" s="101"/>
      <c r="Q425" s="101"/>
    </row>
    <row r="426" spans="1:17" s="26" customFormat="1" x14ac:dyDescent="0.2">
      <c r="A426" s="28" t="s">
        <v>66</v>
      </c>
      <c r="B426" s="28">
        <v>913</v>
      </c>
      <c r="C426" s="24" t="s">
        <v>40</v>
      </c>
      <c r="D426" s="24" t="s">
        <v>10</v>
      </c>
      <c r="E426" s="24" t="s">
        <v>227</v>
      </c>
      <c r="F426" s="27" t="s">
        <v>67</v>
      </c>
      <c r="G426" s="25">
        <v>15</v>
      </c>
      <c r="H426" s="25"/>
      <c r="I426" s="25"/>
    </row>
    <row r="427" spans="1:17" s="102" customFormat="1" ht="25.5" x14ac:dyDescent="0.2">
      <c r="A427" s="230" t="s">
        <v>119</v>
      </c>
      <c r="B427" s="227">
        <v>913</v>
      </c>
      <c r="C427" s="228" t="s">
        <v>40</v>
      </c>
      <c r="D427" s="228" t="s">
        <v>10</v>
      </c>
      <c r="E427" s="228" t="s">
        <v>227</v>
      </c>
      <c r="F427" s="228" t="s">
        <v>62</v>
      </c>
      <c r="G427" s="189">
        <f>19185.8-0.6-18.7-9.3-17.8</f>
        <v>19139.400000000001</v>
      </c>
      <c r="H427" s="189">
        <v>18166.8</v>
      </c>
      <c r="I427" s="189">
        <v>17788.2</v>
      </c>
    </row>
    <row r="428" spans="1:17" s="9" customFormat="1" ht="16.5" customHeight="1" x14ac:dyDescent="0.2">
      <c r="A428" s="11" t="s">
        <v>23</v>
      </c>
      <c r="B428" s="14">
        <v>913</v>
      </c>
      <c r="C428" s="8" t="s">
        <v>40</v>
      </c>
      <c r="D428" s="8" t="s">
        <v>16</v>
      </c>
      <c r="E428" s="8"/>
      <c r="F428" s="8"/>
      <c r="G428" s="4">
        <f>G429+G433</f>
        <v>21538.200000000004</v>
      </c>
      <c r="H428" s="4">
        <f>H429+H433</f>
        <v>20976.3</v>
      </c>
      <c r="I428" s="4">
        <f>I429+I433</f>
        <v>20976.3</v>
      </c>
      <c r="J428" s="106"/>
      <c r="K428" s="106"/>
      <c r="L428" s="106"/>
      <c r="M428" s="106"/>
      <c r="N428" s="106"/>
      <c r="O428" s="106"/>
      <c r="P428" s="106"/>
      <c r="Q428" s="106"/>
    </row>
    <row r="429" spans="1:17" x14ac:dyDescent="0.2">
      <c r="A429" s="18" t="s">
        <v>288</v>
      </c>
      <c r="B429" s="22">
        <v>913</v>
      </c>
      <c r="C429" s="19" t="s">
        <v>40</v>
      </c>
      <c r="D429" s="19" t="s">
        <v>16</v>
      </c>
      <c r="E429" s="19" t="s">
        <v>229</v>
      </c>
      <c r="F429" s="19"/>
      <c r="G429" s="20">
        <f>G430+G431+G432</f>
        <v>1290.9000000000001</v>
      </c>
      <c r="H429" s="20">
        <f>H430+H431+H432</f>
        <v>1222.5</v>
      </c>
      <c r="I429" s="20">
        <f>I430+I431+I432</f>
        <v>1222.5</v>
      </c>
      <c r="J429" s="101"/>
      <c r="K429" s="101"/>
      <c r="L429" s="101"/>
      <c r="M429" s="101"/>
      <c r="N429" s="101"/>
      <c r="O429" s="101"/>
      <c r="P429" s="101"/>
      <c r="Q429" s="101"/>
    </row>
    <row r="430" spans="1:17" s="26" customFormat="1" ht="51.75" customHeight="1" x14ac:dyDescent="0.2">
      <c r="A430" s="23" t="s">
        <v>63</v>
      </c>
      <c r="B430" s="31">
        <v>913</v>
      </c>
      <c r="C430" s="24" t="s">
        <v>40</v>
      </c>
      <c r="D430" s="24" t="s">
        <v>16</v>
      </c>
      <c r="E430" s="24" t="s">
        <v>229</v>
      </c>
      <c r="F430" s="27" t="s">
        <v>64</v>
      </c>
      <c r="G430" s="25">
        <f>1188.8+1.4</f>
        <v>1190.2</v>
      </c>
      <c r="H430" s="25">
        <v>1186.8</v>
      </c>
      <c r="I430" s="25">
        <v>1186.8</v>
      </c>
      <c r="J430" s="102"/>
      <c r="K430" s="102"/>
      <c r="L430" s="102"/>
      <c r="M430" s="102"/>
      <c r="N430" s="102"/>
      <c r="O430" s="102"/>
      <c r="P430" s="102"/>
      <c r="Q430" s="102"/>
    </row>
    <row r="431" spans="1:17" s="26" customFormat="1" ht="25.5" x14ac:dyDescent="0.2">
      <c r="A431" s="28" t="s">
        <v>73</v>
      </c>
      <c r="B431" s="31">
        <v>913</v>
      </c>
      <c r="C431" s="24" t="s">
        <v>40</v>
      </c>
      <c r="D431" s="24" t="s">
        <v>16</v>
      </c>
      <c r="E431" s="24" t="s">
        <v>229</v>
      </c>
      <c r="F431" s="27" t="s">
        <v>65</v>
      </c>
      <c r="G431" s="25">
        <f>96.9-1.4</f>
        <v>95.5</v>
      </c>
      <c r="H431" s="25">
        <v>35.700000000000003</v>
      </c>
      <c r="I431" s="25">
        <v>35.700000000000003</v>
      </c>
      <c r="J431" s="102"/>
      <c r="K431" s="102"/>
      <c r="L431" s="102"/>
      <c r="M431" s="102"/>
      <c r="N431" s="102"/>
      <c r="O431" s="102"/>
      <c r="P431" s="102"/>
      <c r="Q431" s="102"/>
    </row>
    <row r="432" spans="1:17" s="26" customFormat="1" x14ac:dyDescent="0.2">
      <c r="A432" s="28" t="s">
        <v>69</v>
      </c>
      <c r="B432" s="31">
        <v>913</v>
      </c>
      <c r="C432" s="24" t="s">
        <v>40</v>
      </c>
      <c r="D432" s="24" t="s">
        <v>16</v>
      </c>
      <c r="E432" s="24" t="s">
        <v>229</v>
      </c>
      <c r="F432" s="24" t="s">
        <v>70</v>
      </c>
      <c r="G432" s="25">
        <v>5.2</v>
      </c>
      <c r="H432" s="25"/>
      <c r="I432" s="25"/>
      <c r="J432" s="102"/>
      <c r="K432" s="102"/>
      <c r="L432" s="102"/>
      <c r="M432" s="102"/>
      <c r="N432" s="102"/>
      <c r="O432" s="102"/>
      <c r="P432" s="102"/>
      <c r="Q432" s="102"/>
    </row>
    <row r="433" spans="1:22" x14ac:dyDescent="0.2">
      <c r="A433" s="18" t="s">
        <v>288</v>
      </c>
      <c r="B433" s="22">
        <v>913</v>
      </c>
      <c r="C433" s="19" t="s">
        <v>40</v>
      </c>
      <c r="D433" s="19" t="s">
        <v>16</v>
      </c>
      <c r="E433" s="19" t="s">
        <v>335</v>
      </c>
      <c r="F433" s="19"/>
      <c r="G433" s="20">
        <f>G434+G435</f>
        <v>20247.300000000003</v>
      </c>
      <c r="H433" s="20">
        <f t="shared" ref="H433:I433" si="98">H434+H435</f>
        <v>19753.8</v>
      </c>
      <c r="I433" s="20">
        <f t="shared" si="98"/>
        <v>19753.8</v>
      </c>
      <c r="J433" s="101"/>
      <c r="K433" s="101"/>
      <c r="L433" s="101"/>
      <c r="M433" s="101"/>
      <c r="N433" s="101"/>
      <c r="O433" s="101"/>
      <c r="P433" s="101"/>
      <c r="Q433" s="101"/>
    </row>
    <row r="434" spans="1:22" s="26" customFormat="1" ht="52.5" customHeight="1" x14ac:dyDescent="0.2">
      <c r="A434" s="23" t="s">
        <v>63</v>
      </c>
      <c r="B434" s="31">
        <v>913</v>
      </c>
      <c r="C434" s="24" t="s">
        <v>40</v>
      </c>
      <c r="D434" s="24" t="s">
        <v>16</v>
      </c>
      <c r="E434" s="24" t="s">
        <v>335</v>
      </c>
      <c r="F434" s="27" t="s">
        <v>64</v>
      </c>
      <c r="G434" s="25">
        <f>19694.7+1.4</f>
        <v>19696.100000000002</v>
      </c>
      <c r="H434" s="25">
        <v>19692.7</v>
      </c>
      <c r="I434" s="25">
        <v>19692.7</v>
      </c>
      <c r="J434" s="102"/>
      <c r="K434" s="102"/>
      <c r="L434" s="102"/>
      <c r="M434" s="102"/>
      <c r="N434" s="102"/>
      <c r="O434" s="102"/>
      <c r="P434" s="102"/>
      <c r="Q434" s="102"/>
    </row>
    <row r="435" spans="1:22" s="26" customFormat="1" ht="25.5" x14ac:dyDescent="0.2">
      <c r="A435" s="28" t="s">
        <v>73</v>
      </c>
      <c r="B435" s="31">
        <v>913</v>
      </c>
      <c r="C435" s="24" t="s">
        <v>40</v>
      </c>
      <c r="D435" s="24" t="s">
        <v>16</v>
      </c>
      <c r="E435" s="24" t="s">
        <v>335</v>
      </c>
      <c r="F435" s="27" t="s">
        <v>65</v>
      </c>
      <c r="G435" s="25">
        <f>519.6-1.4+33</f>
        <v>551.20000000000005</v>
      </c>
      <c r="H435" s="25">
        <v>61.1</v>
      </c>
      <c r="I435" s="25">
        <v>61.1</v>
      </c>
      <c r="J435" s="102"/>
      <c r="K435" s="102"/>
      <c r="L435" s="102"/>
      <c r="M435" s="102"/>
      <c r="N435" s="102"/>
      <c r="O435" s="102"/>
      <c r="P435" s="102"/>
      <c r="Q435" s="102"/>
    </row>
    <row r="436" spans="1:22" s="3" customFormat="1" x14ac:dyDescent="0.2">
      <c r="A436" s="13" t="s">
        <v>49</v>
      </c>
      <c r="B436" s="41">
        <v>913</v>
      </c>
      <c r="C436" s="1" t="s">
        <v>48</v>
      </c>
      <c r="D436" s="1"/>
      <c r="E436" s="1"/>
      <c r="F436" s="1"/>
      <c r="G436" s="2">
        <f>G437</f>
        <v>232</v>
      </c>
      <c r="H436" s="2">
        <f>H437</f>
        <v>232</v>
      </c>
      <c r="I436" s="2">
        <f>I437</f>
        <v>232</v>
      </c>
      <c r="S436" s="222"/>
      <c r="V436" s="222"/>
    </row>
    <row r="437" spans="1:22" s="9" customFormat="1" x14ac:dyDescent="0.2">
      <c r="A437" s="11" t="s">
        <v>52</v>
      </c>
      <c r="B437" s="14">
        <v>913</v>
      </c>
      <c r="C437" s="8" t="s">
        <v>48</v>
      </c>
      <c r="D437" s="8" t="s">
        <v>14</v>
      </c>
      <c r="E437" s="8"/>
      <c r="F437" s="8"/>
      <c r="G437" s="4">
        <f>SUM(G438)</f>
        <v>232</v>
      </c>
      <c r="H437" s="4">
        <f>SUM(H438)</f>
        <v>232</v>
      </c>
      <c r="I437" s="4">
        <f>SUM(I438)</f>
        <v>232</v>
      </c>
    </row>
    <row r="438" spans="1:22" s="21" customFormat="1" ht="25.5" customHeight="1" x14ac:dyDescent="0.2">
      <c r="A438" s="18" t="s">
        <v>296</v>
      </c>
      <c r="B438" s="22">
        <v>913</v>
      </c>
      <c r="C438" s="19">
        <v>10</v>
      </c>
      <c r="D438" s="19" t="s">
        <v>14</v>
      </c>
      <c r="E438" s="19" t="s">
        <v>81</v>
      </c>
      <c r="F438" s="19"/>
      <c r="G438" s="20">
        <f>G439</f>
        <v>232</v>
      </c>
      <c r="H438" s="20">
        <f>H439</f>
        <v>232</v>
      </c>
      <c r="I438" s="20">
        <f>I439</f>
        <v>232</v>
      </c>
    </row>
    <row r="439" spans="1:22" s="26" customFormat="1" x14ac:dyDescent="0.2">
      <c r="A439" s="52" t="s">
        <v>66</v>
      </c>
      <c r="B439" s="31">
        <v>913</v>
      </c>
      <c r="C439" s="24">
        <v>10</v>
      </c>
      <c r="D439" s="24" t="s">
        <v>14</v>
      </c>
      <c r="E439" s="24" t="s">
        <v>81</v>
      </c>
      <c r="F439" s="24" t="s">
        <v>67</v>
      </c>
      <c r="G439" s="25">
        <f>232</f>
        <v>232</v>
      </c>
      <c r="H439" s="25">
        <f>232</f>
        <v>232</v>
      </c>
      <c r="I439" s="25">
        <f>232</f>
        <v>232</v>
      </c>
    </row>
    <row r="440" spans="1:22" s="9" customFormat="1" ht="33" customHeight="1" x14ac:dyDescent="0.2">
      <c r="A440" s="39" t="s">
        <v>46</v>
      </c>
      <c r="B440" s="36">
        <v>915</v>
      </c>
      <c r="C440" s="40"/>
      <c r="D440" s="40"/>
      <c r="E440" s="40"/>
      <c r="F440" s="40"/>
      <c r="G440" s="38">
        <f>G452+G445+G441</f>
        <v>365741.13400000002</v>
      </c>
      <c r="H440" s="38">
        <f t="shared" ref="H440:I440" si="99">H452+H445+H441</f>
        <v>360189.58600000001</v>
      </c>
      <c r="I440" s="38">
        <f t="shared" si="99"/>
        <v>362441.9</v>
      </c>
      <c r="S440" s="222"/>
      <c r="V440" s="222"/>
    </row>
    <row r="441" spans="1:22" s="3" customFormat="1" x14ac:dyDescent="0.2">
      <c r="A441" s="13" t="s">
        <v>25</v>
      </c>
      <c r="B441" s="41">
        <v>915</v>
      </c>
      <c r="C441" s="1" t="s">
        <v>16</v>
      </c>
      <c r="D441" s="1"/>
      <c r="E441" s="1"/>
      <c r="F441" s="1"/>
      <c r="G441" s="2">
        <f>G442</f>
        <v>53.4</v>
      </c>
      <c r="H441" s="2">
        <f>H442</f>
        <v>0</v>
      </c>
      <c r="I441" s="2">
        <f>I442</f>
        <v>0</v>
      </c>
      <c r="J441" s="105"/>
      <c r="K441" s="105"/>
      <c r="L441" s="105"/>
      <c r="M441" s="105"/>
      <c r="N441" s="105"/>
      <c r="O441" s="105"/>
      <c r="P441" s="105"/>
      <c r="Q441" s="105"/>
    </row>
    <row r="442" spans="1:22" s="9" customFormat="1" x14ac:dyDescent="0.2">
      <c r="A442" s="11" t="s">
        <v>579</v>
      </c>
      <c r="B442" s="14">
        <v>915</v>
      </c>
      <c r="C442" s="8" t="s">
        <v>16</v>
      </c>
      <c r="D442" s="8" t="s">
        <v>10</v>
      </c>
      <c r="E442" s="8"/>
      <c r="F442" s="8"/>
      <c r="G442" s="4">
        <f>G443</f>
        <v>53.4</v>
      </c>
      <c r="H442" s="4">
        <f t="shared" ref="H442:I442" si="100">H443</f>
        <v>0</v>
      </c>
      <c r="I442" s="4">
        <f t="shared" si="100"/>
        <v>0</v>
      </c>
      <c r="J442" s="106"/>
      <c r="K442" s="106"/>
      <c r="L442" s="106"/>
      <c r="M442" s="106"/>
      <c r="N442" s="106"/>
      <c r="O442" s="106"/>
      <c r="P442" s="106"/>
      <c r="Q442" s="106"/>
    </row>
    <row r="443" spans="1:22" ht="38.25" x14ac:dyDescent="0.2">
      <c r="A443" s="18" t="s">
        <v>557</v>
      </c>
      <c r="B443" s="22">
        <v>915</v>
      </c>
      <c r="C443" s="19" t="s">
        <v>16</v>
      </c>
      <c r="D443" s="19" t="s">
        <v>10</v>
      </c>
      <c r="E443" s="19" t="s">
        <v>558</v>
      </c>
      <c r="F443" s="19"/>
      <c r="G443" s="20">
        <f>G444</f>
        <v>53.4</v>
      </c>
      <c r="H443" s="20">
        <f t="shared" ref="H443:I443" si="101">H444</f>
        <v>0</v>
      </c>
      <c r="I443" s="20">
        <f t="shared" si="101"/>
        <v>0</v>
      </c>
      <c r="J443" s="101"/>
      <c r="K443" s="101"/>
      <c r="L443" s="101"/>
      <c r="M443" s="101"/>
      <c r="N443" s="101"/>
      <c r="O443" s="101"/>
      <c r="P443" s="101"/>
      <c r="Q443" s="101"/>
    </row>
    <row r="444" spans="1:22" s="26" customFormat="1" ht="25.5" x14ac:dyDescent="0.2">
      <c r="A444" s="28" t="s">
        <v>119</v>
      </c>
      <c r="B444" s="31">
        <v>915</v>
      </c>
      <c r="C444" s="24" t="s">
        <v>16</v>
      </c>
      <c r="D444" s="24" t="s">
        <v>10</v>
      </c>
      <c r="E444" s="24" t="s">
        <v>558</v>
      </c>
      <c r="F444" s="24" t="s">
        <v>62</v>
      </c>
      <c r="G444" s="25">
        <v>53.4</v>
      </c>
      <c r="H444" s="25"/>
      <c r="I444" s="25"/>
      <c r="J444" s="102"/>
      <c r="K444" s="102"/>
      <c r="L444" s="102"/>
      <c r="M444" s="102"/>
      <c r="N444" s="102"/>
      <c r="O444" s="102"/>
      <c r="P444" s="102"/>
      <c r="Q444" s="102"/>
    </row>
    <row r="445" spans="1:22" s="3" customFormat="1" x14ac:dyDescent="0.2">
      <c r="A445" s="13" t="s">
        <v>34</v>
      </c>
      <c r="B445" s="41">
        <v>915</v>
      </c>
      <c r="C445" s="1" t="s">
        <v>17</v>
      </c>
      <c r="D445" s="1"/>
      <c r="E445" s="1"/>
      <c r="F445" s="1"/>
      <c r="G445" s="2">
        <f t="shared" ref="G445:I450" si="102">G446</f>
        <v>251.6</v>
      </c>
      <c r="H445" s="2">
        <f t="shared" si="102"/>
        <v>219.6</v>
      </c>
      <c r="I445" s="2">
        <f t="shared" si="102"/>
        <v>219.6</v>
      </c>
    </row>
    <row r="446" spans="1:22" s="21" customFormat="1" x14ac:dyDescent="0.2">
      <c r="A446" s="11" t="s">
        <v>37</v>
      </c>
      <c r="B446" s="11">
        <v>915</v>
      </c>
      <c r="C446" s="8" t="s">
        <v>17</v>
      </c>
      <c r="D446" s="8" t="s">
        <v>17</v>
      </c>
      <c r="E446" s="8"/>
      <c r="F446" s="8"/>
      <c r="G446" s="4">
        <f>G450+G447</f>
        <v>251.6</v>
      </c>
      <c r="H446" s="4">
        <f t="shared" ref="H446:I446" si="103">H450+H447</f>
        <v>219.6</v>
      </c>
      <c r="I446" s="4">
        <f t="shared" si="103"/>
        <v>219.6</v>
      </c>
    </row>
    <row r="447" spans="1:22" ht="25.5" x14ac:dyDescent="0.2">
      <c r="A447" s="18" t="s">
        <v>561</v>
      </c>
      <c r="B447" s="22">
        <v>915</v>
      </c>
      <c r="C447" s="19" t="s">
        <v>17</v>
      </c>
      <c r="D447" s="19" t="s">
        <v>17</v>
      </c>
      <c r="E447" s="19" t="s">
        <v>560</v>
      </c>
      <c r="F447" s="19"/>
      <c r="G447" s="20">
        <f>G449+G448</f>
        <v>32</v>
      </c>
      <c r="H447" s="20">
        <f t="shared" ref="H447:I447" si="104">H449+H448</f>
        <v>0</v>
      </c>
      <c r="I447" s="20">
        <f t="shared" si="104"/>
        <v>0</v>
      </c>
      <c r="J447" s="101"/>
      <c r="K447" s="101"/>
      <c r="L447" s="101"/>
      <c r="M447" s="101"/>
      <c r="N447" s="101"/>
      <c r="O447" s="101"/>
      <c r="P447" s="101"/>
      <c r="Q447" s="101"/>
    </row>
    <row r="448" spans="1:22" s="26" customFormat="1" ht="25.5" x14ac:dyDescent="0.2">
      <c r="A448" s="28" t="s">
        <v>73</v>
      </c>
      <c r="B448" s="31">
        <v>915</v>
      </c>
      <c r="C448" s="24" t="s">
        <v>17</v>
      </c>
      <c r="D448" s="24" t="s">
        <v>17</v>
      </c>
      <c r="E448" s="24" t="s">
        <v>560</v>
      </c>
      <c r="F448" s="27" t="s">
        <v>64</v>
      </c>
      <c r="G448" s="25">
        <v>19.33426</v>
      </c>
      <c r="H448" s="25"/>
      <c r="I448" s="25"/>
      <c r="J448" s="102"/>
      <c r="K448" s="102"/>
      <c r="L448" s="102"/>
      <c r="M448" s="102"/>
      <c r="N448" s="102"/>
      <c r="O448" s="102"/>
      <c r="P448" s="102"/>
      <c r="Q448" s="102"/>
    </row>
    <row r="449" spans="1:17" s="26" customFormat="1" ht="25.5" x14ac:dyDescent="0.2">
      <c r="A449" s="28" t="s">
        <v>73</v>
      </c>
      <c r="B449" s="31">
        <v>915</v>
      </c>
      <c r="C449" s="24" t="s">
        <v>17</v>
      </c>
      <c r="D449" s="24" t="s">
        <v>17</v>
      </c>
      <c r="E449" s="24" t="s">
        <v>560</v>
      </c>
      <c r="F449" s="27" t="s">
        <v>65</v>
      </c>
      <c r="G449" s="25">
        <v>12.66574</v>
      </c>
      <c r="H449" s="25"/>
      <c r="I449" s="25"/>
      <c r="J449" s="102"/>
      <c r="K449" s="102"/>
      <c r="L449" s="102"/>
      <c r="M449" s="102"/>
      <c r="N449" s="102"/>
      <c r="O449" s="102"/>
      <c r="P449" s="102"/>
      <c r="Q449" s="102"/>
    </row>
    <row r="450" spans="1:17" ht="25.5" x14ac:dyDescent="0.2">
      <c r="A450" s="18" t="s">
        <v>230</v>
      </c>
      <c r="B450" s="18">
        <v>915</v>
      </c>
      <c r="C450" s="19" t="s">
        <v>17</v>
      </c>
      <c r="D450" s="19" t="s">
        <v>17</v>
      </c>
      <c r="E450" s="19" t="s">
        <v>118</v>
      </c>
      <c r="F450" s="19"/>
      <c r="G450" s="20">
        <f t="shared" si="102"/>
        <v>219.6</v>
      </c>
      <c r="H450" s="20">
        <f t="shared" si="102"/>
        <v>219.6</v>
      </c>
      <c r="I450" s="20">
        <f t="shared" si="102"/>
        <v>219.6</v>
      </c>
      <c r="J450" s="101"/>
      <c r="K450" s="101"/>
      <c r="L450" s="101"/>
      <c r="M450" s="101"/>
      <c r="N450" s="101"/>
      <c r="O450" s="101"/>
      <c r="P450" s="101"/>
      <c r="Q450" s="101"/>
    </row>
    <row r="451" spans="1:17" ht="51" customHeight="1" x14ac:dyDescent="0.2">
      <c r="A451" s="23" t="s">
        <v>63</v>
      </c>
      <c r="B451" s="23">
        <v>915</v>
      </c>
      <c r="C451" s="24" t="s">
        <v>17</v>
      </c>
      <c r="D451" s="24" t="s">
        <v>17</v>
      </c>
      <c r="E451" s="24" t="s">
        <v>118</v>
      </c>
      <c r="F451" s="27" t="s">
        <v>64</v>
      </c>
      <c r="G451" s="25">
        <v>219.6</v>
      </c>
      <c r="H451" s="25">
        <v>219.6</v>
      </c>
      <c r="I451" s="25">
        <v>219.6</v>
      </c>
      <c r="J451" s="101"/>
      <c r="K451" s="101"/>
      <c r="L451" s="101"/>
      <c r="M451" s="101"/>
      <c r="N451" s="101"/>
      <c r="O451" s="101"/>
      <c r="P451" s="101"/>
      <c r="Q451" s="101"/>
    </row>
    <row r="452" spans="1:17" s="89" customFormat="1" x14ac:dyDescent="0.2">
      <c r="A452" s="88" t="s">
        <v>49</v>
      </c>
      <c r="B452" s="57">
        <v>915</v>
      </c>
      <c r="C452" s="58" t="s">
        <v>48</v>
      </c>
      <c r="D452" s="58"/>
      <c r="E452" s="58"/>
      <c r="F452" s="58"/>
      <c r="G452" s="61">
        <f>G453+G457+G471+G497+G504</f>
        <v>365436.13400000002</v>
      </c>
      <c r="H452" s="61">
        <f>H453+H457+H471+H497+H504</f>
        <v>359969.98600000003</v>
      </c>
      <c r="I452" s="61">
        <f>I453+I457+I471+I497+I504</f>
        <v>362222.30000000005</v>
      </c>
    </row>
    <row r="453" spans="1:17" s="67" customFormat="1" x14ac:dyDescent="0.2">
      <c r="A453" s="63" t="s">
        <v>50</v>
      </c>
      <c r="B453" s="64">
        <v>915</v>
      </c>
      <c r="C453" s="65" t="s">
        <v>48</v>
      </c>
      <c r="D453" s="65" t="s">
        <v>10</v>
      </c>
      <c r="E453" s="65"/>
      <c r="F453" s="65"/>
      <c r="G453" s="66">
        <f>G454</f>
        <v>10230</v>
      </c>
      <c r="H453" s="66">
        <f>H454</f>
        <v>9482</v>
      </c>
      <c r="I453" s="66">
        <f>I454</f>
        <v>9482</v>
      </c>
    </row>
    <row r="454" spans="1:17" ht="75" customHeight="1" x14ac:dyDescent="0.2">
      <c r="A454" s="18" t="s">
        <v>231</v>
      </c>
      <c r="B454" s="22">
        <v>915</v>
      </c>
      <c r="C454" s="19" t="s">
        <v>48</v>
      </c>
      <c r="D454" s="19" t="s">
        <v>10</v>
      </c>
      <c r="E454" s="19" t="s">
        <v>232</v>
      </c>
      <c r="F454" s="19"/>
      <c r="G454" s="20">
        <f>G456+G455</f>
        <v>10230</v>
      </c>
      <c r="H454" s="20">
        <f>H456+H455</f>
        <v>9482</v>
      </c>
      <c r="I454" s="20">
        <f>I456+I455</f>
        <v>9482</v>
      </c>
      <c r="J454" s="101"/>
      <c r="K454" s="101"/>
      <c r="L454" s="101"/>
      <c r="M454" s="101"/>
      <c r="N454" s="101"/>
      <c r="O454" s="101"/>
      <c r="P454" s="101"/>
      <c r="Q454" s="101"/>
    </row>
    <row r="455" spans="1:17" s="72" customFormat="1" ht="24.75" customHeight="1" x14ac:dyDescent="0.2">
      <c r="A455" s="80" t="s">
        <v>73</v>
      </c>
      <c r="B455" s="78">
        <v>915</v>
      </c>
      <c r="C455" s="75" t="s">
        <v>48</v>
      </c>
      <c r="D455" s="75" t="s">
        <v>10</v>
      </c>
      <c r="E455" s="75" t="s">
        <v>232</v>
      </c>
      <c r="F455" s="76" t="s">
        <v>65</v>
      </c>
      <c r="G455" s="55">
        <v>47.2</v>
      </c>
      <c r="H455" s="55">
        <v>47.2</v>
      </c>
      <c r="I455" s="55">
        <v>47.2</v>
      </c>
    </row>
    <row r="456" spans="1:17" s="26" customFormat="1" x14ac:dyDescent="0.2">
      <c r="A456" s="28" t="s">
        <v>66</v>
      </c>
      <c r="B456" s="31">
        <v>915</v>
      </c>
      <c r="C456" s="24" t="s">
        <v>48</v>
      </c>
      <c r="D456" s="24" t="s">
        <v>10</v>
      </c>
      <c r="E456" s="24" t="s">
        <v>232</v>
      </c>
      <c r="F456" s="24" t="s">
        <v>67</v>
      </c>
      <c r="G456" s="25">
        <f>9434.8+748</f>
        <v>10182.799999999999</v>
      </c>
      <c r="H456" s="25">
        <v>9434.7999999999993</v>
      </c>
      <c r="I456" s="25">
        <v>9434.7999999999993</v>
      </c>
      <c r="J456" s="102"/>
      <c r="K456" s="102"/>
      <c r="L456" s="102"/>
      <c r="M456" s="102"/>
      <c r="N456" s="102"/>
      <c r="O456" s="102"/>
      <c r="P456" s="102"/>
      <c r="Q456" s="102"/>
    </row>
    <row r="457" spans="1:17" s="67" customFormat="1" x14ac:dyDescent="0.2">
      <c r="A457" s="63" t="s">
        <v>51</v>
      </c>
      <c r="B457" s="64">
        <v>915</v>
      </c>
      <c r="C457" s="65" t="s">
        <v>48</v>
      </c>
      <c r="D457" s="65" t="s">
        <v>12</v>
      </c>
      <c r="E457" s="65"/>
      <c r="F457" s="65"/>
      <c r="G457" s="66">
        <f>G460+G462+G469+G466+G458</f>
        <v>188021.43400000001</v>
      </c>
      <c r="H457" s="66">
        <f t="shared" ref="H457:I457" si="105">H460+H462+H469+H466+H458</f>
        <v>185470.08599999998</v>
      </c>
      <c r="I457" s="66">
        <f t="shared" si="105"/>
        <v>185030.39999999999</v>
      </c>
    </row>
    <row r="458" spans="1:17" s="101" customFormat="1" ht="127.5" x14ac:dyDescent="0.2">
      <c r="A458" s="224" t="s">
        <v>698</v>
      </c>
      <c r="B458" s="225">
        <v>915</v>
      </c>
      <c r="C458" s="226" t="s">
        <v>48</v>
      </c>
      <c r="D458" s="226" t="s">
        <v>12</v>
      </c>
      <c r="E458" s="226" t="s">
        <v>699</v>
      </c>
      <c r="F458" s="226"/>
      <c r="G458" s="190">
        <f>G459</f>
        <v>1335</v>
      </c>
      <c r="H458" s="190">
        <f t="shared" ref="H458:I458" si="106">H459</f>
        <v>0</v>
      </c>
      <c r="I458" s="190">
        <f t="shared" si="106"/>
        <v>0</v>
      </c>
    </row>
    <row r="459" spans="1:17" s="101" customFormat="1" ht="63.75" x14ac:dyDescent="0.2">
      <c r="A459" s="247" t="s">
        <v>63</v>
      </c>
      <c r="B459" s="225">
        <v>915</v>
      </c>
      <c r="C459" s="226" t="s">
        <v>48</v>
      </c>
      <c r="D459" s="226" t="s">
        <v>12</v>
      </c>
      <c r="E459" s="226" t="s">
        <v>699</v>
      </c>
      <c r="F459" s="226" t="s">
        <v>64</v>
      </c>
      <c r="G459" s="190">
        <v>1335</v>
      </c>
      <c r="H459" s="190">
        <v>0</v>
      </c>
      <c r="I459" s="190">
        <v>0</v>
      </c>
    </row>
    <row r="460" spans="1:17" ht="89.25" x14ac:dyDescent="0.2">
      <c r="A460" s="18" t="s">
        <v>616</v>
      </c>
      <c r="B460" s="22">
        <v>915</v>
      </c>
      <c r="C460" s="19" t="s">
        <v>48</v>
      </c>
      <c r="D460" s="19" t="s">
        <v>12</v>
      </c>
      <c r="E460" s="19" t="s">
        <v>615</v>
      </c>
      <c r="F460" s="19"/>
      <c r="G460" s="20">
        <f>G461</f>
        <v>133452.79999999999</v>
      </c>
      <c r="H460" s="20">
        <f>H461</f>
        <v>133452.79999999999</v>
      </c>
      <c r="I460" s="20">
        <f>I461</f>
        <v>133452.79999999999</v>
      </c>
      <c r="J460" s="101"/>
      <c r="K460" s="101"/>
      <c r="L460" s="101"/>
      <c r="M460" s="101"/>
      <c r="N460" s="101"/>
      <c r="O460" s="101"/>
      <c r="P460" s="101"/>
      <c r="Q460" s="101"/>
    </row>
    <row r="461" spans="1:17" s="26" customFormat="1" ht="25.5" x14ac:dyDescent="0.2">
      <c r="A461" s="28" t="s">
        <v>119</v>
      </c>
      <c r="B461" s="31">
        <v>915</v>
      </c>
      <c r="C461" s="24" t="s">
        <v>48</v>
      </c>
      <c r="D461" s="24" t="s">
        <v>12</v>
      </c>
      <c r="E461" s="24" t="s">
        <v>615</v>
      </c>
      <c r="F461" s="24" t="s">
        <v>62</v>
      </c>
      <c r="G461" s="25">
        <f>130196.4+3256.4</f>
        <v>133452.79999999999</v>
      </c>
      <c r="H461" s="25">
        <f>130196.4+3256.4</f>
        <v>133452.79999999999</v>
      </c>
      <c r="I461" s="25">
        <f>130196.4+3256.4</f>
        <v>133452.79999999999</v>
      </c>
      <c r="J461" s="102"/>
      <c r="K461" s="102"/>
      <c r="L461" s="102"/>
      <c r="M461" s="102"/>
      <c r="N461" s="102"/>
      <c r="O461" s="102"/>
      <c r="P461" s="102"/>
      <c r="Q461" s="102"/>
    </row>
    <row r="462" spans="1:17" ht="62.25" customHeight="1" x14ac:dyDescent="0.2">
      <c r="A462" s="18" t="s">
        <v>233</v>
      </c>
      <c r="B462" s="22">
        <v>915</v>
      </c>
      <c r="C462" s="19" t="s">
        <v>48</v>
      </c>
      <c r="D462" s="19" t="s">
        <v>12</v>
      </c>
      <c r="E462" s="19" t="s">
        <v>94</v>
      </c>
      <c r="F462" s="19"/>
      <c r="G462" s="20">
        <f>G463+G465+G464</f>
        <v>51567.600000000006</v>
      </c>
      <c r="H462" s="20">
        <f t="shared" ref="H462:Q462" si="107">H463+H465+H464</f>
        <v>51567.600000000006</v>
      </c>
      <c r="I462" s="20">
        <f t="shared" si="107"/>
        <v>51567.600000000006</v>
      </c>
      <c r="J462" s="190">
        <f t="shared" si="107"/>
        <v>0</v>
      </c>
      <c r="K462" s="190">
        <f t="shared" si="107"/>
        <v>0</v>
      </c>
      <c r="L462" s="190">
        <f t="shared" si="107"/>
        <v>0</v>
      </c>
      <c r="M462" s="190">
        <f t="shared" si="107"/>
        <v>0</v>
      </c>
      <c r="N462" s="190">
        <f t="shared" si="107"/>
        <v>0</v>
      </c>
      <c r="O462" s="190">
        <f t="shared" si="107"/>
        <v>0</v>
      </c>
      <c r="P462" s="190">
        <f t="shared" si="107"/>
        <v>0</v>
      </c>
      <c r="Q462" s="190">
        <f t="shared" si="107"/>
        <v>0</v>
      </c>
    </row>
    <row r="463" spans="1:17" s="26" customFormat="1" ht="54" customHeight="1" x14ac:dyDescent="0.2">
      <c r="A463" s="23" t="s">
        <v>63</v>
      </c>
      <c r="B463" s="31">
        <v>915</v>
      </c>
      <c r="C463" s="24" t="s">
        <v>48</v>
      </c>
      <c r="D463" s="24" t="s">
        <v>12</v>
      </c>
      <c r="E463" s="24" t="s">
        <v>94</v>
      </c>
      <c r="F463" s="27" t="s">
        <v>64</v>
      </c>
      <c r="G463" s="25">
        <f>44230.3+164.2+49.8</f>
        <v>44444.3</v>
      </c>
      <c r="H463" s="25">
        <f>44230.3+164.2+49.8</f>
        <v>44444.3</v>
      </c>
      <c r="I463" s="25">
        <f>44230.3+164.2+49.8</f>
        <v>44444.3</v>
      </c>
      <c r="J463" s="102"/>
      <c r="K463" s="102"/>
      <c r="L463" s="102"/>
      <c r="M463" s="102"/>
      <c r="N463" s="102"/>
      <c r="O463" s="102"/>
      <c r="P463" s="102"/>
      <c r="Q463" s="102"/>
    </row>
    <row r="464" spans="1:17" s="26" customFormat="1" ht="25.5" x14ac:dyDescent="0.2">
      <c r="A464" s="28" t="s">
        <v>73</v>
      </c>
      <c r="B464" s="31">
        <v>915</v>
      </c>
      <c r="C464" s="24" t="s">
        <v>48</v>
      </c>
      <c r="D464" s="24" t="s">
        <v>12</v>
      </c>
      <c r="E464" s="24" t="s">
        <v>94</v>
      </c>
      <c r="F464" s="27" t="s">
        <v>65</v>
      </c>
      <c r="G464" s="25">
        <f>195.5+5809.8+500+323</f>
        <v>6828.3</v>
      </c>
      <c r="H464" s="25">
        <f>195.5+5809.8+500+323</f>
        <v>6828.3</v>
      </c>
      <c r="I464" s="25">
        <f>195.5+5809.8+500+323</f>
        <v>6828.3</v>
      </c>
      <c r="J464" s="102"/>
      <c r="K464" s="102"/>
      <c r="L464" s="102"/>
      <c r="M464" s="102"/>
      <c r="N464" s="102"/>
      <c r="O464" s="102"/>
      <c r="P464" s="102"/>
      <c r="Q464" s="102"/>
    </row>
    <row r="465" spans="1:17" s="77" customFormat="1" x14ac:dyDescent="0.2">
      <c r="A465" s="80" t="s">
        <v>69</v>
      </c>
      <c r="B465" s="79">
        <v>915</v>
      </c>
      <c r="C465" s="75" t="s">
        <v>48</v>
      </c>
      <c r="D465" s="75" t="s">
        <v>12</v>
      </c>
      <c r="E465" s="75" t="s">
        <v>94</v>
      </c>
      <c r="F465" s="75" t="s">
        <v>70</v>
      </c>
      <c r="G465" s="55">
        <v>295</v>
      </c>
      <c r="H465" s="55">
        <v>295</v>
      </c>
      <c r="I465" s="55">
        <v>295</v>
      </c>
    </row>
    <row r="466" spans="1:17" s="26" customFormat="1" ht="25.5" x14ac:dyDescent="0.2">
      <c r="A466" s="18" t="s">
        <v>234</v>
      </c>
      <c r="B466" s="22">
        <v>915</v>
      </c>
      <c r="C466" s="19" t="s">
        <v>48</v>
      </c>
      <c r="D466" s="19" t="s">
        <v>12</v>
      </c>
      <c r="E466" s="19" t="s">
        <v>279</v>
      </c>
      <c r="F466" s="19"/>
      <c r="G466" s="25">
        <f>G468+G467</f>
        <v>1656.0340000000001</v>
      </c>
      <c r="H466" s="25">
        <f t="shared" ref="H466:Q466" si="108">H468+H467</f>
        <v>439.68599999999998</v>
      </c>
      <c r="I466" s="25">
        <f t="shared" si="108"/>
        <v>0</v>
      </c>
      <c r="J466" s="189">
        <f t="shared" si="108"/>
        <v>0</v>
      </c>
      <c r="K466" s="189">
        <f t="shared" si="108"/>
        <v>0</v>
      </c>
      <c r="L466" s="189">
        <f t="shared" si="108"/>
        <v>0</v>
      </c>
      <c r="M466" s="189">
        <f t="shared" si="108"/>
        <v>0</v>
      </c>
      <c r="N466" s="189">
        <f t="shared" si="108"/>
        <v>0</v>
      </c>
      <c r="O466" s="189">
        <f t="shared" si="108"/>
        <v>0</v>
      </c>
      <c r="P466" s="189">
        <f t="shared" si="108"/>
        <v>0</v>
      </c>
      <c r="Q466" s="189">
        <f t="shared" si="108"/>
        <v>0</v>
      </c>
    </row>
    <row r="467" spans="1:17" s="26" customFormat="1" ht="63.75" x14ac:dyDescent="0.2">
      <c r="A467" s="23" t="s">
        <v>63</v>
      </c>
      <c r="B467" s="31">
        <v>915</v>
      </c>
      <c r="C467" s="24" t="s">
        <v>48</v>
      </c>
      <c r="D467" s="24" t="s">
        <v>12</v>
      </c>
      <c r="E467" s="24" t="s">
        <v>279</v>
      </c>
      <c r="F467" s="19" t="s">
        <v>64</v>
      </c>
      <c r="G467" s="25">
        <v>20.399999999999999</v>
      </c>
      <c r="H467" s="25">
        <v>0</v>
      </c>
      <c r="I467" s="25">
        <v>0</v>
      </c>
      <c r="J467" s="102"/>
      <c r="K467" s="102"/>
      <c r="L467" s="102"/>
      <c r="M467" s="102"/>
      <c r="N467" s="102"/>
      <c r="O467" s="102"/>
      <c r="P467" s="102"/>
      <c r="Q467" s="102"/>
    </row>
    <row r="468" spans="1:17" s="26" customFormat="1" ht="25.5" x14ac:dyDescent="0.2">
      <c r="A468" s="28" t="s">
        <v>73</v>
      </c>
      <c r="B468" s="31">
        <v>915</v>
      </c>
      <c r="C468" s="24" t="s">
        <v>48</v>
      </c>
      <c r="D468" s="24" t="s">
        <v>12</v>
      </c>
      <c r="E468" s="24" t="s">
        <v>279</v>
      </c>
      <c r="F468" s="27" t="s">
        <v>65</v>
      </c>
      <c r="G468" s="25">
        <f>24.3+1025.934+585.4</f>
        <v>1635.634</v>
      </c>
      <c r="H468" s="25">
        <v>439.68599999999998</v>
      </c>
      <c r="I468" s="25">
        <v>0</v>
      </c>
      <c r="J468" s="102"/>
      <c r="K468" s="102"/>
      <c r="L468" s="102"/>
      <c r="M468" s="102"/>
      <c r="N468" s="102"/>
      <c r="O468" s="102"/>
      <c r="P468" s="102"/>
      <c r="Q468" s="102"/>
    </row>
    <row r="469" spans="1:17" s="21" customFormat="1" ht="75" customHeight="1" x14ac:dyDescent="0.2">
      <c r="A469" s="18" t="s">
        <v>236</v>
      </c>
      <c r="B469" s="22">
        <v>915</v>
      </c>
      <c r="C469" s="19" t="s">
        <v>48</v>
      </c>
      <c r="D469" s="19" t="s">
        <v>12</v>
      </c>
      <c r="E469" s="19" t="s">
        <v>99</v>
      </c>
      <c r="F469" s="19"/>
      <c r="G469" s="20">
        <f>G470</f>
        <v>10</v>
      </c>
      <c r="H469" s="20">
        <f>H470</f>
        <v>10</v>
      </c>
      <c r="I469" s="20">
        <f>I470</f>
        <v>10</v>
      </c>
    </row>
    <row r="470" spans="1:17" s="77" customFormat="1" ht="50.25" customHeight="1" x14ac:dyDescent="0.2">
      <c r="A470" s="73" t="s">
        <v>63</v>
      </c>
      <c r="B470" s="79">
        <v>915</v>
      </c>
      <c r="C470" s="75" t="s">
        <v>48</v>
      </c>
      <c r="D470" s="75" t="s">
        <v>12</v>
      </c>
      <c r="E470" s="75" t="s">
        <v>99</v>
      </c>
      <c r="F470" s="75" t="s">
        <v>64</v>
      </c>
      <c r="G470" s="55">
        <v>10</v>
      </c>
      <c r="H470" s="55">
        <v>10</v>
      </c>
      <c r="I470" s="55">
        <v>10</v>
      </c>
    </row>
    <row r="471" spans="1:17" s="67" customFormat="1" x14ac:dyDescent="0.2">
      <c r="A471" s="63" t="s">
        <v>52</v>
      </c>
      <c r="B471" s="64">
        <v>915</v>
      </c>
      <c r="C471" s="65" t="s">
        <v>48</v>
      </c>
      <c r="D471" s="65" t="s">
        <v>14</v>
      </c>
      <c r="E471" s="65"/>
      <c r="F471" s="65"/>
      <c r="G471" s="66">
        <f>G474+G477+G479+G481+G483+G485+G487+G472+G490+G493</f>
        <v>7719.4</v>
      </c>
      <c r="H471" s="66">
        <f t="shared" ref="H471:I471" si="109">H474+H477+H479+H481+H483+H485+H487+H472+H490+H493</f>
        <v>7708</v>
      </c>
      <c r="I471" s="66">
        <f t="shared" si="109"/>
        <v>7708</v>
      </c>
    </row>
    <row r="472" spans="1:17" s="21" customFormat="1" ht="51" customHeight="1" x14ac:dyDescent="0.2">
      <c r="A472" s="18" t="s">
        <v>220</v>
      </c>
      <c r="B472" s="22">
        <v>915</v>
      </c>
      <c r="C472" s="19" t="s">
        <v>48</v>
      </c>
      <c r="D472" s="19" t="s">
        <v>14</v>
      </c>
      <c r="E472" s="19" t="s">
        <v>344</v>
      </c>
      <c r="F472" s="19"/>
      <c r="G472" s="20">
        <f>G473</f>
        <v>42.5</v>
      </c>
      <c r="H472" s="20">
        <f t="shared" ref="H472:I472" si="110">H473</f>
        <v>42.5</v>
      </c>
      <c r="I472" s="20">
        <f t="shared" si="110"/>
        <v>42.5</v>
      </c>
    </row>
    <row r="473" spans="1:17" s="26" customFormat="1" x14ac:dyDescent="0.2">
      <c r="A473" s="28" t="s">
        <v>66</v>
      </c>
      <c r="B473" s="31">
        <v>915</v>
      </c>
      <c r="C473" s="24" t="s">
        <v>48</v>
      </c>
      <c r="D473" s="24" t="s">
        <v>14</v>
      </c>
      <c r="E473" s="24" t="s">
        <v>344</v>
      </c>
      <c r="F473" s="24" t="s">
        <v>67</v>
      </c>
      <c r="G473" s="25">
        <v>42.5</v>
      </c>
      <c r="H473" s="25">
        <v>42.5</v>
      </c>
      <c r="I473" s="25">
        <v>42.5</v>
      </c>
      <c r="J473" s="102"/>
      <c r="K473" s="102"/>
      <c r="L473" s="102"/>
      <c r="M473" s="102"/>
      <c r="N473" s="102"/>
      <c r="O473" s="102"/>
      <c r="P473" s="102"/>
      <c r="Q473" s="102"/>
    </row>
    <row r="474" spans="1:17" ht="77.25" customHeight="1" x14ac:dyDescent="0.2">
      <c r="A474" s="18" t="s">
        <v>235</v>
      </c>
      <c r="B474" s="22">
        <v>915</v>
      </c>
      <c r="C474" s="19" t="s">
        <v>48</v>
      </c>
      <c r="D474" s="19" t="s">
        <v>14</v>
      </c>
      <c r="E474" s="19" t="s">
        <v>96</v>
      </c>
      <c r="F474" s="19"/>
      <c r="G474" s="20">
        <f>G475+G476</f>
        <v>11.4</v>
      </c>
      <c r="H474" s="20">
        <f>H475+H476</f>
        <v>0</v>
      </c>
      <c r="I474" s="20">
        <f>I475+I476</f>
        <v>0</v>
      </c>
      <c r="J474" s="101"/>
      <c r="K474" s="101"/>
      <c r="L474" s="101"/>
      <c r="M474" s="101"/>
      <c r="N474" s="101"/>
      <c r="O474" s="101"/>
      <c r="P474" s="101"/>
      <c r="Q474" s="101"/>
    </row>
    <row r="475" spans="1:17" s="26" customFormat="1" ht="25.5" x14ac:dyDescent="0.2">
      <c r="A475" s="28" t="s">
        <v>73</v>
      </c>
      <c r="B475" s="23">
        <v>915</v>
      </c>
      <c r="C475" s="24" t="s">
        <v>48</v>
      </c>
      <c r="D475" s="24" t="s">
        <v>14</v>
      </c>
      <c r="E475" s="24" t="s">
        <v>96</v>
      </c>
      <c r="F475" s="27" t="s">
        <v>65</v>
      </c>
      <c r="G475" s="25">
        <f>0.1-0.00687-0.00816</f>
        <v>8.4970000000000004E-2</v>
      </c>
      <c r="H475" s="25"/>
      <c r="I475" s="25"/>
      <c r="J475" s="102"/>
      <c r="K475" s="102"/>
      <c r="L475" s="102"/>
      <c r="M475" s="102"/>
      <c r="N475" s="102"/>
      <c r="O475" s="102"/>
      <c r="P475" s="102"/>
      <c r="Q475" s="102"/>
    </row>
    <row r="476" spans="1:17" s="26" customFormat="1" x14ac:dyDescent="0.2">
      <c r="A476" s="28" t="s">
        <v>66</v>
      </c>
      <c r="B476" s="31">
        <v>915</v>
      </c>
      <c r="C476" s="24" t="s">
        <v>48</v>
      </c>
      <c r="D476" s="24" t="s">
        <v>14</v>
      </c>
      <c r="E476" s="24" t="s">
        <v>96</v>
      </c>
      <c r="F476" s="24" t="s">
        <v>67</v>
      </c>
      <c r="G476" s="25">
        <f>4.7+0.00687+6.6+0.00816</f>
        <v>11.31503</v>
      </c>
      <c r="H476" s="25"/>
      <c r="I476" s="25"/>
      <c r="J476" s="102"/>
      <c r="K476" s="102"/>
      <c r="L476" s="102"/>
      <c r="M476" s="102"/>
      <c r="N476" s="102"/>
      <c r="O476" s="102"/>
      <c r="P476" s="102"/>
      <c r="Q476" s="102"/>
    </row>
    <row r="477" spans="1:17" s="21" customFormat="1" ht="63.75" x14ac:dyDescent="0.2">
      <c r="A477" s="18" t="s">
        <v>153</v>
      </c>
      <c r="B477" s="22">
        <v>915</v>
      </c>
      <c r="C477" s="19" t="s">
        <v>48</v>
      </c>
      <c r="D477" s="19" t="s">
        <v>14</v>
      </c>
      <c r="E477" s="19" t="s">
        <v>88</v>
      </c>
      <c r="F477" s="19"/>
      <c r="G477" s="20">
        <f>G478</f>
        <v>2070</v>
      </c>
      <c r="H477" s="20">
        <f t="shared" ref="H477:I477" si="111">H478</f>
        <v>2070</v>
      </c>
      <c r="I477" s="20">
        <f t="shared" si="111"/>
        <v>2070</v>
      </c>
    </row>
    <row r="478" spans="1:17" s="26" customFormat="1" x14ac:dyDescent="0.2">
      <c r="A478" s="28" t="s">
        <v>66</v>
      </c>
      <c r="B478" s="31">
        <v>915</v>
      </c>
      <c r="C478" s="24" t="s">
        <v>48</v>
      </c>
      <c r="D478" s="24" t="s">
        <v>14</v>
      </c>
      <c r="E478" s="24" t="s">
        <v>88</v>
      </c>
      <c r="F478" s="24" t="s">
        <v>67</v>
      </c>
      <c r="G478" s="25">
        <v>2070</v>
      </c>
      <c r="H478" s="25">
        <v>2070</v>
      </c>
      <c r="I478" s="25">
        <v>2070</v>
      </c>
      <c r="J478" s="102"/>
      <c r="K478" s="102"/>
      <c r="L478" s="102"/>
      <c r="M478" s="102"/>
      <c r="N478" s="102"/>
      <c r="O478" s="102"/>
      <c r="P478" s="102"/>
      <c r="Q478" s="102"/>
    </row>
    <row r="479" spans="1:17" s="21" customFormat="1" ht="140.25" x14ac:dyDescent="0.2">
      <c r="A479" s="18" t="s">
        <v>278</v>
      </c>
      <c r="B479" s="22">
        <v>915</v>
      </c>
      <c r="C479" s="19" t="s">
        <v>48</v>
      </c>
      <c r="D479" s="19" t="s">
        <v>14</v>
      </c>
      <c r="E479" s="19" t="s">
        <v>89</v>
      </c>
      <c r="F479" s="19"/>
      <c r="G479" s="20">
        <f>G480</f>
        <v>36</v>
      </c>
      <c r="H479" s="20">
        <f t="shared" ref="H479:I479" si="112">H480</f>
        <v>36</v>
      </c>
      <c r="I479" s="20">
        <f t="shared" si="112"/>
        <v>36</v>
      </c>
    </row>
    <row r="480" spans="1:17" s="77" customFormat="1" x14ac:dyDescent="0.2">
      <c r="A480" s="80" t="s">
        <v>66</v>
      </c>
      <c r="B480" s="79">
        <v>915</v>
      </c>
      <c r="C480" s="75" t="s">
        <v>48</v>
      </c>
      <c r="D480" s="75" t="s">
        <v>14</v>
      </c>
      <c r="E480" s="75" t="s">
        <v>89</v>
      </c>
      <c r="F480" s="75" t="s">
        <v>67</v>
      </c>
      <c r="G480" s="55">
        <v>36</v>
      </c>
      <c r="H480" s="55">
        <v>36</v>
      </c>
      <c r="I480" s="55">
        <v>36</v>
      </c>
    </row>
    <row r="481" spans="1:17" s="21" customFormat="1" ht="76.5" customHeight="1" x14ac:dyDescent="0.2">
      <c r="A481" s="18" t="s">
        <v>345</v>
      </c>
      <c r="B481" s="22">
        <v>915</v>
      </c>
      <c r="C481" s="19" t="s">
        <v>48</v>
      </c>
      <c r="D481" s="19" t="s">
        <v>14</v>
      </c>
      <c r="E481" s="19" t="s">
        <v>90</v>
      </c>
      <c r="F481" s="19"/>
      <c r="G481" s="20">
        <f>G482</f>
        <v>260</v>
      </c>
      <c r="H481" s="20">
        <f t="shared" ref="H481:I481" si="113">H482</f>
        <v>260</v>
      </c>
      <c r="I481" s="20">
        <f t="shared" si="113"/>
        <v>260</v>
      </c>
    </row>
    <row r="482" spans="1:17" s="77" customFormat="1" x14ac:dyDescent="0.2">
      <c r="A482" s="80" t="s">
        <v>66</v>
      </c>
      <c r="B482" s="79">
        <v>915</v>
      </c>
      <c r="C482" s="75" t="s">
        <v>48</v>
      </c>
      <c r="D482" s="75" t="s">
        <v>14</v>
      </c>
      <c r="E482" s="75" t="s">
        <v>90</v>
      </c>
      <c r="F482" s="75" t="s">
        <v>67</v>
      </c>
      <c r="G482" s="55">
        <v>260</v>
      </c>
      <c r="H482" s="55">
        <v>260</v>
      </c>
      <c r="I482" s="55">
        <v>260</v>
      </c>
    </row>
    <row r="483" spans="1:17" ht="63.75" x14ac:dyDescent="0.2">
      <c r="A483" s="18" t="s">
        <v>154</v>
      </c>
      <c r="B483" s="22">
        <v>915</v>
      </c>
      <c r="C483" s="19" t="s">
        <v>48</v>
      </c>
      <c r="D483" s="19" t="s">
        <v>14</v>
      </c>
      <c r="E483" s="19" t="s">
        <v>91</v>
      </c>
      <c r="F483" s="19"/>
      <c r="G483" s="20">
        <f>G484</f>
        <v>29.1</v>
      </c>
      <c r="H483" s="20">
        <f t="shared" ref="H483:I483" si="114">H484</f>
        <v>29.1</v>
      </c>
      <c r="I483" s="20">
        <f t="shared" si="114"/>
        <v>29.1</v>
      </c>
      <c r="J483" s="101"/>
      <c r="K483" s="101"/>
      <c r="L483" s="101"/>
      <c r="M483" s="101"/>
      <c r="N483" s="101"/>
      <c r="O483" s="101"/>
      <c r="P483" s="101"/>
      <c r="Q483" s="101"/>
    </row>
    <row r="484" spans="1:17" s="26" customFormat="1" x14ac:dyDescent="0.2">
      <c r="A484" s="28" t="s">
        <v>66</v>
      </c>
      <c r="B484" s="31">
        <v>915</v>
      </c>
      <c r="C484" s="24" t="s">
        <v>48</v>
      </c>
      <c r="D484" s="24" t="s">
        <v>14</v>
      </c>
      <c r="E484" s="24" t="s">
        <v>91</v>
      </c>
      <c r="F484" s="24" t="s">
        <v>67</v>
      </c>
      <c r="G484" s="25">
        <v>29.1</v>
      </c>
      <c r="H484" s="25">
        <v>29.1</v>
      </c>
      <c r="I484" s="25">
        <v>29.1</v>
      </c>
      <c r="J484" s="102"/>
      <c r="K484" s="102"/>
      <c r="L484" s="102"/>
      <c r="M484" s="102"/>
      <c r="N484" s="102"/>
      <c r="O484" s="102"/>
      <c r="P484" s="102"/>
      <c r="Q484" s="102"/>
    </row>
    <row r="485" spans="1:17" s="21" customFormat="1" ht="51" x14ac:dyDescent="0.2">
      <c r="A485" s="18" t="s">
        <v>155</v>
      </c>
      <c r="B485" s="22">
        <v>915</v>
      </c>
      <c r="C485" s="19" t="s">
        <v>48</v>
      </c>
      <c r="D485" s="19" t="s">
        <v>14</v>
      </c>
      <c r="E485" s="19" t="s">
        <v>92</v>
      </c>
      <c r="F485" s="19"/>
      <c r="G485" s="20">
        <f>G486</f>
        <v>60</v>
      </c>
      <c r="H485" s="20">
        <f t="shared" ref="H485:I485" si="115">H486</f>
        <v>60</v>
      </c>
      <c r="I485" s="20">
        <f t="shared" si="115"/>
        <v>60</v>
      </c>
    </row>
    <row r="486" spans="1:17" s="26" customFormat="1" x14ac:dyDescent="0.2">
      <c r="A486" s="28" t="s">
        <v>66</v>
      </c>
      <c r="B486" s="31">
        <v>915</v>
      </c>
      <c r="C486" s="24" t="s">
        <v>48</v>
      </c>
      <c r="D486" s="24" t="s">
        <v>14</v>
      </c>
      <c r="E486" s="24" t="s">
        <v>92</v>
      </c>
      <c r="F486" s="24" t="s">
        <v>67</v>
      </c>
      <c r="G486" s="25">
        <v>60</v>
      </c>
      <c r="H486" s="25">
        <v>60</v>
      </c>
      <c r="I486" s="25">
        <v>60</v>
      </c>
      <c r="J486" s="102"/>
      <c r="K486" s="102"/>
      <c r="L486" s="102"/>
      <c r="M486" s="102"/>
      <c r="N486" s="102"/>
      <c r="O486" s="102"/>
      <c r="P486" s="102"/>
      <c r="Q486" s="102"/>
    </row>
    <row r="487" spans="1:17" ht="102" x14ac:dyDescent="0.2">
      <c r="A487" s="18" t="s">
        <v>638</v>
      </c>
      <c r="B487" s="22">
        <v>915</v>
      </c>
      <c r="C487" s="19" t="s">
        <v>48</v>
      </c>
      <c r="D487" s="19" t="s">
        <v>14</v>
      </c>
      <c r="E487" s="19" t="s">
        <v>618</v>
      </c>
      <c r="F487" s="19"/>
      <c r="G487" s="20">
        <f>G489+G488</f>
        <v>2523.4</v>
      </c>
      <c r="H487" s="20">
        <f>H489+H488</f>
        <v>2523.4</v>
      </c>
      <c r="I487" s="20">
        <f>I489+I488</f>
        <v>2523.4</v>
      </c>
      <c r="J487" s="101"/>
      <c r="K487" s="101"/>
      <c r="L487" s="101"/>
      <c r="M487" s="101"/>
      <c r="N487" s="101"/>
      <c r="O487" s="101"/>
      <c r="P487" s="101"/>
      <c r="Q487" s="101"/>
    </row>
    <row r="488" spans="1:17" s="26" customFormat="1" ht="25.5" x14ac:dyDescent="0.2">
      <c r="A488" s="28" t="s">
        <v>73</v>
      </c>
      <c r="B488" s="23">
        <v>915</v>
      </c>
      <c r="C488" s="24" t="s">
        <v>48</v>
      </c>
      <c r="D488" s="24" t="s">
        <v>14</v>
      </c>
      <c r="E488" s="24" t="s">
        <v>618</v>
      </c>
      <c r="F488" s="27" t="s">
        <v>65</v>
      </c>
      <c r="G488" s="25">
        <f>28+5.1</f>
        <v>33.1</v>
      </c>
      <c r="H488" s="25">
        <f>28+5.1</f>
        <v>33.1</v>
      </c>
      <c r="I488" s="25">
        <f>28+5.1</f>
        <v>33.1</v>
      </c>
      <c r="J488" s="102"/>
      <c r="K488" s="102"/>
      <c r="L488" s="102"/>
      <c r="M488" s="102"/>
      <c r="N488" s="102"/>
      <c r="O488" s="102"/>
      <c r="P488" s="102"/>
      <c r="Q488" s="102"/>
    </row>
    <row r="489" spans="1:17" s="26" customFormat="1" x14ac:dyDescent="0.2">
      <c r="A489" s="28" t="s">
        <v>66</v>
      </c>
      <c r="B489" s="31">
        <v>915</v>
      </c>
      <c r="C489" s="24" t="s">
        <v>48</v>
      </c>
      <c r="D489" s="24" t="s">
        <v>14</v>
      </c>
      <c r="E489" s="24" t="s">
        <v>618</v>
      </c>
      <c r="F489" s="24" t="s">
        <v>67</v>
      </c>
      <c r="G489" s="25">
        <v>2490.3000000000002</v>
      </c>
      <c r="H489" s="25">
        <v>2490.3000000000002</v>
      </c>
      <c r="I489" s="25">
        <v>2490.3000000000002</v>
      </c>
      <c r="J489" s="102"/>
      <c r="K489" s="102"/>
      <c r="L489" s="102"/>
      <c r="M489" s="102"/>
      <c r="N489" s="102"/>
      <c r="O489" s="102"/>
      <c r="P489" s="102"/>
      <c r="Q489" s="102"/>
    </row>
    <row r="490" spans="1:17" ht="76.5" x14ac:dyDescent="0.2">
      <c r="A490" s="18" t="s">
        <v>281</v>
      </c>
      <c r="B490" s="22">
        <v>915</v>
      </c>
      <c r="C490" s="19" t="s">
        <v>48</v>
      </c>
      <c r="D490" s="19" t="s">
        <v>14</v>
      </c>
      <c r="E490" s="19" t="s">
        <v>98</v>
      </c>
      <c r="F490" s="19"/>
      <c r="G490" s="20">
        <f>G492+G491</f>
        <v>1216</v>
      </c>
      <c r="H490" s="20">
        <f>H492+H491</f>
        <v>1216</v>
      </c>
      <c r="I490" s="20">
        <f>I492+I491</f>
        <v>1216</v>
      </c>
      <c r="J490" s="101"/>
      <c r="K490" s="101"/>
      <c r="L490" s="101"/>
      <c r="M490" s="101"/>
      <c r="N490" s="101"/>
      <c r="O490" s="101"/>
      <c r="P490" s="101"/>
      <c r="Q490" s="101"/>
    </row>
    <row r="491" spans="1:17" s="26" customFormat="1" ht="25.5" x14ac:dyDescent="0.2">
      <c r="A491" s="28" t="s">
        <v>73</v>
      </c>
      <c r="B491" s="23">
        <v>915</v>
      </c>
      <c r="C491" s="24" t="s">
        <v>48</v>
      </c>
      <c r="D491" s="24" t="s">
        <v>14</v>
      </c>
      <c r="E491" s="24" t="s">
        <v>98</v>
      </c>
      <c r="F491" s="27" t="s">
        <v>65</v>
      </c>
      <c r="G491" s="25">
        <v>6</v>
      </c>
      <c r="H491" s="25">
        <v>6</v>
      </c>
      <c r="I491" s="25">
        <v>6</v>
      </c>
    </row>
    <row r="492" spans="1:17" s="26" customFormat="1" x14ac:dyDescent="0.2">
      <c r="A492" s="28" t="s">
        <v>66</v>
      </c>
      <c r="B492" s="31">
        <v>915</v>
      </c>
      <c r="C492" s="24" t="s">
        <v>48</v>
      </c>
      <c r="D492" s="24" t="s">
        <v>14</v>
      </c>
      <c r="E492" s="24" t="s">
        <v>98</v>
      </c>
      <c r="F492" s="24" t="s">
        <v>67</v>
      </c>
      <c r="G492" s="25">
        <v>1210</v>
      </c>
      <c r="H492" s="25">
        <v>1210</v>
      </c>
      <c r="I492" s="25">
        <v>1210</v>
      </c>
      <c r="J492" s="102"/>
      <c r="K492" s="102"/>
      <c r="L492" s="102"/>
      <c r="M492" s="102"/>
      <c r="N492" s="102"/>
      <c r="O492" s="102"/>
      <c r="P492" s="102"/>
      <c r="Q492" s="102"/>
    </row>
    <row r="493" spans="1:17" ht="76.5" x14ac:dyDescent="0.2">
      <c r="A493" s="18" t="s">
        <v>639</v>
      </c>
      <c r="B493" s="22">
        <v>915</v>
      </c>
      <c r="C493" s="19" t="s">
        <v>48</v>
      </c>
      <c r="D493" s="19" t="s">
        <v>14</v>
      </c>
      <c r="E493" s="19" t="s">
        <v>87</v>
      </c>
      <c r="F493" s="19"/>
      <c r="G493" s="20">
        <f>G495+G494+G496</f>
        <v>1471</v>
      </c>
      <c r="H493" s="20">
        <f t="shared" ref="H493:I493" si="116">H495+H494+H496</f>
        <v>1471</v>
      </c>
      <c r="I493" s="20">
        <f t="shared" si="116"/>
        <v>1471</v>
      </c>
      <c r="J493" s="101"/>
      <c r="K493" s="101"/>
      <c r="L493" s="101"/>
      <c r="M493" s="101"/>
      <c r="N493" s="101"/>
      <c r="O493" s="101"/>
      <c r="P493" s="101"/>
      <c r="Q493" s="101"/>
    </row>
    <row r="494" spans="1:17" s="77" customFormat="1" ht="25.5" x14ac:dyDescent="0.2">
      <c r="A494" s="80" t="s">
        <v>73</v>
      </c>
      <c r="B494" s="78">
        <v>915</v>
      </c>
      <c r="C494" s="75" t="s">
        <v>48</v>
      </c>
      <c r="D494" s="75" t="s">
        <v>14</v>
      </c>
      <c r="E494" s="75" t="s">
        <v>87</v>
      </c>
      <c r="F494" s="76" t="s">
        <v>65</v>
      </c>
      <c r="G494" s="55">
        <v>25</v>
      </c>
      <c r="H494" s="55">
        <v>25</v>
      </c>
      <c r="I494" s="55">
        <v>25</v>
      </c>
    </row>
    <row r="495" spans="1:17" s="26" customFormat="1" x14ac:dyDescent="0.2">
      <c r="A495" s="28" t="s">
        <v>66</v>
      </c>
      <c r="B495" s="31">
        <v>915</v>
      </c>
      <c r="C495" s="24" t="s">
        <v>48</v>
      </c>
      <c r="D495" s="24" t="s">
        <v>14</v>
      </c>
      <c r="E495" s="24" t="s">
        <v>87</v>
      </c>
      <c r="F495" s="24" t="s">
        <v>67</v>
      </c>
      <c r="G495" s="25">
        <v>1276</v>
      </c>
      <c r="H495" s="25">
        <v>1276</v>
      </c>
      <c r="I495" s="25">
        <v>1276</v>
      </c>
      <c r="J495" s="102"/>
      <c r="K495" s="102"/>
      <c r="L495" s="102"/>
      <c r="M495" s="102"/>
      <c r="N495" s="102"/>
      <c r="O495" s="102"/>
      <c r="P495" s="102"/>
      <c r="Q495" s="102"/>
    </row>
    <row r="496" spans="1:17" s="26" customFormat="1" x14ac:dyDescent="0.2">
      <c r="A496" s="28" t="s">
        <v>69</v>
      </c>
      <c r="B496" s="31">
        <v>915</v>
      </c>
      <c r="C496" s="24" t="s">
        <v>48</v>
      </c>
      <c r="D496" s="24" t="s">
        <v>14</v>
      </c>
      <c r="E496" s="19" t="s">
        <v>87</v>
      </c>
      <c r="F496" s="24" t="s">
        <v>70</v>
      </c>
      <c r="G496" s="25">
        <v>170</v>
      </c>
      <c r="H496" s="25">
        <v>170</v>
      </c>
      <c r="I496" s="25">
        <v>170</v>
      </c>
      <c r="J496" s="102"/>
      <c r="K496" s="102"/>
      <c r="L496" s="102"/>
      <c r="M496" s="102"/>
      <c r="N496" s="102"/>
      <c r="O496" s="102"/>
      <c r="P496" s="102"/>
      <c r="Q496" s="102"/>
    </row>
    <row r="497" spans="1:17" s="67" customFormat="1" x14ac:dyDescent="0.2">
      <c r="A497" s="63" t="s">
        <v>53</v>
      </c>
      <c r="B497" s="64">
        <v>915</v>
      </c>
      <c r="C497" s="65" t="s">
        <v>48</v>
      </c>
      <c r="D497" s="65" t="s">
        <v>16</v>
      </c>
      <c r="E497" s="65"/>
      <c r="F497" s="65"/>
      <c r="G497" s="66">
        <f>G498+G502+G500</f>
        <v>122293</v>
      </c>
      <c r="H497" s="66">
        <f t="shared" ref="H497:I497" si="117">H498+H502+H500</f>
        <v>125994</v>
      </c>
      <c r="I497" s="66">
        <f t="shared" si="117"/>
        <v>130234</v>
      </c>
    </row>
    <row r="498" spans="1:17" ht="25.5" x14ac:dyDescent="0.2">
      <c r="A498" s="18" t="s">
        <v>338</v>
      </c>
      <c r="B498" s="22">
        <v>915</v>
      </c>
      <c r="C498" s="19" t="s">
        <v>48</v>
      </c>
      <c r="D498" s="19" t="s">
        <v>16</v>
      </c>
      <c r="E498" s="19" t="s">
        <v>336</v>
      </c>
      <c r="F498" s="19"/>
      <c r="G498" s="20">
        <f>G499</f>
        <v>73264</v>
      </c>
      <c r="H498" s="20">
        <f t="shared" ref="H498:I498" si="118">H499</f>
        <v>75462</v>
      </c>
      <c r="I498" s="20">
        <f t="shared" si="118"/>
        <v>77723</v>
      </c>
      <c r="J498" s="101"/>
      <c r="K498" s="101"/>
      <c r="L498" s="101"/>
      <c r="M498" s="101"/>
      <c r="N498" s="101"/>
      <c r="O498" s="101"/>
      <c r="P498" s="101"/>
      <c r="Q498" s="101"/>
    </row>
    <row r="499" spans="1:17" s="26" customFormat="1" x14ac:dyDescent="0.2">
      <c r="A499" s="28" t="s">
        <v>66</v>
      </c>
      <c r="B499" s="31">
        <v>915</v>
      </c>
      <c r="C499" s="24" t="s">
        <v>48</v>
      </c>
      <c r="D499" s="24" t="s">
        <v>16</v>
      </c>
      <c r="E499" s="24" t="s">
        <v>336</v>
      </c>
      <c r="F499" s="24" t="s">
        <v>67</v>
      </c>
      <c r="G499" s="25">
        <v>73264</v>
      </c>
      <c r="H499" s="25">
        <v>75462</v>
      </c>
      <c r="I499" s="25">
        <v>77723</v>
      </c>
      <c r="J499" s="102"/>
      <c r="K499" s="102"/>
      <c r="L499" s="102"/>
      <c r="M499" s="102"/>
      <c r="N499" s="102"/>
      <c r="O499" s="102"/>
      <c r="P499" s="102"/>
      <c r="Q499" s="102"/>
    </row>
    <row r="500" spans="1:17" ht="89.25" x14ac:dyDescent="0.2">
      <c r="A500" s="18" t="s">
        <v>237</v>
      </c>
      <c r="B500" s="22">
        <v>915</v>
      </c>
      <c r="C500" s="19" t="s">
        <v>48</v>
      </c>
      <c r="D500" s="19" t="s">
        <v>16</v>
      </c>
      <c r="E500" s="19" t="s">
        <v>95</v>
      </c>
      <c r="F500" s="19"/>
      <c r="G500" s="20">
        <f>G501</f>
        <v>615</v>
      </c>
      <c r="H500" s="20">
        <f>H501</f>
        <v>634</v>
      </c>
      <c r="I500" s="20">
        <f>I501</f>
        <v>659</v>
      </c>
      <c r="J500" s="101"/>
      <c r="K500" s="101"/>
      <c r="L500" s="101"/>
      <c r="M500" s="101"/>
      <c r="N500" s="101"/>
      <c r="O500" s="101"/>
      <c r="P500" s="101"/>
      <c r="Q500" s="101"/>
    </row>
    <row r="501" spans="1:17" s="26" customFormat="1" x14ac:dyDescent="0.2">
      <c r="A501" s="28" t="s">
        <v>66</v>
      </c>
      <c r="B501" s="31">
        <v>915</v>
      </c>
      <c r="C501" s="24" t="s">
        <v>48</v>
      </c>
      <c r="D501" s="24" t="s">
        <v>16</v>
      </c>
      <c r="E501" s="24" t="s">
        <v>95</v>
      </c>
      <c r="F501" s="24" t="s">
        <v>67</v>
      </c>
      <c r="G501" s="25">
        <v>615</v>
      </c>
      <c r="H501" s="25">
        <v>634</v>
      </c>
      <c r="I501" s="25">
        <v>659</v>
      </c>
      <c r="J501" s="102"/>
      <c r="K501" s="102"/>
      <c r="L501" s="102"/>
      <c r="M501" s="102"/>
      <c r="N501" s="102"/>
      <c r="O501" s="102"/>
      <c r="P501" s="102"/>
      <c r="Q501" s="102"/>
    </row>
    <row r="502" spans="1:17" ht="102" x14ac:dyDescent="0.2">
      <c r="A502" s="18" t="s">
        <v>238</v>
      </c>
      <c r="B502" s="22">
        <v>915</v>
      </c>
      <c r="C502" s="19" t="s">
        <v>48</v>
      </c>
      <c r="D502" s="19" t="s">
        <v>16</v>
      </c>
      <c r="E502" s="19" t="s">
        <v>97</v>
      </c>
      <c r="F502" s="19"/>
      <c r="G502" s="20">
        <f>G503</f>
        <v>48414</v>
      </c>
      <c r="H502" s="20">
        <f t="shared" ref="H502:I502" si="119">H503</f>
        <v>49898</v>
      </c>
      <c r="I502" s="20">
        <f t="shared" si="119"/>
        <v>51852</v>
      </c>
      <c r="J502" s="101"/>
      <c r="K502" s="101"/>
      <c r="L502" s="101"/>
      <c r="M502" s="101"/>
      <c r="N502" s="101"/>
      <c r="O502" s="101"/>
      <c r="P502" s="101"/>
      <c r="Q502" s="101"/>
    </row>
    <row r="503" spans="1:17" s="26" customFormat="1" x14ac:dyDescent="0.2">
      <c r="A503" s="28" t="s">
        <v>66</v>
      </c>
      <c r="B503" s="31">
        <v>915</v>
      </c>
      <c r="C503" s="24" t="s">
        <v>48</v>
      </c>
      <c r="D503" s="24" t="s">
        <v>16</v>
      </c>
      <c r="E503" s="19" t="s">
        <v>97</v>
      </c>
      <c r="F503" s="24" t="s">
        <v>67</v>
      </c>
      <c r="G503" s="25">
        <v>48414</v>
      </c>
      <c r="H503" s="25">
        <v>49898</v>
      </c>
      <c r="I503" s="25">
        <v>51852</v>
      </c>
      <c r="J503" s="102"/>
      <c r="K503" s="102"/>
      <c r="L503" s="102"/>
      <c r="M503" s="102"/>
      <c r="N503" s="102"/>
      <c r="O503" s="102"/>
      <c r="P503" s="102"/>
      <c r="Q503" s="102"/>
    </row>
    <row r="504" spans="1:17" s="9" customFormat="1" x14ac:dyDescent="0.2">
      <c r="A504" s="11" t="s">
        <v>54</v>
      </c>
      <c r="B504" s="14">
        <v>915</v>
      </c>
      <c r="C504" s="8" t="s">
        <v>48</v>
      </c>
      <c r="D504" s="8" t="s">
        <v>47</v>
      </c>
      <c r="E504" s="8"/>
      <c r="F504" s="8"/>
      <c r="G504" s="4">
        <f>G505+G508+G514+G512+G510+G520+G518</f>
        <v>37172.300000000003</v>
      </c>
      <c r="H504" s="4">
        <f t="shared" ref="H504:I504" si="120">H505+H508+H514+H512+H510+H520+H518</f>
        <v>31315.9</v>
      </c>
      <c r="I504" s="4">
        <f t="shared" si="120"/>
        <v>29767.9</v>
      </c>
      <c r="J504" s="4" t="e">
        <f>J505+J508+J514+J512+#REF!+J510+J520+#REF!</f>
        <v>#REF!</v>
      </c>
      <c r="K504" s="4" t="e">
        <f>K505+K508+K514+K512+#REF!+K510+K520+#REF!</f>
        <v>#REF!</v>
      </c>
      <c r="L504" s="4" t="e">
        <f>L505+L508+L514+L512+#REF!+L510+L520+#REF!</f>
        <v>#REF!</v>
      </c>
      <c r="M504" s="4" t="e">
        <f>M505+M508+M514+M512+#REF!+M510+M520+#REF!</f>
        <v>#REF!</v>
      </c>
      <c r="N504" s="4" t="e">
        <f>N505+N508+N514+N512+#REF!+N510+N520+#REF!</f>
        <v>#REF!</v>
      </c>
      <c r="O504" s="4" t="e">
        <f>O505+O508+O514+O512+#REF!+O510+O520+#REF!</f>
        <v>#REF!</v>
      </c>
      <c r="P504" s="4" t="e">
        <f>P505+P508+P514+P512+#REF!+P510+P520+#REF!</f>
        <v>#REF!</v>
      </c>
      <c r="Q504" s="4" t="e">
        <f>Q505+Q508+Q514+Q512+#REF!+Q510+Q520+#REF!</f>
        <v>#REF!</v>
      </c>
    </row>
    <row r="505" spans="1:17" x14ac:dyDescent="0.2">
      <c r="A505" s="18" t="s">
        <v>239</v>
      </c>
      <c r="B505" s="22">
        <v>915</v>
      </c>
      <c r="C505" s="19" t="s">
        <v>48</v>
      </c>
      <c r="D505" s="19" t="s">
        <v>47</v>
      </c>
      <c r="E505" s="19" t="s">
        <v>240</v>
      </c>
      <c r="F505" s="19"/>
      <c r="G505" s="20">
        <f>G506+G507</f>
        <v>2289.1999999999998</v>
      </c>
      <c r="H505" s="20">
        <f>H506+H507</f>
        <v>0</v>
      </c>
      <c r="I505" s="20">
        <f>I506+I507</f>
        <v>0</v>
      </c>
      <c r="J505" s="101"/>
      <c r="K505" s="101"/>
      <c r="L505" s="101"/>
      <c r="M505" s="101"/>
      <c r="N505" s="101"/>
      <c r="O505" s="101"/>
      <c r="P505" s="101"/>
      <c r="Q505" s="101"/>
    </row>
    <row r="506" spans="1:17" s="26" customFormat="1" ht="25.5" x14ac:dyDescent="0.2">
      <c r="A506" s="28" t="s">
        <v>73</v>
      </c>
      <c r="B506" s="31">
        <v>915</v>
      </c>
      <c r="C506" s="24" t="s">
        <v>48</v>
      </c>
      <c r="D506" s="24" t="s">
        <v>47</v>
      </c>
      <c r="E506" s="24" t="s">
        <v>240</v>
      </c>
      <c r="F506" s="24" t="s">
        <v>65</v>
      </c>
      <c r="G506" s="25">
        <f>2241.6-469+1.6-300</f>
        <v>1474.1999999999998</v>
      </c>
      <c r="H506" s="25"/>
      <c r="I506" s="25"/>
      <c r="J506" s="102"/>
      <c r="K506" s="102"/>
      <c r="L506" s="102"/>
      <c r="M506" s="102"/>
      <c r="N506" s="102"/>
      <c r="O506" s="102"/>
      <c r="P506" s="102"/>
      <c r="Q506" s="102"/>
    </row>
    <row r="507" spans="1:17" x14ac:dyDescent="0.2">
      <c r="A507" s="28" t="s">
        <v>66</v>
      </c>
      <c r="B507" s="23">
        <v>915</v>
      </c>
      <c r="C507" s="24" t="s">
        <v>48</v>
      </c>
      <c r="D507" s="24" t="s">
        <v>47</v>
      </c>
      <c r="E507" s="24" t="s">
        <v>240</v>
      </c>
      <c r="F507" s="27" t="s">
        <v>67</v>
      </c>
      <c r="G507" s="25">
        <f>469+316+30</f>
        <v>815</v>
      </c>
      <c r="H507" s="25"/>
      <c r="I507" s="25"/>
      <c r="J507" s="101"/>
      <c r="K507" s="101"/>
      <c r="L507" s="101"/>
      <c r="M507" s="101"/>
      <c r="N507" s="101"/>
      <c r="O507" s="101"/>
      <c r="P507" s="101"/>
      <c r="Q507" s="101"/>
    </row>
    <row r="508" spans="1:17" s="21" customFormat="1" x14ac:dyDescent="0.2">
      <c r="A508" s="18" t="s">
        <v>241</v>
      </c>
      <c r="B508" s="22">
        <v>915</v>
      </c>
      <c r="C508" s="19" t="s">
        <v>48</v>
      </c>
      <c r="D508" s="19" t="s">
        <v>47</v>
      </c>
      <c r="E508" s="19" t="s">
        <v>242</v>
      </c>
      <c r="F508" s="19"/>
      <c r="G508" s="20">
        <f>G509</f>
        <v>968.2</v>
      </c>
      <c r="H508" s="20">
        <f>H509</f>
        <v>0</v>
      </c>
      <c r="I508" s="20">
        <f>I509</f>
        <v>0</v>
      </c>
      <c r="J508" s="101"/>
      <c r="K508" s="101"/>
      <c r="L508" s="101"/>
      <c r="M508" s="101"/>
      <c r="N508" s="101"/>
      <c r="O508" s="101"/>
      <c r="P508" s="101"/>
      <c r="Q508" s="101"/>
    </row>
    <row r="509" spans="1:17" s="26" customFormat="1" ht="25.5" x14ac:dyDescent="0.2">
      <c r="A509" s="28" t="s">
        <v>119</v>
      </c>
      <c r="B509" s="31">
        <v>915</v>
      </c>
      <c r="C509" s="24" t="s">
        <v>48</v>
      </c>
      <c r="D509" s="24" t="s">
        <v>47</v>
      </c>
      <c r="E509" s="24" t="s">
        <v>242</v>
      </c>
      <c r="F509" s="24" t="s">
        <v>62</v>
      </c>
      <c r="G509" s="25">
        <v>968.2</v>
      </c>
      <c r="H509" s="55"/>
      <c r="I509" s="55"/>
      <c r="J509" s="102"/>
      <c r="K509" s="102"/>
      <c r="L509" s="102"/>
      <c r="M509" s="102"/>
      <c r="N509" s="102"/>
      <c r="O509" s="102"/>
      <c r="P509" s="102"/>
      <c r="Q509" s="102"/>
    </row>
    <row r="510" spans="1:17" x14ac:dyDescent="0.2">
      <c r="A510" s="18" t="s">
        <v>270</v>
      </c>
      <c r="B510" s="22">
        <v>915</v>
      </c>
      <c r="C510" s="19" t="s">
        <v>48</v>
      </c>
      <c r="D510" s="19" t="s">
        <v>47</v>
      </c>
      <c r="E510" s="19" t="s">
        <v>271</v>
      </c>
      <c r="F510" s="19"/>
      <c r="G510" s="20">
        <f>G511</f>
        <v>120.7</v>
      </c>
      <c r="H510" s="20">
        <f>H511</f>
        <v>0</v>
      </c>
      <c r="I510" s="20">
        <f>I511</f>
        <v>0</v>
      </c>
      <c r="J510" s="101"/>
      <c r="K510" s="101"/>
      <c r="L510" s="101"/>
      <c r="M510" s="101"/>
      <c r="N510" s="101"/>
      <c r="O510" s="101"/>
      <c r="P510" s="101"/>
      <c r="Q510" s="101"/>
    </row>
    <row r="511" spans="1:17" s="26" customFormat="1" x14ac:dyDescent="0.2">
      <c r="A511" s="28" t="s">
        <v>69</v>
      </c>
      <c r="B511" s="31">
        <v>915</v>
      </c>
      <c r="C511" s="24" t="s">
        <v>48</v>
      </c>
      <c r="D511" s="24" t="s">
        <v>47</v>
      </c>
      <c r="E511" s="24" t="s">
        <v>271</v>
      </c>
      <c r="F511" s="24" t="s">
        <v>70</v>
      </c>
      <c r="G511" s="25">
        <f>300-156.6-22.7</f>
        <v>120.7</v>
      </c>
      <c r="H511" s="25"/>
      <c r="I511" s="25"/>
      <c r="J511" s="102"/>
      <c r="K511" s="102"/>
      <c r="L511" s="102"/>
      <c r="M511" s="102"/>
      <c r="N511" s="102"/>
      <c r="O511" s="102"/>
      <c r="P511" s="102"/>
      <c r="Q511" s="102"/>
    </row>
    <row r="512" spans="1:17" s="72" customFormat="1" ht="25.5" x14ac:dyDescent="0.2">
      <c r="A512" s="68" t="s">
        <v>640</v>
      </c>
      <c r="B512" s="69">
        <v>915</v>
      </c>
      <c r="C512" s="70" t="s">
        <v>48</v>
      </c>
      <c r="D512" s="70" t="s">
        <v>47</v>
      </c>
      <c r="E512" s="70" t="s">
        <v>326</v>
      </c>
      <c r="F512" s="70"/>
      <c r="G512" s="71">
        <f>G513</f>
        <v>10</v>
      </c>
      <c r="H512" s="71">
        <f>H513</f>
        <v>0</v>
      </c>
      <c r="I512" s="71">
        <f>I513</f>
        <v>0</v>
      </c>
    </row>
    <row r="513" spans="1:22" s="77" customFormat="1" ht="25.5" x14ac:dyDescent="0.2">
      <c r="A513" s="28" t="s">
        <v>73</v>
      </c>
      <c r="B513" s="79">
        <v>915</v>
      </c>
      <c r="C513" s="75" t="s">
        <v>48</v>
      </c>
      <c r="D513" s="75" t="s">
        <v>47</v>
      </c>
      <c r="E513" s="75" t="s">
        <v>326</v>
      </c>
      <c r="F513" s="75" t="s">
        <v>65</v>
      </c>
      <c r="G513" s="55">
        <v>10</v>
      </c>
      <c r="H513" s="55"/>
      <c r="I513" s="55"/>
    </row>
    <row r="514" spans="1:22" ht="38.25" x14ac:dyDescent="0.2">
      <c r="A514" s="18" t="s">
        <v>243</v>
      </c>
      <c r="B514" s="22">
        <v>915</v>
      </c>
      <c r="C514" s="19" t="s">
        <v>48</v>
      </c>
      <c r="D514" s="19" t="s">
        <v>47</v>
      </c>
      <c r="E514" s="19" t="s">
        <v>93</v>
      </c>
      <c r="F514" s="19"/>
      <c r="G514" s="20">
        <f>G515+G516+G517</f>
        <v>28219.9</v>
      </c>
      <c r="H514" s="20">
        <f>H515+H516+H517</f>
        <v>28219.9</v>
      </c>
      <c r="I514" s="20">
        <f>I515+I516+I517</f>
        <v>28219.9</v>
      </c>
      <c r="J514" s="101"/>
      <c r="K514" s="101"/>
      <c r="L514" s="101"/>
      <c r="M514" s="101"/>
      <c r="N514" s="101"/>
      <c r="O514" s="101"/>
      <c r="P514" s="101"/>
      <c r="Q514" s="101"/>
    </row>
    <row r="515" spans="1:22" s="26" customFormat="1" ht="51.75" customHeight="1" x14ac:dyDescent="0.2">
      <c r="A515" s="23" t="s">
        <v>63</v>
      </c>
      <c r="B515" s="31">
        <v>915</v>
      </c>
      <c r="C515" s="24" t="s">
        <v>48</v>
      </c>
      <c r="D515" s="24" t="s">
        <v>47</v>
      </c>
      <c r="E515" s="24" t="s">
        <v>93</v>
      </c>
      <c r="F515" s="27" t="s">
        <v>64</v>
      </c>
      <c r="G515" s="25">
        <v>26948.9</v>
      </c>
      <c r="H515" s="25">
        <v>26948.9</v>
      </c>
      <c r="I515" s="25">
        <v>26948.9</v>
      </c>
      <c r="J515" s="102"/>
      <c r="K515" s="102"/>
      <c r="L515" s="102"/>
      <c r="M515" s="102"/>
      <c r="N515" s="102"/>
      <c r="O515" s="102"/>
      <c r="P515" s="102"/>
      <c r="Q515" s="102"/>
    </row>
    <row r="516" spans="1:22" s="26" customFormat="1" ht="25.5" x14ac:dyDescent="0.2">
      <c r="A516" s="28" t="s">
        <v>73</v>
      </c>
      <c r="B516" s="31">
        <v>915</v>
      </c>
      <c r="C516" s="24" t="s">
        <v>48</v>
      </c>
      <c r="D516" s="24" t="s">
        <v>47</v>
      </c>
      <c r="E516" s="24" t="s">
        <v>93</v>
      </c>
      <c r="F516" s="27" t="s">
        <v>65</v>
      </c>
      <c r="G516" s="25">
        <v>1263.4000000000001</v>
      </c>
      <c r="H516" s="25">
        <v>1263.4000000000001</v>
      </c>
      <c r="I516" s="25">
        <v>1263.4000000000001</v>
      </c>
      <c r="J516" s="102"/>
      <c r="K516" s="102"/>
      <c r="L516" s="102"/>
      <c r="M516" s="102"/>
      <c r="N516" s="102"/>
      <c r="O516" s="102"/>
      <c r="P516" s="102"/>
      <c r="Q516" s="102"/>
    </row>
    <row r="517" spans="1:22" s="77" customFormat="1" x14ac:dyDescent="0.2">
      <c r="A517" s="80" t="s">
        <v>69</v>
      </c>
      <c r="B517" s="79">
        <v>915</v>
      </c>
      <c r="C517" s="75" t="s">
        <v>48</v>
      </c>
      <c r="D517" s="75" t="s">
        <v>47</v>
      </c>
      <c r="E517" s="75" t="s">
        <v>93</v>
      </c>
      <c r="F517" s="75" t="s">
        <v>70</v>
      </c>
      <c r="G517" s="55">
        <v>7.6</v>
      </c>
      <c r="H517" s="55">
        <v>7.6</v>
      </c>
      <c r="I517" s="55">
        <v>7.6</v>
      </c>
    </row>
    <row r="518" spans="1:22" ht="25.5" x14ac:dyDescent="0.2">
      <c r="A518" s="18" t="s">
        <v>535</v>
      </c>
      <c r="B518" s="22">
        <v>915</v>
      </c>
      <c r="C518" s="19" t="s">
        <v>48</v>
      </c>
      <c r="D518" s="19" t="s">
        <v>47</v>
      </c>
      <c r="E518" s="19" t="s">
        <v>536</v>
      </c>
      <c r="F518" s="19"/>
      <c r="G518" s="20">
        <f>G519</f>
        <v>3096</v>
      </c>
      <c r="H518" s="20">
        <f t="shared" ref="H518:I518" si="121">H519</f>
        <v>3096</v>
      </c>
      <c r="I518" s="20">
        <f t="shared" si="121"/>
        <v>1548</v>
      </c>
      <c r="J518" s="101"/>
      <c r="K518" s="101"/>
      <c r="L518" s="101"/>
      <c r="M518" s="101"/>
      <c r="N518" s="101"/>
      <c r="O518" s="101"/>
      <c r="P518" s="101"/>
      <c r="Q518" s="101"/>
    </row>
    <row r="519" spans="1:22" s="9" customFormat="1" ht="25.5" x14ac:dyDescent="0.2">
      <c r="A519" s="28" t="s">
        <v>119</v>
      </c>
      <c r="B519" s="22">
        <v>915</v>
      </c>
      <c r="C519" s="19" t="s">
        <v>48</v>
      </c>
      <c r="D519" s="19" t="s">
        <v>47</v>
      </c>
      <c r="E519" s="19" t="s">
        <v>536</v>
      </c>
      <c r="F519" s="19" t="s">
        <v>62</v>
      </c>
      <c r="G519" s="20">
        <v>3096</v>
      </c>
      <c r="H519" s="20">
        <v>3096</v>
      </c>
      <c r="I519" s="20">
        <v>1548</v>
      </c>
      <c r="J519" s="106"/>
      <c r="K519" s="106"/>
      <c r="L519" s="106"/>
      <c r="M519" s="106"/>
      <c r="N519" s="106"/>
      <c r="O519" s="106"/>
      <c r="P519" s="106"/>
      <c r="Q519" s="106"/>
    </row>
    <row r="520" spans="1:22" x14ac:dyDescent="0.2">
      <c r="A520" s="18" t="s">
        <v>150</v>
      </c>
      <c r="B520" s="18">
        <v>915</v>
      </c>
      <c r="C520" s="19" t="s">
        <v>48</v>
      </c>
      <c r="D520" s="19" t="s">
        <v>47</v>
      </c>
      <c r="E520" s="16" t="s">
        <v>151</v>
      </c>
      <c r="F520" s="19"/>
      <c r="G520" s="4">
        <f>G521+G522+G523</f>
        <v>2468.3000000000002</v>
      </c>
      <c r="H520" s="4">
        <f t="shared" ref="H520:I520" si="122">H521+H522+H523</f>
        <v>0</v>
      </c>
      <c r="I520" s="4">
        <f t="shared" si="122"/>
        <v>0</v>
      </c>
      <c r="J520" s="101"/>
      <c r="K520" s="101"/>
      <c r="L520" s="101"/>
      <c r="M520" s="101"/>
      <c r="N520" s="101"/>
      <c r="O520" s="101"/>
      <c r="P520" s="101"/>
      <c r="Q520" s="101"/>
    </row>
    <row r="521" spans="1:22" ht="25.5" x14ac:dyDescent="0.2">
      <c r="A521" s="28" t="s">
        <v>73</v>
      </c>
      <c r="B521" s="18">
        <v>915</v>
      </c>
      <c r="C521" s="24" t="s">
        <v>48</v>
      </c>
      <c r="D521" s="24" t="s">
        <v>47</v>
      </c>
      <c r="E521" s="24" t="s">
        <v>151</v>
      </c>
      <c r="F521" s="24" t="s">
        <v>65</v>
      </c>
      <c r="G521" s="20">
        <f>3+75.3</f>
        <v>78.3</v>
      </c>
      <c r="H521" s="25"/>
      <c r="I521" s="25"/>
      <c r="J521" s="101"/>
      <c r="K521" s="101"/>
      <c r="L521" s="101"/>
      <c r="M521" s="101"/>
      <c r="N521" s="101"/>
      <c r="O521" s="101"/>
      <c r="P521" s="101"/>
      <c r="Q521" s="101"/>
    </row>
    <row r="522" spans="1:22" ht="14.25" customHeight="1" x14ac:dyDescent="0.2">
      <c r="A522" s="28" t="s">
        <v>66</v>
      </c>
      <c r="B522" s="18">
        <v>915</v>
      </c>
      <c r="C522" s="24" t="s">
        <v>48</v>
      </c>
      <c r="D522" s="24" t="s">
        <v>47</v>
      </c>
      <c r="E522" s="24" t="s">
        <v>151</v>
      </c>
      <c r="F522" s="24" t="s">
        <v>67</v>
      </c>
      <c r="G522" s="20">
        <f>689.7+0.3</f>
        <v>690</v>
      </c>
      <c r="H522" s="25"/>
      <c r="I522" s="25"/>
      <c r="J522" s="101"/>
      <c r="K522" s="101"/>
      <c r="L522" s="101"/>
      <c r="M522" s="101"/>
      <c r="N522" s="101"/>
      <c r="O522" s="101"/>
      <c r="P522" s="101"/>
      <c r="Q522" s="101"/>
    </row>
    <row r="523" spans="1:22" ht="28.5" customHeight="1" x14ac:dyDescent="0.2">
      <c r="A523" s="28" t="s">
        <v>79</v>
      </c>
      <c r="B523" s="18">
        <v>915</v>
      </c>
      <c r="C523" s="24" t="s">
        <v>48</v>
      </c>
      <c r="D523" s="24" t="s">
        <v>47</v>
      </c>
      <c r="E523" s="24" t="s">
        <v>151</v>
      </c>
      <c r="F523" s="24" t="s">
        <v>68</v>
      </c>
      <c r="G523" s="20">
        <v>1700</v>
      </c>
      <c r="H523" s="25"/>
      <c r="I523" s="25"/>
      <c r="J523" s="101"/>
      <c r="K523" s="101"/>
      <c r="L523" s="101"/>
      <c r="M523" s="101"/>
      <c r="N523" s="101"/>
      <c r="O523" s="101"/>
      <c r="P523" s="101"/>
      <c r="Q523" s="101"/>
    </row>
    <row r="524" spans="1:22" s="9" customFormat="1" ht="36" customHeight="1" x14ac:dyDescent="0.2">
      <c r="A524" s="39" t="s">
        <v>45</v>
      </c>
      <c r="B524" s="36">
        <v>919</v>
      </c>
      <c r="C524" s="40"/>
      <c r="D524" s="40"/>
      <c r="E524" s="40"/>
      <c r="F524" s="40"/>
      <c r="G524" s="38">
        <f>G529+G543+G598+G525</f>
        <v>592149.70685000008</v>
      </c>
      <c r="H524" s="38">
        <f>H529+H543+H598+H525</f>
        <v>194651.4</v>
      </c>
      <c r="I524" s="38">
        <f>I529+I543+I598+I525</f>
        <v>168778.1</v>
      </c>
      <c r="J524" s="38" t="e">
        <f>J529+J543+J598+#REF!</f>
        <v>#REF!</v>
      </c>
      <c r="K524" s="38" t="e">
        <f>K529+K543+K598+#REF!</f>
        <v>#REF!</v>
      </c>
      <c r="L524" s="38" t="e">
        <f>L529+L543+L598+#REF!</f>
        <v>#REF!</v>
      </c>
      <c r="M524" s="38" t="e">
        <f>M529+M543+M598+#REF!</f>
        <v>#REF!</v>
      </c>
      <c r="N524" s="38" t="e">
        <f>N529+N543+N598+#REF!</f>
        <v>#REF!</v>
      </c>
      <c r="O524" s="38" t="e">
        <f>O529+O543+O598+#REF!</f>
        <v>#REF!</v>
      </c>
      <c r="P524" s="38" t="e">
        <f>P529+P543+P598+#REF!</f>
        <v>#REF!</v>
      </c>
      <c r="Q524" s="38" t="e">
        <f>Q529+Q543+Q598+#REF!</f>
        <v>#REF!</v>
      </c>
      <c r="S524" s="222"/>
      <c r="V524" s="222"/>
    </row>
    <row r="525" spans="1:22" s="9" customFormat="1" x14ac:dyDescent="0.2">
      <c r="A525" s="13" t="s">
        <v>57</v>
      </c>
      <c r="B525" s="41">
        <v>919</v>
      </c>
      <c r="C525" s="1" t="s">
        <v>10</v>
      </c>
      <c r="D525" s="1"/>
      <c r="E525" s="1"/>
      <c r="F525" s="1"/>
      <c r="G525" s="4">
        <f>G526</f>
        <v>50</v>
      </c>
      <c r="H525" s="4">
        <f t="shared" ref="H525:I527" si="123">H526</f>
        <v>0</v>
      </c>
      <c r="I525" s="4">
        <f t="shared" si="123"/>
        <v>0</v>
      </c>
      <c r="J525" s="191"/>
      <c r="K525" s="191"/>
      <c r="L525" s="191"/>
      <c r="M525" s="191"/>
      <c r="N525" s="191"/>
      <c r="O525" s="191"/>
      <c r="P525" s="191"/>
      <c r="Q525" s="191"/>
    </row>
    <row r="526" spans="1:22" s="9" customFormat="1" x14ac:dyDescent="0.2">
      <c r="A526" s="11" t="s">
        <v>22</v>
      </c>
      <c r="B526" s="14">
        <v>919</v>
      </c>
      <c r="C526" s="8" t="s">
        <v>10</v>
      </c>
      <c r="D526" s="8" t="s">
        <v>58</v>
      </c>
      <c r="E526" s="8"/>
      <c r="F526" s="8"/>
      <c r="G526" s="4">
        <f>G527</f>
        <v>50</v>
      </c>
      <c r="H526" s="4">
        <f t="shared" si="123"/>
        <v>0</v>
      </c>
      <c r="I526" s="4">
        <f t="shared" si="123"/>
        <v>0</v>
      </c>
      <c r="J526" s="191"/>
      <c r="K526" s="191"/>
      <c r="L526" s="191"/>
      <c r="M526" s="191"/>
      <c r="N526" s="191"/>
      <c r="O526" s="191"/>
      <c r="P526" s="191"/>
      <c r="Q526" s="191"/>
    </row>
    <row r="527" spans="1:22" s="67" customFormat="1" ht="38.25" x14ac:dyDescent="0.2">
      <c r="A527" s="68" t="s">
        <v>637</v>
      </c>
      <c r="B527" s="69">
        <v>919</v>
      </c>
      <c r="C527" s="70" t="s">
        <v>10</v>
      </c>
      <c r="D527" s="70" t="s">
        <v>58</v>
      </c>
      <c r="E527" s="83" t="s">
        <v>587</v>
      </c>
      <c r="F527" s="83"/>
      <c r="G527" s="71">
        <f>G528</f>
        <v>50</v>
      </c>
      <c r="H527" s="71">
        <f t="shared" si="123"/>
        <v>0</v>
      </c>
      <c r="I527" s="71">
        <f t="shared" si="123"/>
        <v>0</v>
      </c>
      <c r="J527" s="197"/>
      <c r="K527" s="197"/>
      <c r="L527" s="197"/>
      <c r="M527" s="197"/>
      <c r="N527" s="197"/>
      <c r="O527" s="197"/>
      <c r="P527" s="197"/>
      <c r="Q527" s="197"/>
    </row>
    <row r="528" spans="1:22" s="67" customFormat="1" ht="25.5" x14ac:dyDescent="0.2">
      <c r="A528" s="28" t="s">
        <v>73</v>
      </c>
      <c r="B528" s="74">
        <v>919</v>
      </c>
      <c r="C528" s="75" t="s">
        <v>10</v>
      </c>
      <c r="D528" s="75" t="s">
        <v>58</v>
      </c>
      <c r="E528" s="75" t="s">
        <v>587</v>
      </c>
      <c r="F528" s="76" t="s">
        <v>65</v>
      </c>
      <c r="G528" s="71">
        <v>50</v>
      </c>
      <c r="H528" s="71"/>
      <c r="I528" s="71"/>
      <c r="J528" s="197"/>
      <c r="K528" s="197"/>
      <c r="L528" s="197"/>
      <c r="M528" s="197"/>
      <c r="N528" s="197"/>
      <c r="O528" s="197"/>
      <c r="P528" s="197"/>
      <c r="Q528" s="197"/>
    </row>
    <row r="529" spans="1:17" s="3" customFormat="1" x14ac:dyDescent="0.2">
      <c r="A529" s="13" t="s">
        <v>25</v>
      </c>
      <c r="B529" s="41">
        <v>919</v>
      </c>
      <c r="C529" s="1" t="s">
        <v>16</v>
      </c>
      <c r="D529" s="1"/>
      <c r="E529" s="1"/>
      <c r="F529" s="1"/>
      <c r="G529" s="2">
        <f>G530</f>
        <v>141947.78328</v>
      </c>
      <c r="H529" s="2">
        <f t="shared" ref="H529:I529" si="124">H530</f>
        <v>153594.9</v>
      </c>
      <c r="I529" s="2">
        <f t="shared" si="124"/>
        <v>133041.60000000001</v>
      </c>
    </row>
    <row r="530" spans="1:17" s="67" customFormat="1" x14ac:dyDescent="0.2">
      <c r="A530" s="63" t="s">
        <v>76</v>
      </c>
      <c r="B530" s="64">
        <v>919</v>
      </c>
      <c r="C530" s="65" t="s">
        <v>16</v>
      </c>
      <c r="D530" s="65" t="s">
        <v>24</v>
      </c>
      <c r="E530" s="65"/>
      <c r="F530" s="65"/>
      <c r="G530" s="66">
        <f>+G533+G535+G531+G537+G539+G541</f>
        <v>141947.78328</v>
      </c>
      <c r="H530" s="66">
        <f t="shared" ref="H530:I530" si="125">+H533+H535+H531+H537+H539+H541</f>
        <v>153594.9</v>
      </c>
      <c r="I530" s="66">
        <f t="shared" si="125"/>
        <v>133041.60000000001</v>
      </c>
      <c r="J530" s="66" t="e">
        <f>+J533+J535+J531+#REF!</f>
        <v>#REF!</v>
      </c>
      <c r="K530" s="66" t="e">
        <f>+K533+K535+K531+#REF!</f>
        <v>#REF!</v>
      </c>
      <c r="L530" s="66" t="e">
        <f>+L533+L535+L531+#REF!</f>
        <v>#REF!</v>
      </c>
      <c r="M530" s="66" t="e">
        <f>+M533+M535+M531+#REF!</f>
        <v>#REF!</v>
      </c>
      <c r="N530" s="66" t="e">
        <f>+N533+N535+N531+#REF!</f>
        <v>#REF!</v>
      </c>
      <c r="O530" s="66" t="e">
        <f>+O533+O535+O531+#REF!</f>
        <v>#REF!</v>
      </c>
      <c r="P530" s="66" t="e">
        <f>+P533+P535+P531+#REF!</f>
        <v>#REF!</v>
      </c>
      <c r="Q530" s="66" t="e">
        <f>+Q533+Q535+Q531+#REF!</f>
        <v>#REF!</v>
      </c>
    </row>
    <row r="531" spans="1:17" s="101" customFormat="1" ht="61.5" customHeight="1" x14ac:dyDescent="0.2">
      <c r="A531" s="224" t="s">
        <v>312</v>
      </c>
      <c r="B531" s="225">
        <v>919</v>
      </c>
      <c r="C531" s="226" t="s">
        <v>16</v>
      </c>
      <c r="D531" s="226" t="s">
        <v>24</v>
      </c>
      <c r="E531" s="226" t="s">
        <v>315</v>
      </c>
      <c r="F531" s="226"/>
      <c r="G531" s="190">
        <f>G532</f>
        <v>31500</v>
      </c>
      <c r="H531" s="190">
        <f>H532</f>
        <v>30000</v>
      </c>
      <c r="I531" s="190">
        <f>I532</f>
        <v>35000</v>
      </c>
    </row>
    <row r="532" spans="1:17" s="102" customFormat="1" ht="25.5" x14ac:dyDescent="0.2">
      <c r="A532" s="230" t="s">
        <v>119</v>
      </c>
      <c r="B532" s="227">
        <v>919</v>
      </c>
      <c r="C532" s="228" t="s">
        <v>16</v>
      </c>
      <c r="D532" s="228" t="s">
        <v>24</v>
      </c>
      <c r="E532" s="228" t="s">
        <v>315</v>
      </c>
      <c r="F532" s="228" t="s">
        <v>62</v>
      </c>
      <c r="G532" s="189">
        <f>1500+30000</f>
        <v>31500</v>
      </c>
      <c r="H532" s="189">
        <v>30000</v>
      </c>
      <c r="I532" s="189">
        <v>35000</v>
      </c>
    </row>
    <row r="533" spans="1:17" ht="25.5" x14ac:dyDescent="0.2">
      <c r="A533" s="18" t="s">
        <v>249</v>
      </c>
      <c r="B533" s="22">
        <v>919</v>
      </c>
      <c r="C533" s="19" t="s">
        <v>16</v>
      </c>
      <c r="D533" s="19" t="s">
        <v>24</v>
      </c>
      <c r="E533" s="19" t="s">
        <v>248</v>
      </c>
      <c r="F533" s="19"/>
      <c r="G533" s="20">
        <f>G534</f>
        <v>82844</v>
      </c>
      <c r="H533" s="20">
        <f>H534</f>
        <v>89779.5</v>
      </c>
      <c r="I533" s="20">
        <f>I534</f>
        <v>64769</v>
      </c>
      <c r="J533" s="101"/>
      <c r="K533" s="101"/>
      <c r="L533" s="101"/>
      <c r="M533" s="101"/>
      <c r="N533" s="101"/>
      <c r="O533" s="101"/>
      <c r="P533" s="101"/>
      <c r="Q533" s="101"/>
    </row>
    <row r="534" spans="1:17" s="26" customFormat="1" ht="25.5" x14ac:dyDescent="0.2">
      <c r="A534" s="28" t="s">
        <v>119</v>
      </c>
      <c r="B534" s="31">
        <v>919</v>
      </c>
      <c r="C534" s="24" t="s">
        <v>16</v>
      </c>
      <c r="D534" s="24" t="s">
        <v>24</v>
      </c>
      <c r="E534" s="24" t="s">
        <v>248</v>
      </c>
      <c r="F534" s="24" t="s">
        <v>62</v>
      </c>
      <c r="G534" s="25">
        <f>84184-2000+660</f>
        <v>82844</v>
      </c>
      <c r="H534" s="25">
        <v>89779.5</v>
      </c>
      <c r="I534" s="25">
        <v>64769</v>
      </c>
      <c r="J534" s="102"/>
      <c r="K534" s="102"/>
      <c r="L534" s="102"/>
      <c r="M534" s="102"/>
      <c r="N534" s="102"/>
      <c r="O534" s="102"/>
      <c r="P534" s="102"/>
      <c r="Q534" s="102"/>
    </row>
    <row r="535" spans="1:17" s="72" customFormat="1" ht="25.5" x14ac:dyDescent="0.2">
      <c r="A535" s="68" t="s">
        <v>251</v>
      </c>
      <c r="B535" s="68">
        <v>919</v>
      </c>
      <c r="C535" s="70" t="s">
        <v>16</v>
      </c>
      <c r="D535" s="70" t="s">
        <v>24</v>
      </c>
      <c r="E535" s="70" t="s">
        <v>250</v>
      </c>
      <c r="F535" s="70"/>
      <c r="G535" s="71">
        <f>G536</f>
        <v>14330</v>
      </c>
      <c r="H535" s="71">
        <f>H536</f>
        <v>14330</v>
      </c>
      <c r="I535" s="71">
        <f>I536</f>
        <v>12730</v>
      </c>
    </row>
    <row r="536" spans="1:17" s="72" customFormat="1" ht="25.5" x14ac:dyDescent="0.2">
      <c r="A536" s="80" t="s">
        <v>119</v>
      </c>
      <c r="B536" s="80">
        <v>919</v>
      </c>
      <c r="C536" s="75" t="s">
        <v>16</v>
      </c>
      <c r="D536" s="75" t="s">
        <v>24</v>
      </c>
      <c r="E536" s="75" t="s">
        <v>250</v>
      </c>
      <c r="F536" s="75" t="s">
        <v>62</v>
      </c>
      <c r="G536" s="55">
        <v>14330</v>
      </c>
      <c r="H536" s="55">
        <v>14330</v>
      </c>
      <c r="I536" s="55">
        <v>12730</v>
      </c>
    </row>
    <row r="537" spans="1:17" ht="25.5" x14ac:dyDescent="0.2">
      <c r="A537" s="17" t="s">
        <v>323</v>
      </c>
      <c r="B537" s="42">
        <v>919</v>
      </c>
      <c r="C537" s="19" t="s">
        <v>16</v>
      </c>
      <c r="D537" s="19" t="s">
        <v>24</v>
      </c>
      <c r="E537" s="19" t="s">
        <v>321</v>
      </c>
      <c r="F537" s="19"/>
      <c r="G537" s="20">
        <f>G538</f>
        <v>601.17986000000008</v>
      </c>
      <c r="H537" s="20">
        <f t="shared" ref="H537:I537" si="126">H538</f>
        <v>974.3</v>
      </c>
      <c r="I537" s="20">
        <f t="shared" si="126"/>
        <v>1027.0999999999999</v>
      </c>
      <c r="J537" s="101"/>
      <c r="K537" s="101"/>
      <c r="L537" s="101"/>
      <c r="M537" s="101"/>
      <c r="N537" s="101"/>
      <c r="O537" s="101"/>
      <c r="P537" s="101"/>
      <c r="Q537" s="101"/>
    </row>
    <row r="538" spans="1:17" ht="25.5" x14ac:dyDescent="0.2">
      <c r="A538" s="28" t="s">
        <v>73</v>
      </c>
      <c r="B538" s="31">
        <v>919</v>
      </c>
      <c r="C538" s="24" t="s">
        <v>16</v>
      </c>
      <c r="D538" s="24" t="s">
        <v>24</v>
      </c>
      <c r="E538" s="24" t="s">
        <v>322</v>
      </c>
      <c r="F538" s="24" t="s">
        <v>65</v>
      </c>
      <c r="G538" s="25">
        <f>971.6-391.02089-0.00335+20.6041</f>
        <v>601.17986000000008</v>
      </c>
      <c r="H538" s="25">
        <v>974.3</v>
      </c>
      <c r="I538" s="25">
        <v>1027.0999999999999</v>
      </c>
      <c r="J538" s="101"/>
      <c r="K538" s="101"/>
      <c r="L538" s="101"/>
      <c r="M538" s="101"/>
      <c r="N538" s="101"/>
      <c r="O538" s="101"/>
      <c r="P538" s="101"/>
      <c r="Q538" s="101"/>
    </row>
    <row r="539" spans="1:17" ht="38.25" x14ac:dyDescent="0.2">
      <c r="A539" s="17" t="s">
        <v>646</v>
      </c>
      <c r="B539" s="42">
        <v>919</v>
      </c>
      <c r="C539" s="19" t="s">
        <v>16</v>
      </c>
      <c r="D539" s="19" t="s">
        <v>24</v>
      </c>
      <c r="E539" s="19" t="s">
        <v>645</v>
      </c>
      <c r="F539" s="19"/>
      <c r="G539" s="20">
        <f>G540</f>
        <v>10672.603419999999</v>
      </c>
      <c r="H539" s="20">
        <f t="shared" ref="H539:I539" si="127">H540</f>
        <v>18511.099999999999</v>
      </c>
      <c r="I539" s="20">
        <f t="shared" si="127"/>
        <v>19515.5</v>
      </c>
      <c r="J539" s="101"/>
      <c r="K539" s="101"/>
      <c r="L539" s="101"/>
      <c r="M539" s="101"/>
      <c r="N539" s="101"/>
      <c r="O539" s="101"/>
      <c r="P539" s="101"/>
      <c r="Q539" s="101"/>
    </row>
    <row r="540" spans="1:17" ht="25.5" x14ac:dyDescent="0.2">
      <c r="A540" s="28" t="s">
        <v>73</v>
      </c>
      <c r="B540" s="31">
        <v>919</v>
      </c>
      <c r="C540" s="24" t="s">
        <v>16</v>
      </c>
      <c r="D540" s="24" t="s">
        <v>24</v>
      </c>
      <c r="E540" s="19" t="s">
        <v>645</v>
      </c>
      <c r="F540" s="24" t="s">
        <v>65</v>
      </c>
      <c r="G540" s="25">
        <f>2269.5-423.5+16614.3-7429.29695-0.06365+391.4779-749.81388</f>
        <v>10672.603419999999</v>
      </c>
      <c r="H540" s="25">
        <f>1851.1+16660</f>
        <v>18511.099999999999</v>
      </c>
      <c r="I540" s="25">
        <f>1951.5+17564</f>
        <v>19515.5</v>
      </c>
      <c r="J540" s="101"/>
      <c r="K540" s="101"/>
      <c r="L540" s="101"/>
      <c r="M540" s="101"/>
      <c r="N540" s="101"/>
      <c r="O540" s="101"/>
      <c r="P540" s="101"/>
      <c r="Q540" s="101"/>
    </row>
    <row r="541" spans="1:17" ht="61.5" customHeight="1" x14ac:dyDescent="0.2">
      <c r="A541" s="18" t="s">
        <v>688</v>
      </c>
      <c r="B541" s="22">
        <v>919</v>
      </c>
      <c r="C541" s="19" t="s">
        <v>16</v>
      </c>
      <c r="D541" s="19" t="s">
        <v>24</v>
      </c>
      <c r="E541" s="19" t="s">
        <v>691</v>
      </c>
      <c r="F541" s="19"/>
      <c r="G541" s="20">
        <f>G542</f>
        <v>2000</v>
      </c>
      <c r="H541" s="20"/>
      <c r="I541" s="20"/>
      <c r="J541" s="101"/>
      <c r="K541" s="101"/>
      <c r="L541" s="101"/>
      <c r="M541" s="101"/>
      <c r="N541" s="101"/>
      <c r="O541" s="101"/>
      <c r="P541" s="101"/>
      <c r="Q541" s="101"/>
    </row>
    <row r="542" spans="1:17" ht="25.5" x14ac:dyDescent="0.2">
      <c r="A542" s="28" t="s">
        <v>119</v>
      </c>
      <c r="B542" s="31">
        <v>919</v>
      </c>
      <c r="C542" s="24" t="s">
        <v>16</v>
      </c>
      <c r="D542" s="24" t="s">
        <v>24</v>
      </c>
      <c r="E542" s="19" t="s">
        <v>691</v>
      </c>
      <c r="F542" s="24" t="s">
        <v>62</v>
      </c>
      <c r="G542" s="25">
        <v>2000</v>
      </c>
      <c r="H542" s="25"/>
      <c r="I542" s="25"/>
      <c r="J542" s="101"/>
      <c r="K542" s="101"/>
      <c r="L542" s="101"/>
      <c r="M542" s="101"/>
      <c r="N542" s="101"/>
      <c r="O542" s="101"/>
      <c r="P542" s="101"/>
      <c r="Q542" s="101"/>
    </row>
    <row r="543" spans="1:17" s="89" customFormat="1" ht="15.75" customHeight="1" x14ac:dyDescent="0.2">
      <c r="A543" s="88" t="s">
        <v>27</v>
      </c>
      <c r="B543" s="57">
        <v>919</v>
      </c>
      <c r="C543" s="58" t="s">
        <v>28</v>
      </c>
      <c r="D543" s="58"/>
      <c r="E543" s="58"/>
      <c r="F543" s="58"/>
      <c r="G543" s="61">
        <f>G544+G549+G566+G592</f>
        <v>448107.62357000005</v>
      </c>
      <c r="H543" s="61">
        <f>H544+H549+H566+H592</f>
        <v>41056.5</v>
      </c>
      <c r="I543" s="61">
        <f>I544+I549+I566+I592</f>
        <v>35736.5</v>
      </c>
    </row>
    <row r="544" spans="1:17" s="9" customFormat="1" x14ac:dyDescent="0.2">
      <c r="A544" s="11" t="s">
        <v>29</v>
      </c>
      <c r="B544" s="14">
        <v>919</v>
      </c>
      <c r="C544" s="8" t="s">
        <v>28</v>
      </c>
      <c r="D544" s="8" t="s">
        <v>10</v>
      </c>
      <c r="E544" s="8"/>
      <c r="F544" s="8"/>
      <c r="G544" s="4">
        <f>G545+G547</f>
        <v>3208</v>
      </c>
      <c r="H544" s="4">
        <f t="shared" ref="H544:Q544" si="128">H545+H547</f>
        <v>0</v>
      </c>
      <c r="I544" s="4">
        <f t="shared" si="128"/>
        <v>0</v>
      </c>
      <c r="J544" s="4">
        <f t="shared" si="128"/>
        <v>0</v>
      </c>
      <c r="K544" s="4">
        <f t="shared" si="128"/>
        <v>0</v>
      </c>
      <c r="L544" s="4">
        <f t="shared" si="128"/>
        <v>0</v>
      </c>
      <c r="M544" s="4">
        <f t="shared" si="128"/>
        <v>0</v>
      </c>
      <c r="N544" s="4">
        <f t="shared" si="128"/>
        <v>0</v>
      </c>
      <c r="O544" s="4">
        <f t="shared" si="128"/>
        <v>0</v>
      </c>
      <c r="P544" s="4">
        <f t="shared" si="128"/>
        <v>0</v>
      </c>
      <c r="Q544" s="4">
        <f t="shared" si="128"/>
        <v>0</v>
      </c>
    </row>
    <row r="545" spans="1:17" x14ac:dyDescent="0.2">
      <c r="A545" s="18" t="s">
        <v>329</v>
      </c>
      <c r="B545" s="22">
        <v>919</v>
      </c>
      <c r="C545" s="19" t="s">
        <v>28</v>
      </c>
      <c r="D545" s="19" t="s">
        <v>10</v>
      </c>
      <c r="E545" s="19" t="s">
        <v>330</v>
      </c>
      <c r="F545" s="19"/>
      <c r="G545" s="20">
        <f t="shared" ref="G545:I545" si="129">G546</f>
        <v>1708</v>
      </c>
      <c r="H545" s="20">
        <f t="shared" si="129"/>
        <v>0</v>
      </c>
      <c r="I545" s="20">
        <f t="shared" si="129"/>
        <v>0</v>
      </c>
      <c r="J545" s="101"/>
      <c r="K545" s="101"/>
      <c r="L545" s="101"/>
      <c r="M545" s="101"/>
      <c r="N545" s="101"/>
      <c r="O545" s="101"/>
      <c r="P545" s="101"/>
      <c r="Q545" s="101"/>
    </row>
    <row r="546" spans="1:17" s="26" customFormat="1" ht="25.5" x14ac:dyDescent="0.2">
      <c r="A546" s="28" t="s">
        <v>73</v>
      </c>
      <c r="B546" s="31">
        <v>919</v>
      </c>
      <c r="C546" s="24" t="s">
        <v>28</v>
      </c>
      <c r="D546" s="24" t="s">
        <v>10</v>
      </c>
      <c r="E546" s="24" t="s">
        <v>330</v>
      </c>
      <c r="F546" s="24" t="s">
        <v>65</v>
      </c>
      <c r="G546" s="25">
        <f>894+1100-286</f>
        <v>1708</v>
      </c>
      <c r="H546" s="25"/>
      <c r="I546" s="25"/>
      <c r="J546" s="102"/>
      <c r="K546" s="102"/>
      <c r="L546" s="102"/>
      <c r="M546" s="102"/>
      <c r="N546" s="102"/>
      <c r="O546" s="102"/>
      <c r="P546" s="102"/>
      <c r="Q546" s="102"/>
    </row>
    <row r="547" spans="1:17" s="26" customFormat="1" ht="25.5" x14ac:dyDescent="0.2">
      <c r="A547" s="18" t="s">
        <v>310</v>
      </c>
      <c r="B547" s="18">
        <v>919</v>
      </c>
      <c r="C547" s="19" t="s">
        <v>28</v>
      </c>
      <c r="D547" s="19" t="s">
        <v>10</v>
      </c>
      <c r="E547" s="19" t="s">
        <v>311</v>
      </c>
      <c r="F547" s="19"/>
      <c r="G547" s="25">
        <f>G548</f>
        <v>1500</v>
      </c>
      <c r="H547" s="25">
        <f t="shared" ref="H547:I547" si="130">H548</f>
        <v>0</v>
      </c>
      <c r="I547" s="25">
        <f t="shared" si="130"/>
        <v>0</v>
      </c>
    </row>
    <row r="548" spans="1:17" s="26" customFormat="1" ht="25.5" x14ac:dyDescent="0.2">
      <c r="A548" s="28" t="s">
        <v>73</v>
      </c>
      <c r="B548" s="28">
        <v>919</v>
      </c>
      <c r="C548" s="24" t="s">
        <v>28</v>
      </c>
      <c r="D548" s="24" t="s">
        <v>10</v>
      </c>
      <c r="E548" s="24" t="s">
        <v>311</v>
      </c>
      <c r="F548" s="27" t="s">
        <v>65</v>
      </c>
      <c r="G548" s="25">
        <v>1500</v>
      </c>
      <c r="H548" s="25"/>
      <c r="I548" s="25"/>
    </row>
    <row r="549" spans="1:17" s="67" customFormat="1" ht="15" customHeight="1" x14ac:dyDescent="0.2">
      <c r="A549" s="63" t="s">
        <v>30</v>
      </c>
      <c r="B549" s="64">
        <v>919</v>
      </c>
      <c r="C549" s="65" t="s">
        <v>28</v>
      </c>
      <c r="D549" s="65" t="s">
        <v>12</v>
      </c>
      <c r="E549" s="65"/>
      <c r="F549" s="65"/>
      <c r="G549" s="66">
        <f>+G556+G558+G560+G550+G554+G562+G564+G552</f>
        <v>362129</v>
      </c>
      <c r="H549" s="66">
        <f t="shared" ref="H549:I549" si="131">+H556+H558+H560+H550+H554+H562+H564+H552</f>
        <v>0</v>
      </c>
      <c r="I549" s="66">
        <f t="shared" si="131"/>
        <v>0</v>
      </c>
      <c r="J549" s="66" t="e">
        <f>+J556+J558+J560+J550+J554+#REF!</f>
        <v>#REF!</v>
      </c>
      <c r="K549" s="66" t="e">
        <f>+K556+K558+K560+K550+K554+#REF!</f>
        <v>#REF!</v>
      </c>
      <c r="L549" s="66" t="e">
        <f>+L556+L558+L560+L550+L554+#REF!</f>
        <v>#REF!</v>
      </c>
      <c r="M549" s="66" t="e">
        <f>+M556+M558+M560+M550+M554+#REF!</f>
        <v>#REF!</v>
      </c>
      <c r="N549" s="66" t="e">
        <f>+N556+N558+N560+N550+N554+#REF!</f>
        <v>#REF!</v>
      </c>
      <c r="O549" s="66" t="e">
        <f>+O556+O558+O560+O550+O554+#REF!</f>
        <v>#REF!</v>
      </c>
      <c r="P549" s="66" t="e">
        <f>+P556+P558+P560+P550+P554+#REF!</f>
        <v>#REF!</v>
      </c>
      <c r="Q549" s="66" t="e">
        <f>+Q556+Q558+Q560+Q550+Q554+#REF!</f>
        <v>#REF!</v>
      </c>
    </row>
    <row r="550" spans="1:17" s="7" customFormat="1" ht="25.5" x14ac:dyDescent="0.2">
      <c r="A550" s="17" t="s">
        <v>253</v>
      </c>
      <c r="B550" s="42">
        <v>919</v>
      </c>
      <c r="C550" s="19" t="s">
        <v>28</v>
      </c>
      <c r="D550" s="19" t="s">
        <v>12</v>
      </c>
      <c r="E550" s="19" t="s">
        <v>252</v>
      </c>
      <c r="F550" s="19"/>
      <c r="G550" s="20">
        <f>G551</f>
        <v>1263.9000000000001</v>
      </c>
      <c r="H550" s="20">
        <f t="shared" ref="H550:I550" si="132">H551</f>
        <v>0</v>
      </c>
      <c r="I550" s="20">
        <f t="shared" si="132"/>
        <v>0</v>
      </c>
      <c r="J550" s="103"/>
      <c r="K550" s="103"/>
      <c r="L550" s="103"/>
      <c r="M550" s="103"/>
      <c r="N550" s="103"/>
      <c r="O550" s="103"/>
      <c r="P550" s="103"/>
      <c r="Q550" s="103"/>
    </row>
    <row r="551" spans="1:17" s="7" customFormat="1" ht="25.5" x14ac:dyDescent="0.2">
      <c r="A551" s="28" t="s">
        <v>73</v>
      </c>
      <c r="B551" s="31">
        <v>919</v>
      </c>
      <c r="C551" s="24" t="s">
        <v>28</v>
      </c>
      <c r="D551" s="24" t="s">
        <v>12</v>
      </c>
      <c r="E551" s="24" t="s">
        <v>252</v>
      </c>
      <c r="F551" s="24" t="s">
        <v>65</v>
      </c>
      <c r="G551" s="25">
        <f>940.9+323</f>
        <v>1263.9000000000001</v>
      </c>
      <c r="H551" s="25"/>
      <c r="I551" s="25"/>
      <c r="J551" s="103"/>
      <c r="K551" s="103"/>
      <c r="L551" s="103"/>
      <c r="M551" s="103"/>
      <c r="N551" s="103"/>
      <c r="O551" s="103"/>
      <c r="P551" s="103"/>
      <c r="Q551" s="103"/>
    </row>
    <row r="552" spans="1:17" s="26" customFormat="1" ht="25.5" x14ac:dyDescent="0.2">
      <c r="A552" s="18" t="s">
        <v>584</v>
      </c>
      <c r="B552" s="22">
        <v>919</v>
      </c>
      <c r="C552" s="19" t="s">
        <v>28</v>
      </c>
      <c r="D552" s="19" t="s">
        <v>12</v>
      </c>
      <c r="E552" s="19" t="s">
        <v>585</v>
      </c>
      <c r="F552" s="19"/>
      <c r="G552" s="25">
        <f>G553</f>
        <v>800</v>
      </c>
      <c r="H552" s="25">
        <f t="shared" ref="H552:I552" si="133">H553</f>
        <v>0</v>
      </c>
      <c r="I552" s="25">
        <f t="shared" si="133"/>
        <v>0</v>
      </c>
      <c r="J552" s="102"/>
      <c r="K552" s="102"/>
      <c r="L552" s="102"/>
      <c r="M552" s="102"/>
      <c r="N552" s="102"/>
      <c r="O552" s="102"/>
      <c r="P552" s="102"/>
      <c r="Q552" s="102"/>
    </row>
    <row r="553" spans="1:17" s="26" customFormat="1" ht="25.5" x14ac:dyDescent="0.2">
      <c r="A553" s="28" t="s">
        <v>73</v>
      </c>
      <c r="B553" s="31">
        <v>919</v>
      </c>
      <c r="C553" s="24" t="s">
        <v>28</v>
      </c>
      <c r="D553" s="24" t="s">
        <v>12</v>
      </c>
      <c r="E553" s="24" t="s">
        <v>585</v>
      </c>
      <c r="F553" s="24" t="s">
        <v>65</v>
      </c>
      <c r="G553" s="25">
        <f>1000-200</f>
        <v>800</v>
      </c>
      <c r="H553" s="25"/>
      <c r="I553" s="25"/>
      <c r="J553" s="102"/>
      <c r="K553" s="102"/>
      <c r="L553" s="102"/>
      <c r="M553" s="102"/>
      <c r="N553" s="102"/>
      <c r="O553" s="102"/>
      <c r="P553" s="102"/>
      <c r="Q553" s="102"/>
    </row>
    <row r="554" spans="1:17" s="7" customFormat="1" ht="13.5" customHeight="1" x14ac:dyDescent="0.2">
      <c r="A554" s="17" t="s">
        <v>293</v>
      </c>
      <c r="B554" s="17">
        <v>919</v>
      </c>
      <c r="C554" s="19" t="s">
        <v>28</v>
      </c>
      <c r="D554" s="19" t="s">
        <v>12</v>
      </c>
      <c r="E554" s="19" t="s">
        <v>292</v>
      </c>
      <c r="F554" s="19"/>
      <c r="G554" s="20">
        <f>G555</f>
        <v>14349.1</v>
      </c>
      <c r="H554" s="20">
        <f>H555</f>
        <v>0</v>
      </c>
      <c r="I554" s="20">
        <f>I555</f>
        <v>0</v>
      </c>
      <c r="J554" s="103"/>
      <c r="K554" s="103"/>
      <c r="L554" s="103"/>
      <c r="M554" s="103"/>
      <c r="N554" s="103"/>
      <c r="O554" s="103"/>
      <c r="P554" s="103"/>
      <c r="Q554" s="103"/>
    </row>
    <row r="555" spans="1:17" s="7" customFormat="1" ht="25.5" x14ac:dyDescent="0.2">
      <c r="A555" s="28" t="s">
        <v>73</v>
      </c>
      <c r="B555" s="28">
        <v>919</v>
      </c>
      <c r="C555" s="24" t="s">
        <v>28</v>
      </c>
      <c r="D555" s="24" t="s">
        <v>12</v>
      </c>
      <c r="E555" s="24" t="s">
        <v>292</v>
      </c>
      <c r="F555" s="24" t="s">
        <v>65</v>
      </c>
      <c r="G555" s="25">
        <f>2149.1+200+12000</f>
        <v>14349.1</v>
      </c>
      <c r="H555" s="25"/>
      <c r="I555" s="25"/>
      <c r="J555" s="103"/>
      <c r="K555" s="103"/>
      <c r="L555" s="103"/>
      <c r="M555" s="103"/>
      <c r="N555" s="103"/>
      <c r="O555" s="103"/>
      <c r="P555" s="103"/>
      <c r="Q555" s="103"/>
    </row>
    <row r="556" spans="1:17" s="101" customFormat="1" ht="63.75" x14ac:dyDescent="0.2">
      <c r="A556" s="224" t="s">
        <v>402</v>
      </c>
      <c r="B556" s="225">
        <v>919</v>
      </c>
      <c r="C556" s="226" t="s">
        <v>28</v>
      </c>
      <c r="D556" s="226" t="s">
        <v>12</v>
      </c>
      <c r="E556" s="226" t="s">
        <v>254</v>
      </c>
      <c r="F556" s="226"/>
      <c r="G556" s="190">
        <f>G557</f>
        <v>275653.39999999997</v>
      </c>
      <c r="H556" s="190">
        <f>H557</f>
        <v>0</v>
      </c>
      <c r="I556" s="190">
        <f>I557</f>
        <v>0</v>
      </c>
    </row>
    <row r="557" spans="1:17" s="102" customFormat="1" x14ac:dyDescent="0.2">
      <c r="A557" s="230" t="s">
        <v>69</v>
      </c>
      <c r="B557" s="227">
        <v>919</v>
      </c>
      <c r="C557" s="228" t="s">
        <v>28</v>
      </c>
      <c r="D557" s="228" t="s">
        <v>12</v>
      </c>
      <c r="E557" s="228" t="s">
        <v>254</v>
      </c>
      <c r="F557" s="228" t="s">
        <v>70</v>
      </c>
      <c r="G557" s="189">
        <f>57392.8+109759.2+2734.5-2194.7+50000-1600+36374.3+23187.3</f>
        <v>275653.39999999997</v>
      </c>
      <c r="H557" s="189"/>
      <c r="I557" s="189"/>
    </row>
    <row r="558" spans="1:17" ht="63.75" x14ac:dyDescent="0.2">
      <c r="A558" s="17" t="s">
        <v>400</v>
      </c>
      <c r="B558" s="42">
        <v>919</v>
      </c>
      <c r="C558" s="19" t="s">
        <v>28</v>
      </c>
      <c r="D558" s="19" t="s">
        <v>12</v>
      </c>
      <c r="E558" s="19" t="s">
        <v>255</v>
      </c>
      <c r="F558" s="19"/>
      <c r="G558" s="20">
        <f>G559</f>
        <v>13355.2</v>
      </c>
      <c r="H558" s="20">
        <f>H559</f>
        <v>0</v>
      </c>
      <c r="I558" s="20">
        <f>I559</f>
        <v>0</v>
      </c>
      <c r="J558" s="101"/>
      <c r="K558" s="101"/>
      <c r="L558" s="101"/>
      <c r="M558" s="101"/>
      <c r="N558" s="101"/>
      <c r="O558" s="101"/>
      <c r="P558" s="101"/>
      <c r="Q558" s="101"/>
    </row>
    <row r="559" spans="1:17" s="26" customFormat="1" x14ac:dyDescent="0.2">
      <c r="A559" s="28" t="s">
        <v>69</v>
      </c>
      <c r="B559" s="31">
        <v>919</v>
      </c>
      <c r="C559" s="24" t="s">
        <v>28</v>
      </c>
      <c r="D559" s="24" t="s">
        <v>12</v>
      </c>
      <c r="E559" s="24" t="s">
        <v>255</v>
      </c>
      <c r="F559" s="24" t="s">
        <v>70</v>
      </c>
      <c r="G559" s="25">
        <v>13355.2</v>
      </c>
      <c r="H559" s="25"/>
      <c r="I559" s="25"/>
      <c r="J559" s="102"/>
      <c r="K559" s="102"/>
      <c r="L559" s="102"/>
      <c r="M559" s="102"/>
      <c r="N559" s="102"/>
      <c r="O559" s="102"/>
      <c r="P559" s="102"/>
      <c r="Q559" s="102"/>
    </row>
    <row r="560" spans="1:17" s="101" customFormat="1" ht="38.25" x14ac:dyDescent="0.2">
      <c r="A560" s="224" t="s">
        <v>257</v>
      </c>
      <c r="B560" s="225">
        <v>919</v>
      </c>
      <c r="C560" s="226" t="s">
        <v>28</v>
      </c>
      <c r="D560" s="226" t="s">
        <v>12</v>
      </c>
      <c r="E560" s="226" t="s">
        <v>256</v>
      </c>
      <c r="F560" s="226"/>
      <c r="G560" s="190">
        <f>G561</f>
        <v>4904.5</v>
      </c>
      <c r="H560" s="190">
        <f>H561</f>
        <v>0</v>
      </c>
      <c r="I560" s="190">
        <f>I561</f>
        <v>0</v>
      </c>
    </row>
    <row r="561" spans="1:17" s="102" customFormat="1" x14ac:dyDescent="0.2">
      <c r="A561" s="230" t="s">
        <v>69</v>
      </c>
      <c r="B561" s="227">
        <v>919</v>
      </c>
      <c r="C561" s="228" t="s">
        <v>28</v>
      </c>
      <c r="D561" s="228" t="s">
        <v>12</v>
      </c>
      <c r="E561" s="228" t="s">
        <v>256</v>
      </c>
      <c r="F561" s="228" t="s">
        <v>70</v>
      </c>
      <c r="G561" s="189">
        <f>2590.5+2314</f>
        <v>4904.5</v>
      </c>
      <c r="H561" s="189"/>
      <c r="I561" s="189"/>
    </row>
    <row r="562" spans="1:17" ht="63.75" x14ac:dyDescent="0.2">
      <c r="A562" s="18" t="s">
        <v>570</v>
      </c>
      <c r="B562" s="22">
        <v>919</v>
      </c>
      <c r="C562" s="19" t="s">
        <v>28</v>
      </c>
      <c r="D562" s="19" t="s">
        <v>12</v>
      </c>
      <c r="E562" s="19" t="s">
        <v>563</v>
      </c>
      <c r="F562" s="19"/>
      <c r="G562" s="20">
        <f t="shared" ref="G562:I564" si="134">G563</f>
        <v>44670</v>
      </c>
      <c r="H562" s="20">
        <f t="shared" si="134"/>
        <v>0</v>
      </c>
      <c r="I562" s="20">
        <f t="shared" si="134"/>
        <v>0</v>
      </c>
      <c r="J562" s="101"/>
      <c r="K562" s="101"/>
      <c r="L562" s="101"/>
      <c r="M562" s="101"/>
      <c r="N562" s="101"/>
      <c r="O562" s="101"/>
      <c r="P562" s="101"/>
      <c r="Q562" s="101"/>
    </row>
    <row r="563" spans="1:17" s="26" customFormat="1" x14ac:dyDescent="0.2">
      <c r="A563" s="28" t="s">
        <v>69</v>
      </c>
      <c r="B563" s="31">
        <v>919</v>
      </c>
      <c r="C563" s="24" t="s">
        <v>28</v>
      </c>
      <c r="D563" s="24" t="s">
        <v>12</v>
      </c>
      <c r="E563" s="24" t="s">
        <v>563</v>
      </c>
      <c r="F563" s="24" t="s">
        <v>70</v>
      </c>
      <c r="G563" s="25">
        <v>44670</v>
      </c>
      <c r="H563" s="25"/>
      <c r="I563" s="25"/>
      <c r="J563" s="102"/>
      <c r="K563" s="102"/>
      <c r="L563" s="102"/>
      <c r="M563" s="102"/>
      <c r="N563" s="102"/>
      <c r="O563" s="102"/>
      <c r="P563" s="102"/>
      <c r="Q563" s="102"/>
    </row>
    <row r="564" spans="1:17" s="102" customFormat="1" ht="25.5" x14ac:dyDescent="0.2">
      <c r="A564" s="224" t="s">
        <v>568</v>
      </c>
      <c r="B564" s="225">
        <v>919</v>
      </c>
      <c r="C564" s="226" t="s">
        <v>28</v>
      </c>
      <c r="D564" s="226" t="s">
        <v>12</v>
      </c>
      <c r="E564" s="226" t="s">
        <v>567</v>
      </c>
      <c r="F564" s="226"/>
      <c r="G564" s="190">
        <f t="shared" si="134"/>
        <v>7132.9</v>
      </c>
      <c r="H564" s="190">
        <f t="shared" si="134"/>
        <v>0</v>
      </c>
      <c r="I564" s="190">
        <f t="shared" si="134"/>
        <v>0</v>
      </c>
    </row>
    <row r="565" spans="1:17" s="102" customFormat="1" x14ac:dyDescent="0.2">
      <c r="A565" s="230" t="s">
        <v>69</v>
      </c>
      <c r="B565" s="227">
        <v>919</v>
      </c>
      <c r="C565" s="228" t="s">
        <v>28</v>
      </c>
      <c r="D565" s="228" t="s">
        <v>12</v>
      </c>
      <c r="E565" s="228" t="s">
        <v>567</v>
      </c>
      <c r="F565" s="228" t="s">
        <v>70</v>
      </c>
      <c r="G565" s="189">
        <f>4302+1600+894.2+336.7</f>
        <v>7132.9</v>
      </c>
      <c r="H565" s="189"/>
      <c r="I565" s="189"/>
    </row>
    <row r="566" spans="1:17" s="9" customFormat="1" ht="16.5" customHeight="1" x14ac:dyDescent="0.2">
      <c r="A566" s="11" t="s">
        <v>32</v>
      </c>
      <c r="B566" s="14">
        <v>919</v>
      </c>
      <c r="C566" s="8" t="s">
        <v>28</v>
      </c>
      <c r="D566" s="8" t="s">
        <v>14</v>
      </c>
      <c r="E566" s="8"/>
      <c r="F566" s="8"/>
      <c r="G566" s="4">
        <f>G575+G577+G579+G581+G569+G571+G584+G573+G586+G567+G588+G590</f>
        <v>61987.723570000002</v>
      </c>
      <c r="H566" s="4">
        <f t="shared" ref="H566:I566" si="135">H575+H577+H579+H581+H569+H571+H584+H573+H586+H567+H588+H590</f>
        <v>21701.8</v>
      </c>
      <c r="I566" s="4">
        <f t="shared" si="135"/>
        <v>16598.8</v>
      </c>
      <c r="J566" s="106"/>
      <c r="K566" s="106"/>
      <c r="L566" s="106"/>
      <c r="M566" s="106"/>
      <c r="N566" s="106"/>
      <c r="O566" s="106"/>
      <c r="P566" s="106"/>
      <c r="Q566" s="106"/>
    </row>
    <row r="567" spans="1:17" s="7" customFormat="1" ht="38.25" x14ac:dyDescent="0.2">
      <c r="A567" s="17" t="s">
        <v>646</v>
      </c>
      <c r="B567" s="42">
        <v>919</v>
      </c>
      <c r="C567" s="19" t="s">
        <v>28</v>
      </c>
      <c r="D567" s="19" t="s">
        <v>14</v>
      </c>
      <c r="E567" s="19" t="s">
        <v>645</v>
      </c>
      <c r="F567" s="19"/>
      <c r="G567" s="20">
        <f>G568</f>
        <v>3381.4995800000002</v>
      </c>
      <c r="H567" s="20">
        <f t="shared" ref="H567:I567" si="136">H568</f>
        <v>2766</v>
      </c>
      <c r="I567" s="20">
        <f t="shared" si="136"/>
        <v>2916.1</v>
      </c>
      <c r="J567" s="103"/>
      <c r="K567" s="103"/>
      <c r="L567" s="103"/>
      <c r="M567" s="103"/>
      <c r="N567" s="103"/>
      <c r="O567" s="103"/>
      <c r="P567" s="103"/>
      <c r="Q567" s="103"/>
    </row>
    <row r="568" spans="1:17" s="7" customFormat="1" ht="25.5" x14ac:dyDescent="0.2">
      <c r="A568" s="28" t="s">
        <v>73</v>
      </c>
      <c r="B568" s="31">
        <v>919</v>
      </c>
      <c r="C568" s="24" t="s">
        <v>28</v>
      </c>
      <c r="D568" s="24" t="s">
        <v>14</v>
      </c>
      <c r="E568" s="19" t="s">
        <v>645</v>
      </c>
      <c r="F568" s="24" t="s">
        <v>65</v>
      </c>
      <c r="G568" s="25">
        <f>321.5-45.7+2482.6+1013.61285-390.51327</f>
        <v>3381.4995800000002</v>
      </c>
      <c r="H568" s="25">
        <f>276.6+2489.4</f>
        <v>2766</v>
      </c>
      <c r="I568" s="25">
        <f>291.6+2624.5</f>
        <v>2916.1</v>
      </c>
      <c r="J568" s="103"/>
      <c r="K568" s="103"/>
      <c r="L568" s="103"/>
      <c r="M568" s="103"/>
      <c r="N568" s="103"/>
      <c r="O568" s="103"/>
      <c r="P568" s="103"/>
      <c r="Q568" s="103"/>
    </row>
    <row r="569" spans="1:17" s="7" customFormat="1" ht="51" x14ac:dyDescent="0.2">
      <c r="A569" s="17" t="s">
        <v>649</v>
      </c>
      <c r="B569" s="42">
        <v>919</v>
      </c>
      <c r="C569" s="19" t="s">
        <v>28</v>
      </c>
      <c r="D569" s="19" t="s">
        <v>14</v>
      </c>
      <c r="E569" s="19" t="s">
        <v>648</v>
      </c>
      <c r="F569" s="19"/>
      <c r="G569" s="20">
        <f>G570</f>
        <v>13831.296999999999</v>
      </c>
      <c r="H569" s="20">
        <f t="shared" ref="H569:I569" si="137">H570</f>
        <v>6666.7</v>
      </c>
      <c r="I569" s="20">
        <f t="shared" si="137"/>
        <v>6666.7</v>
      </c>
      <c r="J569" s="103"/>
      <c r="K569" s="103"/>
      <c r="L569" s="103"/>
      <c r="M569" s="103"/>
      <c r="N569" s="103"/>
      <c r="O569" s="103"/>
      <c r="P569" s="103"/>
      <c r="Q569" s="103"/>
    </row>
    <row r="570" spans="1:17" s="7" customFormat="1" ht="25.5" x14ac:dyDescent="0.2">
      <c r="A570" s="28" t="s">
        <v>119</v>
      </c>
      <c r="B570" s="31">
        <v>919</v>
      </c>
      <c r="C570" s="24" t="s">
        <v>28</v>
      </c>
      <c r="D570" s="24" t="s">
        <v>14</v>
      </c>
      <c r="E570" s="19" t="s">
        <v>648</v>
      </c>
      <c r="F570" s="24" t="s">
        <v>62</v>
      </c>
      <c r="G570" s="25">
        <f>520.5+146.2+6000+6415.6841+0.06365-391.4779+1140.32715</f>
        <v>13831.296999999999</v>
      </c>
      <c r="H570" s="25">
        <f>666.7+6000</f>
        <v>6666.7</v>
      </c>
      <c r="I570" s="25">
        <f>666.7+6000</f>
        <v>6666.7</v>
      </c>
      <c r="J570" s="103"/>
      <c r="K570" s="103"/>
      <c r="L570" s="103"/>
      <c r="M570" s="103"/>
      <c r="N570" s="103"/>
      <c r="O570" s="103"/>
      <c r="P570" s="103"/>
      <c r="Q570" s="103"/>
    </row>
    <row r="571" spans="1:17" s="7" customFormat="1" ht="25.5" x14ac:dyDescent="0.2">
      <c r="A571" s="17" t="s">
        <v>305</v>
      </c>
      <c r="B571" s="42">
        <v>919</v>
      </c>
      <c r="C571" s="19" t="s">
        <v>28</v>
      </c>
      <c r="D571" s="19" t="s">
        <v>14</v>
      </c>
      <c r="E571" s="19" t="s">
        <v>625</v>
      </c>
      <c r="F571" s="19"/>
      <c r="G571" s="20">
        <f>G572</f>
        <v>0</v>
      </c>
      <c r="H571" s="20">
        <f>H572</f>
        <v>250</v>
      </c>
      <c r="I571" s="20">
        <f>I572</f>
        <v>0</v>
      </c>
      <c r="J571" s="103"/>
      <c r="K571" s="103"/>
      <c r="L571" s="103"/>
      <c r="M571" s="103"/>
      <c r="N571" s="103"/>
      <c r="O571" s="103"/>
      <c r="P571" s="103"/>
      <c r="Q571" s="103"/>
    </row>
    <row r="572" spans="1:17" s="7" customFormat="1" ht="25.5" x14ac:dyDescent="0.2">
      <c r="A572" s="28" t="s">
        <v>73</v>
      </c>
      <c r="B572" s="31">
        <v>919</v>
      </c>
      <c r="C572" s="24" t="s">
        <v>28</v>
      </c>
      <c r="D572" s="24" t="s">
        <v>14</v>
      </c>
      <c r="E572" s="19" t="s">
        <v>625</v>
      </c>
      <c r="F572" s="24" t="s">
        <v>65</v>
      </c>
      <c r="G572" s="25">
        <v>0</v>
      </c>
      <c r="H572" s="25">
        <v>250</v>
      </c>
      <c r="I572" s="25">
        <v>0</v>
      </c>
      <c r="J572" s="103"/>
      <c r="K572" s="103"/>
      <c r="L572" s="103"/>
      <c r="M572" s="103"/>
      <c r="N572" s="103"/>
      <c r="O572" s="103"/>
      <c r="P572" s="103"/>
      <c r="Q572" s="103"/>
    </row>
    <row r="573" spans="1:17" s="7" customFormat="1" ht="25.5" x14ac:dyDescent="0.2">
      <c r="A573" s="17" t="s">
        <v>323</v>
      </c>
      <c r="B573" s="42">
        <v>919</v>
      </c>
      <c r="C573" s="19" t="s">
        <v>28</v>
      </c>
      <c r="D573" s="19" t="s">
        <v>14</v>
      </c>
      <c r="E573" s="19" t="s">
        <v>321</v>
      </c>
      <c r="F573" s="19"/>
      <c r="G573" s="20">
        <f>G574</f>
        <v>198.52698999999998</v>
      </c>
      <c r="H573" s="20">
        <f t="shared" ref="H573:I573" si="138">H574</f>
        <v>145.5</v>
      </c>
      <c r="I573" s="20">
        <f t="shared" si="138"/>
        <v>153.5</v>
      </c>
      <c r="J573" s="103"/>
      <c r="K573" s="103"/>
      <c r="L573" s="103"/>
      <c r="M573" s="103"/>
      <c r="N573" s="103"/>
      <c r="O573" s="103"/>
      <c r="P573" s="103"/>
      <c r="Q573" s="103"/>
    </row>
    <row r="574" spans="1:17" s="7" customFormat="1" ht="25.5" x14ac:dyDescent="0.2">
      <c r="A574" s="28" t="s">
        <v>73</v>
      </c>
      <c r="B574" s="31">
        <v>919</v>
      </c>
      <c r="C574" s="24" t="s">
        <v>28</v>
      </c>
      <c r="D574" s="24" t="s">
        <v>14</v>
      </c>
      <c r="E574" s="24" t="s">
        <v>322</v>
      </c>
      <c r="F574" s="24" t="s">
        <v>65</v>
      </c>
      <c r="G574" s="25">
        <f>145.2+53.32699</f>
        <v>198.52698999999998</v>
      </c>
      <c r="H574" s="25">
        <v>145.5</v>
      </c>
      <c r="I574" s="25">
        <v>153.5</v>
      </c>
      <c r="J574" s="103"/>
      <c r="K574" s="103"/>
      <c r="L574" s="103"/>
      <c r="M574" s="103"/>
      <c r="N574" s="103"/>
      <c r="O574" s="103"/>
      <c r="P574" s="103"/>
      <c r="Q574" s="103"/>
    </row>
    <row r="575" spans="1:17" s="81" customFormat="1" x14ac:dyDescent="0.2">
      <c r="A575" s="68" t="s">
        <v>259</v>
      </c>
      <c r="B575" s="69">
        <v>919</v>
      </c>
      <c r="C575" s="70" t="s">
        <v>28</v>
      </c>
      <c r="D575" s="70" t="s">
        <v>14</v>
      </c>
      <c r="E575" s="70" t="s">
        <v>258</v>
      </c>
      <c r="F575" s="70"/>
      <c r="G575" s="71">
        <f>G576</f>
        <v>650</v>
      </c>
      <c r="H575" s="71">
        <f>H576</f>
        <v>650</v>
      </c>
      <c r="I575" s="71">
        <f>I576</f>
        <v>650</v>
      </c>
    </row>
    <row r="576" spans="1:17" s="77" customFormat="1" ht="25.5" x14ac:dyDescent="0.2">
      <c r="A576" s="80" t="s">
        <v>119</v>
      </c>
      <c r="B576" s="79">
        <v>919</v>
      </c>
      <c r="C576" s="75" t="s">
        <v>28</v>
      </c>
      <c r="D576" s="75" t="s">
        <v>14</v>
      </c>
      <c r="E576" s="75" t="s">
        <v>258</v>
      </c>
      <c r="F576" s="75" t="s">
        <v>62</v>
      </c>
      <c r="G576" s="55">
        <v>650</v>
      </c>
      <c r="H576" s="55">
        <v>650</v>
      </c>
      <c r="I576" s="55">
        <v>650</v>
      </c>
    </row>
    <row r="577" spans="1:17" s="7" customFormat="1" ht="25.5" x14ac:dyDescent="0.2">
      <c r="A577" s="18" t="s">
        <v>260</v>
      </c>
      <c r="B577" s="22">
        <v>919</v>
      </c>
      <c r="C577" s="19" t="s">
        <v>28</v>
      </c>
      <c r="D577" s="19" t="s">
        <v>14</v>
      </c>
      <c r="E577" s="19" t="s">
        <v>261</v>
      </c>
      <c r="F577" s="19"/>
      <c r="G577" s="20">
        <f>G578</f>
        <v>3500</v>
      </c>
      <c r="H577" s="20">
        <f>H578</f>
        <v>3500</v>
      </c>
      <c r="I577" s="20">
        <f>I578</f>
        <v>2000</v>
      </c>
    </row>
    <row r="578" spans="1:17" s="26" customFormat="1" ht="25.5" x14ac:dyDescent="0.2">
      <c r="A578" s="28" t="s">
        <v>119</v>
      </c>
      <c r="B578" s="31">
        <v>919</v>
      </c>
      <c r="C578" s="24" t="s">
        <v>28</v>
      </c>
      <c r="D578" s="24" t="s">
        <v>14</v>
      </c>
      <c r="E578" s="24" t="s">
        <v>261</v>
      </c>
      <c r="F578" s="24" t="s">
        <v>62</v>
      </c>
      <c r="G578" s="25">
        <v>3500</v>
      </c>
      <c r="H578" s="55">
        <v>3500</v>
      </c>
      <c r="I578" s="55">
        <v>2000</v>
      </c>
    </row>
    <row r="579" spans="1:17" s="7" customFormat="1" x14ac:dyDescent="0.2">
      <c r="A579" s="18" t="s">
        <v>263</v>
      </c>
      <c r="B579" s="22">
        <v>919</v>
      </c>
      <c r="C579" s="24" t="s">
        <v>28</v>
      </c>
      <c r="D579" s="24" t="s">
        <v>14</v>
      </c>
      <c r="E579" s="19" t="s">
        <v>262</v>
      </c>
      <c r="F579" s="24"/>
      <c r="G579" s="25">
        <f>G580</f>
        <v>582.6</v>
      </c>
      <c r="H579" s="25">
        <f>H580</f>
        <v>500</v>
      </c>
      <c r="I579" s="25">
        <f>I580</f>
        <v>354.3</v>
      </c>
    </row>
    <row r="580" spans="1:17" s="26" customFormat="1" ht="25.5" x14ac:dyDescent="0.2">
      <c r="A580" s="28" t="s">
        <v>119</v>
      </c>
      <c r="B580" s="31">
        <v>919</v>
      </c>
      <c r="C580" s="24" t="s">
        <v>28</v>
      </c>
      <c r="D580" s="24" t="s">
        <v>14</v>
      </c>
      <c r="E580" s="24" t="s">
        <v>262</v>
      </c>
      <c r="F580" s="24" t="s">
        <v>62</v>
      </c>
      <c r="G580" s="25">
        <v>582.6</v>
      </c>
      <c r="H580" s="55">
        <v>500</v>
      </c>
      <c r="I580" s="55">
        <v>354.3</v>
      </c>
    </row>
    <row r="581" spans="1:17" s="7" customFormat="1" ht="38.25" x14ac:dyDescent="0.2">
      <c r="A581" s="18" t="s">
        <v>265</v>
      </c>
      <c r="B581" s="22">
        <v>919</v>
      </c>
      <c r="C581" s="19" t="s">
        <v>28</v>
      </c>
      <c r="D581" s="19" t="s">
        <v>14</v>
      </c>
      <c r="E581" s="16" t="s">
        <v>264</v>
      </c>
      <c r="F581" s="19"/>
      <c r="G581" s="20">
        <f>G583+G582</f>
        <v>9492.1</v>
      </c>
      <c r="H581" s="20">
        <f t="shared" ref="H581:I581" si="139">H583+H582</f>
        <v>6155.6</v>
      </c>
      <c r="I581" s="20">
        <f t="shared" si="139"/>
        <v>2790.2</v>
      </c>
      <c r="J581" s="103"/>
      <c r="K581" s="103"/>
      <c r="L581" s="103"/>
      <c r="M581" s="103"/>
      <c r="N581" s="103"/>
      <c r="O581" s="103"/>
      <c r="P581" s="103"/>
      <c r="Q581" s="103"/>
    </row>
    <row r="582" spans="1:17" s="7" customFormat="1" ht="24.75" customHeight="1" x14ac:dyDescent="0.2">
      <c r="A582" s="28" t="s">
        <v>73</v>
      </c>
      <c r="B582" s="31">
        <v>919</v>
      </c>
      <c r="C582" s="24" t="s">
        <v>28</v>
      </c>
      <c r="D582" s="24" t="s">
        <v>14</v>
      </c>
      <c r="E582" s="16" t="s">
        <v>264</v>
      </c>
      <c r="F582" s="19" t="s">
        <v>65</v>
      </c>
      <c r="G582" s="20">
        <f>286</f>
        <v>286</v>
      </c>
      <c r="H582" s="20"/>
      <c r="I582" s="20"/>
      <c r="J582" s="103"/>
      <c r="K582" s="103"/>
      <c r="L582" s="103"/>
      <c r="M582" s="103"/>
      <c r="N582" s="103"/>
      <c r="O582" s="103"/>
      <c r="P582" s="103"/>
      <c r="Q582" s="103"/>
    </row>
    <row r="583" spans="1:17" s="26" customFormat="1" ht="25.5" x14ac:dyDescent="0.2">
      <c r="A583" s="28" t="s">
        <v>119</v>
      </c>
      <c r="B583" s="31">
        <v>919</v>
      </c>
      <c r="C583" s="24" t="s">
        <v>28</v>
      </c>
      <c r="D583" s="24" t="s">
        <v>14</v>
      </c>
      <c r="E583" s="16" t="s">
        <v>264</v>
      </c>
      <c r="F583" s="24" t="s">
        <v>62</v>
      </c>
      <c r="G583" s="25">
        <f>8950+100+156.1</f>
        <v>9206.1</v>
      </c>
      <c r="H583" s="25">
        <f>8950-2794.4</f>
        <v>6155.6</v>
      </c>
      <c r="I583" s="25">
        <f>5700-2909.8</f>
        <v>2790.2</v>
      </c>
      <c r="J583" s="102"/>
      <c r="K583" s="102"/>
      <c r="L583" s="102"/>
      <c r="M583" s="102"/>
      <c r="N583" s="102"/>
      <c r="O583" s="102"/>
      <c r="P583" s="102"/>
      <c r="Q583" s="102"/>
    </row>
    <row r="584" spans="1:17" s="21" customFormat="1" x14ac:dyDescent="0.2">
      <c r="A584" s="18" t="s">
        <v>316</v>
      </c>
      <c r="B584" s="18">
        <v>919</v>
      </c>
      <c r="C584" s="19" t="s">
        <v>28</v>
      </c>
      <c r="D584" s="19" t="s">
        <v>14</v>
      </c>
      <c r="E584" s="16" t="s">
        <v>317</v>
      </c>
      <c r="F584" s="19"/>
      <c r="G584" s="20">
        <f>G585</f>
        <v>4000</v>
      </c>
      <c r="H584" s="20">
        <f t="shared" ref="H584:I584" si="140">H585</f>
        <v>0</v>
      </c>
      <c r="I584" s="20">
        <f t="shared" si="140"/>
        <v>0</v>
      </c>
    </row>
    <row r="585" spans="1:17" s="21" customFormat="1" ht="25.5" x14ac:dyDescent="0.2">
      <c r="A585" s="28" t="s">
        <v>119</v>
      </c>
      <c r="B585" s="28">
        <v>919</v>
      </c>
      <c r="C585" s="24" t="s">
        <v>28</v>
      </c>
      <c r="D585" s="24" t="s">
        <v>14</v>
      </c>
      <c r="E585" s="16" t="s">
        <v>317</v>
      </c>
      <c r="F585" s="24" t="s">
        <v>62</v>
      </c>
      <c r="G585" s="25">
        <v>4000</v>
      </c>
      <c r="H585" s="55"/>
      <c r="I585" s="55"/>
    </row>
    <row r="586" spans="1:17" s="7" customFormat="1" ht="25.5" x14ac:dyDescent="0.2">
      <c r="A586" s="18" t="s">
        <v>620</v>
      </c>
      <c r="B586" s="22">
        <v>919</v>
      </c>
      <c r="C586" s="19" t="s">
        <v>28</v>
      </c>
      <c r="D586" s="19" t="s">
        <v>14</v>
      </c>
      <c r="E586" s="16" t="s">
        <v>621</v>
      </c>
      <c r="F586" s="19"/>
      <c r="G586" s="20">
        <f>G587</f>
        <v>1068</v>
      </c>
      <c r="H586" s="20">
        <f t="shared" ref="H586:I586" si="141">H587</f>
        <v>1068</v>
      </c>
      <c r="I586" s="20">
        <f t="shared" si="141"/>
        <v>1068</v>
      </c>
      <c r="J586" s="103"/>
      <c r="K586" s="103"/>
      <c r="L586" s="103"/>
      <c r="M586" s="103"/>
      <c r="N586" s="103"/>
      <c r="O586" s="103"/>
      <c r="P586" s="103"/>
      <c r="Q586" s="103"/>
    </row>
    <row r="587" spans="1:17" s="7" customFormat="1" ht="24.75" customHeight="1" x14ac:dyDescent="0.2">
      <c r="A587" s="28" t="s">
        <v>73</v>
      </c>
      <c r="B587" s="31">
        <v>919</v>
      </c>
      <c r="C587" s="24" t="s">
        <v>28</v>
      </c>
      <c r="D587" s="24" t="s">
        <v>14</v>
      </c>
      <c r="E587" s="16" t="s">
        <v>621</v>
      </c>
      <c r="F587" s="19" t="s">
        <v>65</v>
      </c>
      <c r="G587" s="20">
        <v>1068</v>
      </c>
      <c r="H587" s="20">
        <v>1068</v>
      </c>
      <c r="I587" s="20">
        <v>1068</v>
      </c>
      <c r="J587" s="103"/>
      <c r="K587" s="103"/>
      <c r="L587" s="103"/>
      <c r="M587" s="103"/>
      <c r="N587" s="103"/>
      <c r="O587" s="103"/>
      <c r="P587" s="103"/>
      <c r="Q587" s="103"/>
    </row>
    <row r="588" spans="1:17" s="7" customFormat="1" ht="51.75" customHeight="1" x14ac:dyDescent="0.2">
      <c r="A588" s="18" t="s">
        <v>693</v>
      </c>
      <c r="B588" s="31">
        <v>919</v>
      </c>
      <c r="C588" s="24" t="s">
        <v>28</v>
      </c>
      <c r="D588" s="24" t="s">
        <v>14</v>
      </c>
      <c r="E588" s="16" t="s">
        <v>692</v>
      </c>
      <c r="F588" s="19"/>
      <c r="G588" s="20">
        <f>G589</f>
        <v>283.7</v>
      </c>
      <c r="H588" s="20"/>
      <c r="I588" s="20"/>
      <c r="J588" s="103"/>
      <c r="K588" s="103"/>
      <c r="L588" s="103"/>
      <c r="M588" s="103"/>
      <c r="N588" s="103"/>
      <c r="O588" s="103"/>
      <c r="P588" s="103"/>
      <c r="Q588" s="103"/>
    </row>
    <row r="589" spans="1:17" s="7" customFormat="1" ht="24.75" customHeight="1" x14ac:dyDescent="0.2">
      <c r="A589" s="28" t="s">
        <v>73</v>
      </c>
      <c r="B589" s="31">
        <v>919</v>
      </c>
      <c r="C589" s="24" t="s">
        <v>28</v>
      </c>
      <c r="D589" s="24" t="s">
        <v>14</v>
      </c>
      <c r="E589" s="16" t="s">
        <v>692</v>
      </c>
      <c r="F589" s="19" t="s">
        <v>65</v>
      </c>
      <c r="G589" s="20">
        <v>283.7</v>
      </c>
      <c r="H589" s="20"/>
      <c r="I589" s="20"/>
      <c r="J589" s="103"/>
      <c r="K589" s="103"/>
      <c r="L589" s="103"/>
      <c r="M589" s="103"/>
      <c r="N589" s="103"/>
      <c r="O589" s="103"/>
      <c r="P589" s="103"/>
      <c r="Q589" s="103"/>
    </row>
    <row r="590" spans="1:17" s="7" customFormat="1" ht="51" customHeight="1" x14ac:dyDescent="0.2">
      <c r="A590" s="18" t="s">
        <v>669</v>
      </c>
      <c r="B590" s="31">
        <v>919</v>
      </c>
      <c r="C590" s="24" t="s">
        <v>28</v>
      </c>
      <c r="D590" s="24" t="s">
        <v>14</v>
      </c>
      <c r="E590" s="16" t="s">
        <v>696</v>
      </c>
      <c r="F590" s="19"/>
      <c r="G590" s="20">
        <f>G591</f>
        <v>25000</v>
      </c>
      <c r="H590" s="20"/>
      <c r="I590" s="20"/>
      <c r="J590" s="103"/>
      <c r="K590" s="103"/>
      <c r="L590" s="103"/>
      <c r="M590" s="103"/>
      <c r="N590" s="103"/>
      <c r="O590" s="103"/>
      <c r="P590" s="103"/>
      <c r="Q590" s="103"/>
    </row>
    <row r="591" spans="1:17" s="7" customFormat="1" ht="24.75" customHeight="1" x14ac:dyDescent="0.2">
      <c r="A591" s="28" t="s">
        <v>119</v>
      </c>
      <c r="B591" s="31">
        <v>919</v>
      </c>
      <c r="C591" s="24" t="s">
        <v>28</v>
      </c>
      <c r="D591" s="24" t="s">
        <v>14</v>
      </c>
      <c r="E591" s="16" t="s">
        <v>696</v>
      </c>
      <c r="F591" s="19" t="s">
        <v>62</v>
      </c>
      <c r="G591" s="20">
        <v>25000</v>
      </c>
      <c r="H591" s="20"/>
      <c r="I591" s="20"/>
      <c r="J591" s="103"/>
      <c r="K591" s="103"/>
      <c r="L591" s="103"/>
      <c r="M591" s="103"/>
      <c r="N591" s="103"/>
      <c r="O591" s="103"/>
      <c r="P591" s="103"/>
      <c r="Q591" s="103"/>
    </row>
    <row r="592" spans="1:17" s="67" customFormat="1" ht="27.75" customHeight="1" x14ac:dyDescent="0.2">
      <c r="A592" s="63" t="s">
        <v>33</v>
      </c>
      <c r="B592" s="64">
        <v>919</v>
      </c>
      <c r="C592" s="65" t="s">
        <v>28</v>
      </c>
      <c r="D592" s="65" t="s">
        <v>28</v>
      </c>
      <c r="E592" s="65"/>
      <c r="F592" s="65"/>
      <c r="G592" s="66">
        <f>G593+G596</f>
        <v>20782.900000000001</v>
      </c>
      <c r="H592" s="66">
        <f t="shared" ref="H592:I592" si="142">H593+H596</f>
        <v>19354.7</v>
      </c>
      <c r="I592" s="66">
        <f t="shared" si="142"/>
        <v>19137.7</v>
      </c>
    </row>
    <row r="593" spans="1:22" ht="23.25" customHeight="1" x14ac:dyDescent="0.2">
      <c r="A593" s="18" t="s">
        <v>267</v>
      </c>
      <c r="B593" s="22">
        <v>919</v>
      </c>
      <c r="C593" s="19" t="s">
        <v>28</v>
      </c>
      <c r="D593" s="19" t="s">
        <v>28</v>
      </c>
      <c r="E593" s="19" t="s">
        <v>266</v>
      </c>
      <c r="F593" s="19"/>
      <c r="G593" s="20">
        <f>G594+G595</f>
        <v>5480.6</v>
      </c>
      <c r="H593" s="20">
        <f t="shared" ref="H593:I593" si="143">H594+H595</f>
        <v>4942.5</v>
      </c>
      <c r="I593" s="20">
        <f t="shared" si="143"/>
        <v>4942.5</v>
      </c>
      <c r="J593" s="101"/>
      <c r="K593" s="101"/>
      <c r="L593" s="101"/>
      <c r="M593" s="101"/>
      <c r="N593" s="101"/>
      <c r="O593" s="101"/>
      <c r="P593" s="101"/>
      <c r="Q593" s="101"/>
    </row>
    <row r="594" spans="1:22" s="26" customFormat="1" ht="54" customHeight="1" x14ac:dyDescent="0.2">
      <c r="A594" s="30" t="s">
        <v>63</v>
      </c>
      <c r="B594" s="32">
        <v>919</v>
      </c>
      <c r="C594" s="24" t="s">
        <v>28</v>
      </c>
      <c r="D594" s="24" t="s">
        <v>28</v>
      </c>
      <c r="E594" s="24" t="s">
        <v>266</v>
      </c>
      <c r="F594" s="24" t="s">
        <v>64</v>
      </c>
      <c r="G594" s="25">
        <f>4073.8+30+1239.4-303</f>
        <v>5040.2000000000007</v>
      </c>
      <c r="H594" s="25">
        <f>4073.8+30+1239.4-447.1</f>
        <v>4896.1000000000004</v>
      </c>
      <c r="I594" s="25">
        <f>4073.8+30+1239.4-447.1</f>
        <v>4896.1000000000004</v>
      </c>
      <c r="J594" s="102"/>
      <c r="K594" s="102"/>
      <c r="L594" s="102"/>
      <c r="M594" s="102"/>
      <c r="N594" s="102"/>
      <c r="O594" s="102"/>
      <c r="P594" s="102"/>
      <c r="Q594" s="102"/>
    </row>
    <row r="595" spans="1:22" s="26" customFormat="1" ht="25.5" x14ac:dyDescent="0.2">
      <c r="A595" s="28" t="s">
        <v>73</v>
      </c>
      <c r="B595" s="32">
        <v>919</v>
      </c>
      <c r="C595" s="24" t="s">
        <v>28</v>
      </c>
      <c r="D595" s="24" t="s">
        <v>28</v>
      </c>
      <c r="E595" s="24" t="s">
        <v>266</v>
      </c>
      <c r="F595" s="24" t="s">
        <v>65</v>
      </c>
      <c r="G595" s="25">
        <f>46.4+29+267+60+38</f>
        <v>440.4</v>
      </c>
      <c r="H595" s="25">
        <v>46.4</v>
      </c>
      <c r="I595" s="25">
        <v>46.4</v>
      </c>
      <c r="J595" s="102"/>
      <c r="K595" s="102"/>
      <c r="L595" s="102"/>
      <c r="M595" s="102"/>
      <c r="N595" s="102"/>
      <c r="O595" s="102"/>
      <c r="P595" s="102"/>
      <c r="Q595" s="102"/>
    </row>
    <row r="596" spans="1:22" s="107" customFormat="1" ht="38.25" x14ac:dyDescent="0.2">
      <c r="A596" s="224" t="s">
        <v>269</v>
      </c>
      <c r="B596" s="225">
        <v>919</v>
      </c>
      <c r="C596" s="226" t="s">
        <v>28</v>
      </c>
      <c r="D596" s="226" t="s">
        <v>28</v>
      </c>
      <c r="E596" s="226" t="s">
        <v>268</v>
      </c>
      <c r="F596" s="232"/>
      <c r="G596" s="233">
        <f>G597</f>
        <v>15302.3</v>
      </c>
      <c r="H596" s="233">
        <f>H597</f>
        <v>14412.2</v>
      </c>
      <c r="I596" s="233">
        <f>I597</f>
        <v>14195.2</v>
      </c>
    </row>
    <row r="597" spans="1:22" s="102" customFormat="1" ht="25.5" x14ac:dyDescent="0.2">
      <c r="A597" s="230" t="s">
        <v>119</v>
      </c>
      <c r="B597" s="227">
        <v>919</v>
      </c>
      <c r="C597" s="228" t="s">
        <v>28</v>
      </c>
      <c r="D597" s="228" t="s">
        <v>28</v>
      </c>
      <c r="E597" s="228" t="s">
        <v>268</v>
      </c>
      <c r="F597" s="228" t="s">
        <v>62</v>
      </c>
      <c r="G597" s="189">
        <f>15243.5+58.8</f>
        <v>15302.3</v>
      </c>
      <c r="H597" s="189">
        <v>14412.2</v>
      </c>
      <c r="I597" s="189">
        <v>14195.2</v>
      </c>
    </row>
    <row r="598" spans="1:22" s="9" customFormat="1" ht="15.75" customHeight="1" x14ac:dyDescent="0.2">
      <c r="A598" s="11" t="s">
        <v>49</v>
      </c>
      <c r="B598" s="14">
        <v>919</v>
      </c>
      <c r="C598" s="8" t="s">
        <v>48</v>
      </c>
      <c r="D598" s="8"/>
      <c r="E598" s="8"/>
      <c r="F598" s="8"/>
      <c r="G598" s="4">
        <f>G599</f>
        <v>2044.3</v>
      </c>
      <c r="H598" s="4">
        <f t="shared" ref="H598:I598" si="144">H599</f>
        <v>0</v>
      </c>
      <c r="I598" s="4">
        <f t="shared" si="144"/>
        <v>0</v>
      </c>
    </row>
    <row r="599" spans="1:22" s="9" customFormat="1" ht="15.75" customHeight="1" x14ac:dyDescent="0.2">
      <c r="A599" s="11" t="s">
        <v>54</v>
      </c>
      <c r="B599" s="14">
        <v>919</v>
      </c>
      <c r="C599" s="8" t="s">
        <v>48</v>
      </c>
      <c r="D599" s="8" t="s">
        <v>47</v>
      </c>
      <c r="E599" s="8"/>
      <c r="F599" s="8"/>
      <c r="G599" s="4">
        <f>G600+G602+G604</f>
        <v>2044.3</v>
      </c>
      <c r="H599" s="4">
        <f>H600+H602+H604</f>
        <v>0</v>
      </c>
      <c r="I599" s="4">
        <f>I600+I602+I604</f>
        <v>0</v>
      </c>
    </row>
    <row r="600" spans="1:22" x14ac:dyDescent="0.2">
      <c r="A600" s="18" t="s">
        <v>270</v>
      </c>
      <c r="B600" s="22">
        <v>919</v>
      </c>
      <c r="C600" s="19" t="s">
        <v>48</v>
      </c>
      <c r="D600" s="19" t="s">
        <v>47</v>
      </c>
      <c r="E600" s="19" t="s">
        <v>271</v>
      </c>
      <c r="F600" s="19"/>
      <c r="G600" s="20">
        <f>G601</f>
        <v>718.7</v>
      </c>
      <c r="H600" s="20">
        <f>H601</f>
        <v>0</v>
      </c>
      <c r="I600" s="20">
        <f>I601</f>
        <v>0</v>
      </c>
      <c r="J600" s="101"/>
      <c r="K600" s="101"/>
      <c r="L600" s="101"/>
      <c r="M600" s="101"/>
      <c r="N600" s="101"/>
      <c r="O600" s="101"/>
      <c r="P600" s="101"/>
      <c r="Q600" s="101"/>
    </row>
    <row r="601" spans="1:22" s="26" customFormat="1" x14ac:dyDescent="0.2">
      <c r="A601" s="28" t="s">
        <v>66</v>
      </c>
      <c r="B601" s="31">
        <v>919</v>
      </c>
      <c r="C601" s="24" t="s">
        <v>48</v>
      </c>
      <c r="D601" s="24" t="s">
        <v>47</v>
      </c>
      <c r="E601" s="24" t="s">
        <v>271</v>
      </c>
      <c r="F601" s="24" t="s">
        <v>67</v>
      </c>
      <c r="G601" s="25">
        <v>718.7</v>
      </c>
      <c r="H601" s="25"/>
      <c r="I601" s="25"/>
      <c r="J601" s="102"/>
      <c r="K601" s="102"/>
      <c r="L601" s="102"/>
      <c r="M601" s="102"/>
      <c r="N601" s="102"/>
      <c r="O601" s="102"/>
      <c r="P601" s="102"/>
      <c r="Q601" s="102"/>
    </row>
    <row r="602" spans="1:22" ht="25.5" x14ac:dyDescent="0.2">
      <c r="A602" s="18" t="s">
        <v>273</v>
      </c>
      <c r="B602" s="18">
        <v>919</v>
      </c>
      <c r="C602" s="19" t="s">
        <v>48</v>
      </c>
      <c r="D602" s="19" t="s">
        <v>47</v>
      </c>
      <c r="E602" s="19" t="s">
        <v>272</v>
      </c>
      <c r="F602" s="19"/>
      <c r="G602" s="20">
        <f>G603</f>
        <v>1290.0999999999999</v>
      </c>
      <c r="H602" s="20">
        <f>H603</f>
        <v>0</v>
      </c>
      <c r="I602" s="20">
        <f>I603</f>
        <v>0</v>
      </c>
      <c r="J602" s="101"/>
      <c r="K602" s="101"/>
      <c r="L602" s="101"/>
      <c r="M602" s="101"/>
      <c r="N602" s="101"/>
      <c r="O602" s="101"/>
      <c r="P602" s="101"/>
      <c r="Q602" s="101"/>
    </row>
    <row r="603" spans="1:22" s="26" customFormat="1" x14ac:dyDescent="0.2">
      <c r="A603" s="28" t="s">
        <v>66</v>
      </c>
      <c r="B603" s="28">
        <v>919</v>
      </c>
      <c r="C603" s="24" t="s">
        <v>48</v>
      </c>
      <c r="D603" s="24" t="s">
        <v>47</v>
      </c>
      <c r="E603" s="24" t="s">
        <v>272</v>
      </c>
      <c r="F603" s="24" t="s">
        <v>67</v>
      </c>
      <c r="G603" s="25">
        <f>1573.8-283.7</f>
        <v>1290.0999999999999</v>
      </c>
      <c r="H603" s="25"/>
      <c r="I603" s="25"/>
      <c r="J603" s="102"/>
      <c r="K603" s="102"/>
      <c r="L603" s="102"/>
      <c r="M603" s="102"/>
      <c r="N603" s="102"/>
      <c r="O603" s="102"/>
      <c r="P603" s="102"/>
      <c r="Q603" s="102"/>
    </row>
    <row r="604" spans="1:22" ht="76.5" x14ac:dyDescent="0.2">
      <c r="A604" s="54" t="s">
        <v>275</v>
      </c>
      <c r="B604" s="48">
        <v>919</v>
      </c>
      <c r="C604" s="19" t="s">
        <v>48</v>
      </c>
      <c r="D604" s="19" t="s">
        <v>47</v>
      </c>
      <c r="E604" s="19" t="s">
        <v>274</v>
      </c>
      <c r="F604" s="19"/>
      <c r="G604" s="20">
        <f>G605</f>
        <v>35.5</v>
      </c>
      <c r="H604" s="20">
        <f>H605</f>
        <v>0</v>
      </c>
      <c r="I604" s="20">
        <f>I605</f>
        <v>0</v>
      </c>
      <c r="J604" s="101"/>
      <c r="K604" s="101"/>
      <c r="L604" s="101"/>
      <c r="M604" s="101"/>
      <c r="N604" s="101"/>
      <c r="O604" s="101"/>
      <c r="P604" s="101"/>
      <c r="Q604" s="101"/>
    </row>
    <row r="605" spans="1:22" s="26" customFormat="1" x14ac:dyDescent="0.2">
      <c r="A605" s="49" t="s">
        <v>66</v>
      </c>
      <c r="B605" s="28">
        <v>919</v>
      </c>
      <c r="C605" s="24" t="s">
        <v>48</v>
      </c>
      <c r="D605" s="24" t="s">
        <v>47</v>
      </c>
      <c r="E605" s="24" t="s">
        <v>274</v>
      </c>
      <c r="F605" s="24" t="s">
        <v>67</v>
      </c>
      <c r="G605" s="25">
        <v>35.5</v>
      </c>
      <c r="H605" s="25"/>
      <c r="I605" s="25"/>
      <c r="J605" s="102"/>
      <c r="K605" s="102"/>
      <c r="L605" s="102"/>
      <c r="M605" s="102"/>
      <c r="N605" s="102"/>
      <c r="O605" s="102"/>
      <c r="P605" s="102"/>
      <c r="Q605" s="102"/>
    </row>
    <row r="606" spans="1:22" s="15" customFormat="1" ht="23.25" customHeight="1" x14ac:dyDescent="0.25">
      <c r="A606" s="33" t="s">
        <v>55</v>
      </c>
      <c r="B606" s="44"/>
      <c r="C606" s="34"/>
      <c r="D606" s="34"/>
      <c r="E606" s="34"/>
      <c r="F606" s="34"/>
      <c r="G606" s="238">
        <f>G524+G440+G381+G243+G228+G219+G183+G147+G14</f>
        <v>3365910.38411</v>
      </c>
      <c r="H606" s="238">
        <f>H524+H440+H381+H243+H228+H219+H183+H147+H14</f>
        <v>2738971.7459999993</v>
      </c>
      <c r="I606" s="238">
        <f>I524+I440+I381+I243+I228+I219+I183+I147+I14</f>
        <v>2969386.5320000001</v>
      </c>
      <c r="S606" s="222"/>
      <c r="T606" s="223"/>
      <c r="V606" s="222"/>
    </row>
    <row r="607" spans="1:22" ht="9.75" customHeight="1" x14ac:dyDescent="0.2">
      <c r="G607" s="112"/>
      <c r="H607" s="112"/>
      <c r="I607" s="112"/>
      <c r="J607" s="21"/>
      <c r="K607" s="21"/>
      <c r="L607" s="21"/>
      <c r="M607" s="21"/>
      <c r="N607" s="21"/>
      <c r="O607" s="21"/>
      <c r="P607" s="21"/>
      <c r="Q607" s="21"/>
    </row>
    <row r="608" spans="1:22" s="72" customFormat="1" hidden="1" x14ac:dyDescent="0.2">
      <c r="C608" s="96"/>
      <c r="D608" s="96"/>
      <c r="E608" s="96"/>
      <c r="F608" s="96"/>
      <c r="G608" s="99"/>
      <c r="H608" s="99"/>
      <c r="I608" s="99"/>
    </row>
    <row r="609" spans="1:19" s="72" customFormat="1" hidden="1" x14ac:dyDescent="0.2">
      <c r="C609" s="96"/>
      <c r="D609" s="96"/>
      <c r="E609" s="96"/>
      <c r="F609" s="96"/>
      <c r="G609" s="99">
        <f>3068286.91127+2000+13.63059+1268.63294+40.89179+50+2538.27819+25-500+120+40+30+452+800+85.1-549+37672.1+158.5+119.3+186.5+137.6-5.6-595.9+180.6+283.3+54.52238+52000+1000+850-30+88+3200+1339+110+685.7-30+100-100-4017-390-45+1000+650+15+4432.6+50+1.5-650+6952.9-312.4628+100879+81</f>
        <v>3280752.6043600002</v>
      </c>
      <c r="H609" s="99">
        <f>2338074.6-387+20441.05382+796.44</f>
        <v>2358925.0938200001</v>
      </c>
      <c r="I609" s="99">
        <f>2308087.1-387+21095.92313+821.96</f>
        <v>2329617.9831300001</v>
      </c>
    </row>
    <row r="610" spans="1:19" s="72" customFormat="1" hidden="1" x14ac:dyDescent="0.2">
      <c r="C610" s="96"/>
      <c r="D610" s="96"/>
      <c r="E610" s="96"/>
      <c r="F610" s="96"/>
      <c r="G610" s="100">
        <f>G609-G606</f>
        <v>-85157.779749999754</v>
      </c>
      <c r="H610" s="99">
        <f>H609-H606</f>
        <v>-380046.65217999928</v>
      </c>
      <c r="I610" s="99">
        <f>I609-I606</f>
        <v>-639768.54887000006</v>
      </c>
    </row>
    <row r="611" spans="1:19" ht="24" customHeight="1" x14ac:dyDescent="0.2">
      <c r="A611" s="113" t="s">
        <v>61</v>
      </c>
      <c r="B611" s="242"/>
      <c r="F611" s="112"/>
      <c r="G611" s="114"/>
      <c r="H611" s="114"/>
      <c r="I611" s="115" t="s">
        <v>580</v>
      </c>
      <c r="J611" s="21"/>
      <c r="K611" s="21"/>
      <c r="L611" s="21"/>
      <c r="M611" s="21"/>
      <c r="N611" s="21"/>
      <c r="O611" s="21"/>
      <c r="P611" s="21"/>
      <c r="Q611" s="21"/>
    </row>
    <row r="613" spans="1:19" ht="15" x14ac:dyDescent="0.25">
      <c r="G613" s="237">
        <f>3286814.10811+36374.3+2314+894.2+58.8+811.1-1+2037.2+80.4+333.2+409.2+6156.2+532.4+1335+4237.276+23524</f>
        <v>3365910.3841100005</v>
      </c>
      <c r="H613" s="229">
        <f>2738971.746</f>
        <v>2738971.7459999998</v>
      </c>
      <c r="I613" s="221">
        <f>2969386.532</f>
        <v>2969386.5320000001</v>
      </c>
      <c r="J613" s="21"/>
      <c r="K613" s="21"/>
      <c r="L613" s="21"/>
      <c r="M613" s="21"/>
      <c r="N613" s="21"/>
      <c r="O613" s="21"/>
      <c r="P613" s="21"/>
      <c r="Q613" s="21"/>
      <c r="S613" s="141"/>
    </row>
    <row r="614" spans="1:19" hidden="1" x14ac:dyDescent="0.2">
      <c r="C614" s="198"/>
      <c r="D614" s="198"/>
      <c r="E614" s="198"/>
      <c r="F614" s="198"/>
      <c r="G614" s="181"/>
      <c r="H614" s="118"/>
      <c r="I614" s="118"/>
      <c r="J614" s="21"/>
      <c r="K614" s="21"/>
      <c r="L614" s="21"/>
      <c r="M614" s="21"/>
      <c r="N614" s="21"/>
      <c r="O614" s="21"/>
      <c r="P614" s="21"/>
      <c r="Q614" s="21"/>
    </row>
    <row r="615" spans="1:19" hidden="1" x14ac:dyDescent="0.2">
      <c r="C615" s="198"/>
      <c r="D615" s="198"/>
      <c r="E615" s="198"/>
      <c r="F615" s="198"/>
      <c r="G615" s="198"/>
      <c r="H615" s="198"/>
      <c r="I615" s="198"/>
    </row>
    <row r="616" spans="1:19" hidden="1" x14ac:dyDescent="0.2">
      <c r="C616" s="198"/>
      <c r="D616" s="198"/>
      <c r="E616" s="198"/>
      <c r="F616" s="198"/>
      <c r="G616" s="199"/>
      <c r="H616" s="199"/>
      <c r="I616" s="199"/>
    </row>
    <row r="618" spans="1:19" x14ac:dyDescent="0.2">
      <c r="G618" s="181">
        <f>G613-G606</f>
        <v>0</v>
      </c>
      <c r="H618" s="181">
        <f t="shared" ref="H618:I618" si="145">H613-H606</f>
        <v>0</v>
      </c>
      <c r="I618" s="181">
        <f t="shared" si="145"/>
        <v>0</v>
      </c>
      <c r="J618" s="181"/>
      <c r="K618" s="181"/>
      <c r="L618" s="181"/>
      <c r="M618" s="181"/>
      <c r="N618" s="181"/>
      <c r="O618" s="181"/>
      <c r="P618" s="181"/>
      <c r="Q618" s="181"/>
    </row>
  </sheetData>
  <mergeCells count="20">
    <mergeCell ref="S217:W218"/>
    <mergeCell ref="S368:X368"/>
    <mergeCell ref="F11:F12"/>
    <mergeCell ref="A5:I5"/>
    <mergeCell ref="A6:I6"/>
    <mergeCell ref="A7:I7"/>
    <mergeCell ref="A9:I9"/>
    <mergeCell ref="A10:G10"/>
    <mergeCell ref="A11:A12"/>
    <mergeCell ref="B11:B12"/>
    <mergeCell ref="C11:C12"/>
    <mergeCell ref="D11:D12"/>
    <mergeCell ref="E11:E12"/>
    <mergeCell ref="G11:G12"/>
    <mergeCell ref="A4:I4"/>
    <mergeCell ref="A3:I3"/>
    <mergeCell ref="A2:I2"/>
    <mergeCell ref="A1:I1"/>
    <mergeCell ref="H11:H12"/>
    <mergeCell ref="I11:I12"/>
  </mergeCells>
  <pageMargins left="0.78740157480314965" right="0.39370078740157483" top="0.59055118110236227" bottom="0.78740157480314965" header="0.31496062992125984" footer="0.31496062992125984"/>
  <pageSetup paperSize="9" scale="55" fitToHeight="30" orientation="portrait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3"/>
  <sheetViews>
    <sheetView topLeftCell="A491" zoomScaleNormal="100" workbookViewId="0">
      <selection activeCell="G503" sqref="G503"/>
    </sheetView>
  </sheetViews>
  <sheetFormatPr defaultRowHeight="12.75" x14ac:dyDescent="0.2"/>
  <cols>
    <col min="1" max="1" width="61.140625" style="21" customWidth="1"/>
    <col min="2" max="2" width="8.7109375" style="171" customWidth="1"/>
    <col min="3" max="3" width="8.7109375" style="116" customWidth="1"/>
    <col min="4" max="4" width="12.140625" style="171" customWidth="1"/>
    <col min="5" max="5" width="12.140625" style="116" customWidth="1"/>
    <col min="6" max="6" width="5.85546875" style="116" customWidth="1"/>
    <col min="7" max="7" width="13.42578125" style="116" customWidth="1"/>
    <col min="8" max="8" width="11.85546875" style="21" customWidth="1"/>
    <col min="9" max="9" width="13.42578125" style="21" customWidth="1"/>
    <col min="10" max="16384" width="9.140625" style="21"/>
  </cols>
  <sheetData>
    <row r="1" spans="1:9" s="193" customFormat="1" ht="18.75" x14ac:dyDescent="0.3">
      <c r="A1" s="254" t="s">
        <v>533</v>
      </c>
      <c r="B1" s="254"/>
      <c r="C1" s="254"/>
      <c r="D1" s="254"/>
      <c r="E1" s="254"/>
      <c r="F1" s="254"/>
      <c r="G1" s="254"/>
      <c r="H1" s="254"/>
      <c r="I1" s="254"/>
    </row>
    <row r="2" spans="1:9" s="193" customFormat="1" ht="18.75" x14ac:dyDescent="0.3">
      <c r="A2" s="254" t="s">
        <v>75</v>
      </c>
      <c r="B2" s="254"/>
      <c r="C2" s="254"/>
      <c r="D2" s="254"/>
      <c r="E2" s="254"/>
      <c r="F2" s="254"/>
      <c r="G2" s="254"/>
      <c r="H2" s="254"/>
      <c r="I2" s="254"/>
    </row>
    <row r="3" spans="1:9" s="193" customFormat="1" ht="18.75" x14ac:dyDescent="0.3">
      <c r="A3" s="254" t="s">
        <v>666</v>
      </c>
      <c r="B3" s="254"/>
      <c r="C3" s="254"/>
      <c r="D3" s="254"/>
      <c r="E3" s="254"/>
      <c r="F3" s="254"/>
      <c r="G3" s="254"/>
      <c r="H3" s="254"/>
      <c r="I3" s="254"/>
    </row>
    <row r="4" spans="1:9" s="193" customFormat="1" x14ac:dyDescent="0.2">
      <c r="B4" s="171"/>
      <c r="C4" s="192"/>
      <c r="D4" s="171"/>
      <c r="E4" s="192"/>
      <c r="F4" s="192"/>
      <c r="G4" s="192"/>
    </row>
    <row r="5" spans="1:9" ht="14.25" customHeight="1" x14ac:dyDescent="0.2">
      <c r="A5" s="260" t="s">
        <v>523</v>
      </c>
      <c r="B5" s="260"/>
      <c r="C5" s="260"/>
      <c r="D5" s="260"/>
      <c r="E5" s="260"/>
      <c r="F5" s="260"/>
      <c r="G5" s="260"/>
      <c r="H5" s="260"/>
      <c r="I5" s="260"/>
    </row>
    <row r="6" spans="1:9" ht="14.25" customHeight="1" x14ac:dyDescent="0.2">
      <c r="A6" s="260" t="s">
        <v>75</v>
      </c>
      <c r="B6" s="260"/>
      <c r="C6" s="260"/>
      <c r="D6" s="260"/>
      <c r="E6" s="260"/>
      <c r="F6" s="260"/>
      <c r="G6" s="260"/>
      <c r="H6" s="260"/>
      <c r="I6" s="260"/>
    </row>
    <row r="7" spans="1:9" ht="14.25" customHeight="1" x14ac:dyDescent="0.2">
      <c r="A7" s="260" t="s">
        <v>664</v>
      </c>
      <c r="B7" s="260"/>
      <c r="C7" s="260"/>
      <c r="D7" s="260"/>
      <c r="E7" s="260"/>
      <c r="F7" s="260"/>
      <c r="G7" s="260"/>
      <c r="H7" s="260"/>
      <c r="I7" s="260"/>
    </row>
    <row r="8" spans="1:9" x14ac:dyDescent="0.2">
      <c r="A8" s="117"/>
      <c r="B8" s="117"/>
      <c r="C8" s="117"/>
      <c r="D8" s="117"/>
      <c r="E8" s="117"/>
      <c r="F8" s="117"/>
      <c r="G8" s="117"/>
      <c r="H8" s="117"/>
      <c r="I8" s="117"/>
    </row>
    <row r="9" spans="1:9" s="160" customFormat="1" ht="67.5" customHeight="1" x14ac:dyDescent="0.2">
      <c r="A9" s="265" t="s">
        <v>667</v>
      </c>
      <c r="B9" s="265"/>
      <c r="C9" s="265"/>
      <c r="D9" s="265"/>
      <c r="E9" s="265"/>
      <c r="F9" s="265"/>
      <c r="G9" s="265"/>
      <c r="H9" s="265"/>
      <c r="I9" s="265"/>
    </row>
    <row r="10" spans="1:9" s="161" customFormat="1" ht="11.25" x14ac:dyDescent="0.2">
      <c r="A10" s="266"/>
      <c r="B10" s="266"/>
      <c r="C10" s="266"/>
      <c r="D10" s="266"/>
      <c r="E10" s="266"/>
      <c r="F10" s="266"/>
      <c r="G10" s="266"/>
      <c r="I10" s="162" t="s">
        <v>59</v>
      </c>
    </row>
    <row r="11" spans="1:9" ht="51.75" x14ac:dyDescent="0.25">
      <c r="A11" s="163"/>
      <c r="B11" s="164" t="s">
        <v>522</v>
      </c>
      <c r="C11" s="164" t="s">
        <v>521</v>
      </c>
      <c r="D11" s="165" t="s">
        <v>520</v>
      </c>
      <c r="E11" s="164" t="s">
        <v>519</v>
      </c>
      <c r="F11" s="166" t="s">
        <v>9</v>
      </c>
      <c r="G11" s="167" t="s">
        <v>641</v>
      </c>
      <c r="H11" s="167" t="s">
        <v>642</v>
      </c>
      <c r="I11" s="167" t="s">
        <v>643</v>
      </c>
    </row>
    <row r="12" spans="1:9" s="154" customFormat="1" ht="15.75" customHeight="1" x14ac:dyDescent="0.2">
      <c r="A12" s="159">
        <v>1</v>
      </c>
      <c r="B12" s="157" t="s">
        <v>387</v>
      </c>
      <c r="C12" s="157" t="s">
        <v>383</v>
      </c>
      <c r="D12" s="158" t="s">
        <v>380</v>
      </c>
      <c r="E12" s="157" t="s">
        <v>377</v>
      </c>
      <c r="F12" s="156">
        <v>6</v>
      </c>
      <c r="G12" s="155">
        <v>7</v>
      </c>
      <c r="H12" s="155">
        <v>8</v>
      </c>
      <c r="I12" s="155">
        <v>9</v>
      </c>
    </row>
    <row r="13" spans="1:9" s="9" customFormat="1" ht="25.5" x14ac:dyDescent="0.2">
      <c r="A13" s="35" t="s">
        <v>518</v>
      </c>
      <c r="B13" s="153" t="s">
        <v>10</v>
      </c>
      <c r="C13" s="153"/>
      <c r="D13" s="153"/>
      <c r="E13" s="153"/>
      <c r="F13" s="152"/>
      <c r="G13" s="151">
        <f>SUM(G14,G24,G29)</f>
        <v>94932.700000000012</v>
      </c>
      <c r="H13" s="151">
        <f>SUM(H14,H24,H29)</f>
        <v>74193.700000000012</v>
      </c>
      <c r="I13" s="151">
        <f>SUM(I14,I24,I29)</f>
        <v>71934.900000000009</v>
      </c>
    </row>
    <row r="14" spans="1:9" s="77" customFormat="1" ht="25.5" x14ac:dyDescent="0.2">
      <c r="A14" s="150" t="s">
        <v>517</v>
      </c>
      <c r="B14" s="149" t="s">
        <v>10</v>
      </c>
      <c r="C14" s="149" t="s">
        <v>391</v>
      </c>
      <c r="D14" s="149"/>
      <c r="E14" s="149"/>
      <c r="F14" s="148"/>
      <c r="G14" s="147">
        <f>SUM(G15,G17,G21)</f>
        <v>62364.500000000007</v>
      </c>
      <c r="H14" s="147">
        <f>SUM(H15,H17,H21)</f>
        <v>44758.200000000004</v>
      </c>
      <c r="I14" s="147">
        <f>SUM(I15,I17,I21)</f>
        <v>43514.8</v>
      </c>
    </row>
    <row r="15" spans="1:9" s="77" customFormat="1" ht="25.5" x14ac:dyDescent="0.2">
      <c r="A15" s="68" t="s">
        <v>282</v>
      </c>
      <c r="B15" s="70" t="s">
        <v>10</v>
      </c>
      <c r="C15" s="70">
        <v>1</v>
      </c>
      <c r="D15" s="70" t="s">
        <v>350</v>
      </c>
      <c r="E15" s="70" t="s">
        <v>516</v>
      </c>
      <c r="F15" s="70"/>
      <c r="G15" s="71">
        <f>G16</f>
        <v>2391.9</v>
      </c>
      <c r="H15" s="71">
        <f>H16</f>
        <v>2191.9</v>
      </c>
      <c r="I15" s="71">
        <f>I16</f>
        <v>2191.9</v>
      </c>
    </row>
    <row r="16" spans="1:9" s="72" customFormat="1" ht="51" x14ac:dyDescent="0.2">
      <c r="A16" s="73" t="s">
        <v>63</v>
      </c>
      <c r="B16" s="75" t="s">
        <v>10</v>
      </c>
      <c r="C16" s="75">
        <v>1</v>
      </c>
      <c r="D16" s="75" t="s">
        <v>350</v>
      </c>
      <c r="E16" s="75" t="s">
        <v>516</v>
      </c>
      <c r="F16" s="76" t="s">
        <v>64</v>
      </c>
      <c r="G16" s="55">
        <f>'изм июнь вед стр-ра'!G18</f>
        <v>2391.9</v>
      </c>
      <c r="H16" s="55">
        <f>'изм июнь вед стр-ра'!H18</f>
        <v>2191.9</v>
      </c>
      <c r="I16" s="55">
        <f>'изм июнь вед стр-ра'!I18</f>
        <v>2191.9</v>
      </c>
    </row>
    <row r="17" spans="1:9" s="26" customFormat="1" ht="25.5" x14ac:dyDescent="0.2">
      <c r="A17" s="18" t="s">
        <v>282</v>
      </c>
      <c r="B17" s="19" t="s">
        <v>10</v>
      </c>
      <c r="C17" s="19">
        <v>1</v>
      </c>
      <c r="D17" s="19" t="s">
        <v>350</v>
      </c>
      <c r="E17" s="19" t="s">
        <v>515</v>
      </c>
      <c r="F17" s="19"/>
      <c r="G17" s="20">
        <f>SUM(G18:G20)</f>
        <v>57575.8</v>
      </c>
      <c r="H17" s="20">
        <f>SUM(H18:H20)</f>
        <v>41484.300000000003</v>
      </c>
      <c r="I17" s="20">
        <f>SUM(I18:I20)</f>
        <v>40240.9</v>
      </c>
    </row>
    <row r="18" spans="1:9" s="67" customFormat="1" ht="51" x14ac:dyDescent="0.2">
      <c r="A18" s="73" t="s">
        <v>63</v>
      </c>
      <c r="B18" s="75" t="s">
        <v>10</v>
      </c>
      <c r="C18" s="75">
        <v>1</v>
      </c>
      <c r="D18" s="75" t="s">
        <v>350</v>
      </c>
      <c r="E18" s="75" t="s">
        <v>515</v>
      </c>
      <c r="F18" s="76" t="s">
        <v>64</v>
      </c>
      <c r="G18" s="55">
        <f>'изм июнь вед стр-ра'!G27</f>
        <v>39512.400000000001</v>
      </c>
      <c r="H18" s="55">
        <f>'изм июнь вед стр-ра'!H27</f>
        <v>38152.400000000001</v>
      </c>
      <c r="I18" s="55">
        <f>'изм июнь вед стр-ра'!I27</f>
        <v>38152.400000000001</v>
      </c>
    </row>
    <row r="19" spans="1:9" ht="25.5" x14ac:dyDescent="0.2">
      <c r="A19" s="30" t="s">
        <v>353</v>
      </c>
      <c r="B19" s="24" t="s">
        <v>10</v>
      </c>
      <c r="C19" s="24">
        <v>1</v>
      </c>
      <c r="D19" s="24" t="s">
        <v>350</v>
      </c>
      <c r="E19" s="24" t="s">
        <v>515</v>
      </c>
      <c r="F19" s="27" t="s">
        <v>65</v>
      </c>
      <c r="G19" s="55">
        <f>'изм июнь вед стр-ра'!G28</f>
        <v>17788.400000000001</v>
      </c>
      <c r="H19" s="55">
        <f>'изм июнь вед стр-ра'!H28</f>
        <v>3289.9000000000005</v>
      </c>
      <c r="I19" s="55">
        <f>'изм июнь вед стр-ра'!I28</f>
        <v>2046.4999999999998</v>
      </c>
    </row>
    <row r="20" spans="1:9" s="26" customFormat="1" x14ac:dyDescent="0.2">
      <c r="A20" s="28" t="s">
        <v>69</v>
      </c>
      <c r="B20" s="24" t="s">
        <v>10</v>
      </c>
      <c r="C20" s="24">
        <v>1</v>
      </c>
      <c r="D20" s="24" t="s">
        <v>350</v>
      </c>
      <c r="E20" s="24" t="s">
        <v>515</v>
      </c>
      <c r="F20" s="24" t="s">
        <v>70</v>
      </c>
      <c r="G20" s="55">
        <f>'изм июнь вед стр-ра'!G29</f>
        <v>275</v>
      </c>
      <c r="H20" s="55">
        <f>'изм июнь вед стр-ра'!H29</f>
        <v>42</v>
      </c>
      <c r="I20" s="55">
        <f>'изм июнь вед стр-ра'!I29</f>
        <v>42</v>
      </c>
    </row>
    <row r="21" spans="1:9" s="12" customFormat="1" ht="25.5" x14ac:dyDescent="0.2">
      <c r="A21" s="18" t="s">
        <v>282</v>
      </c>
      <c r="B21" s="19" t="s">
        <v>10</v>
      </c>
      <c r="C21" s="19">
        <v>1</v>
      </c>
      <c r="D21" s="19" t="s">
        <v>350</v>
      </c>
      <c r="E21" s="19" t="s">
        <v>514</v>
      </c>
      <c r="F21" s="19"/>
      <c r="G21" s="20">
        <f>G22+G23</f>
        <v>2396.8000000000006</v>
      </c>
      <c r="H21" s="20">
        <f>H22+H23</f>
        <v>1082.0000000000002</v>
      </c>
      <c r="I21" s="20">
        <f>I22+I23</f>
        <v>1082.0000000000002</v>
      </c>
    </row>
    <row r="22" spans="1:9" s="111" customFormat="1" ht="51" x14ac:dyDescent="0.2">
      <c r="A22" s="30" t="s">
        <v>63</v>
      </c>
      <c r="B22" s="19" t="s">
        <v>10</v>
      </c>
      <c r="C22" s="19">
        <v>1</v>
      </c>
      <c r="D22" s="19" t="s">
        <v>350</v>
      </c>
      <c r="E22" s="19" t="s">
        <v>514</v>
      </c>
      <c r="F22" s="27" t="s">
        <v>64</v>
      </c>
      <c r="G22" s="25">
        <f>'изм июнь вед стр-ра'!G33</f>
        <v>2277.4000000000005</v>
      </c>
      <c r="H22" s="25">
        <f>'изм июнь вед стр-ра'!H33</f>
        <v>1082.0000000000002</v>
      </c>
      <c r="I22" s="25">
        <f>'изм июнь вед стр-ра'!I33</f>
        <v>1082.0000000000002</v>
      </c>
    </row>
    <row r="23" spans="1:9" s="77" customFormat="1" ht="25.5" x14ac:dyDescent="0.2">
      <c r="A23" s="73" t="s">
        <v>353</v>
      </c>
      <c r="B23" s="70" t="s">
        <v>10</v>
      </c>
      <c r="C23" s="70">
        <v>1</v>
      </c>
      <c r="D23" s="70" t="s">
        <v>350</v>
      </c>
      <c r="E23" s="70" t="s">
        <v>514</v>
      </c>
      <c r="F23" s="76" t="s">
        <v>65</v>
      </c>
      <c r="G23" s="25">
        <f>'изм июнь вед стр-ра'!G34</f>
        <v>119.40000000000005</v>
      </c>
      <c r="H23" s="25">
        <f>'изм июнь вед стр-ра'!H34</f>
        <v>0</v>
      </c>
      <c r="I23" s="25">
        <f>'изм июнь вед стр-ра'!I34</f>
        <v>0</v>
      </c>
    </row>
    <row r="24" spans="1:9" s="72" customFormat="1" ht="25.5" x14ac:dyDescent="0.2">
      <c r="A24" s="137" t="s">
        <v>513</v>
      </c>
      <c r="B24" s="130" t="s">
        <v>10</v>
      </c>
      <c r="C24" s="130" t="s">
        <v>380</v>
      </c>
      <c r="D24" s="130"/>
      <c r="E24" s="130"/>
      <c r="F24" s="136"/>
      <c r="G24" s="129">
        <f>SUM(G25,G27)</f>
        <v>5763.2</v>
      </c>
      <c r="H24" s="129">
        <f>SUM(H25,H27)</f>
        <v>5130.8999999999996</v>
      </c>
      <c r="I24" s="129">
        <f>SUM(I25,I27)</f>
        <v>4968.8</v>
      </c>
    </row>
    <row r="25" spans="1:9" ht="25.5" x14ac:dyDescent="0.2">
      <c r="A25" s="110" t="s">
        <v>130</v>
      </c>
      <c r="B25" s="5" t="s">
        <v>10</v>
      </c>
      <c r="C25" s="5">
        <v>4</v>
      </c>
      <c r="D25" s="5" t="s">
        <v>350</v>
      </c>
      <c r="E25" s="5" t="s">
        <v>512</v>
      </c>
      <c r="F25" s="5"/>
      <c r="G25" s="6">
        <f>G26</f>
        <v>5638.2</v>
      </c>
      <c r="H25" s="6">
        <f>H26</f>
        <v>5005.8999999999996</v>
      </c>
      <c r="I25" s="6">
        <f>I26</f>
        <v>4843.8</v>
      </c>
    </row>
    <row r="26" spans="1:9" s="26" customFormat="1" ht="25.5" x14ac:dyDescent="0.2">
      <c r="A26" s="28" t="s">
        <v>119</v>
      </c>
      <c r="B26" s="24" t="s">
        <v>10</v>
      </c>
      <c r="C26" s="24">
        <v>4</v>
      </c>
      <c r="D26" s="24" t="s">
        <v>350</v>
      </c>
      <c r="E26" s="24" t="s">
        <v>512</v>
      </c>
      <c r="F26" s="24" t="s">
        <v>62</v>
      </c>
      <c r="G26" s="25">
        <f>'изм июнь вед стр-ра'!G59</f>
        <v>5638.2</v>
      </c>
      <c r="H26" s="25">
        <f>'изм июнь вед стр-ра'!H59</f>
        <v>5005.8999999999996</v>
      </c>
      <c r="I26" s="25">
        <f>'изм июнь вед стр-ра'!I59</f>
        <v>4843.8</v>
      </c>
    </row>
    <row r="27" spans="1:9" ht="24.75" customHeight="1" x14ac:dyDescent="0.2">
      <c r="A27" s="18" t="s">
        <v>127</v>
      </c>
      <c r="B27" s="19" t="s">
        <v>10</v>
      </c>
      <c r="C27" s="19">
        <v>4</v>
      </c>
      <c r="D27" s="19" t="s">
        <v>350</v>
      </c>
      <c r="E27" s="19" t="s">
        <v>511</v>
      </c>
      <c r="F27" s="19"/>
      <c r="G27" s="20">
        <f>G28</f>
        <v>125</v>
      </c>
      <c r="H27" s="20">
        <f>H28</f>
        <v>125</v>
      </c>
      <c r="I27" s="20">
        <f>I28</f>
        <v>125</v>
      </c>
    </row>
    <row r="28" spans="1:9" s="26" customFormat="1" ht="25.5" x14ac:dyDescent="0.2">
      <c r="A28" s="28" t="s">
        <v>119</v>
      </c>
      <c r="B28" s="24" t="s">
        <v>10</v>
      </c>
      <c r="C28" s="24">
        <v>4</v>
      </c>
      <c r="D28" s="24" t="s">
        <v>350</v>
      </c>
      <c r="E28" s="24">
        <v>79050</v>
      </c>
      <c r="F28" s="24" t="s">
        <v>62</v>
      </c>
      <c r="G28" s="25">
        <f>'изм июнь вед стр-ра'!G55</f>
        <v>125</v>
      </c>
      <c r="H28" s="25">
        <f>'изм июнь вед стр-ра'!H55</f>
        <v>125</v>
      </c>
      <c r="I28" s="25">
        <f>'изм июнь вед стр-ра'!I55</f>
        <v>125</v>
      </c>
    </row>
    <row r="29" spans="1:9" s="77" customFormat="1" ht="25.5" x14ac:dyDescent="0.2">
      <c r="A29" s="132" t="s">
        <v>510</v>
      </c>
      <c r="B29" s="131" t="s">
        <v>10</v>
      </c>
      <c r="C29" s="130" t="s">
        <v>377</v>
      </c>
      <c r="D29" s="130"/>
      <c r="E29" s="130"/>
      <c r="F29" s="130"/>
      <c r="G29" s="129">
        <f>SUM(G30,G32,G35,G37,G43,G46,G49,G51)+G39</f>
        <v>26805</v>
      </c>
      <c r="H29" s="129">
        <f t="shared" ref="H29:I29" si="0">SUM(H30,H32,H35,H37,H43,H46,H49,H51)+H39</f>
        <v>24304.6</v>
      </c>
      <c r="I29" s="129">
        <f t="shared" si="0"/>
        <v>23451.3</v>
      </c>
    </row>
    <row r="30" spans="1:9" s="77" customFormat="1" x14ac:dyDescent="0.2">
      <c r="A30" s="68" t="s">
        <v>244</v>
      </c>
      <c r="B30" s="70" t="s">
        <v>10</v>
      </c>
      <c r="C30" s="70">
        <v>5</v>
      </c>
      <c r="D30" s="70" t="s">
        <v>350</v>
      </c>
      <c r="E30" s="70" t="s">
        <v>509</v>
      </c>
      <c r="F30" s="70"/>
      <c r="G30" s="71">
        <f>G31</f>
        <v>1659</v>
      </c>
      <c r="H30" s="71">
        <f>H31</f>
        <v>2000</v>
      </c>
      <c r="I30" s="71">
        <f>I31</f>
        <v>2000</v>
      </c>
    </row>
    <row r="31" spans="1:9" s="135" customFormat="1" ht="15.75" x14ac:dyDescent="0.25">
      <c r="A31" s="28" t="s">
        <v>69</v>
      </c>
      <c r="B31" s="24" t="s">
        <v>10</v>
      </c>
      <c r="C31" s="24">
        <v>5</v>
      </c>
      <c r="D31" s="24" t="s">
        <v>350</v>
      </c>
      <c r="E31" s="24" t="s">
        <v>509</v>
      </c>
      <c r="F31" s="24" t="s">
        <v>70</v>
      </c>
      <c r="G31" s="55">
        <f>'изм июнь вед стр-ра'!G40</f>
        <v>1659</v>
      </c>
      <c r="H31" s="55">
        <f>'изм июнь вед стр-ра'!H40</f>
        <v>2000</v>
      </c>
      <c r="I31" s="55">
        <f>'изм июнь вед стр-ра'!I40</f>
        <v>2000</v>
      </c>
    </row>
    <row r="32" spans="1:9" s="9" customFormat="1" x14ac:dyDescent="0.2">
      <c r="A32" s="18" t="s">
        <v>157</v>
      </c>
      <c r="B32" s="19" t="s">
        <v>10</v>
      </c>
      <c r="C32" s="19">
        <v>5</v>
      </c>
      <c r="D32" s="19" t="s">
        <v>350</v>
      </c>
      <c r="E32" s="19" t="s">
        <v>508</v>
      </c>
      <c r="F32" s="19"/>
      <c r="G32" s="20">
        <f>G34+G33</f>
        <v>112.3</v>
      </c>
      <c r="H32" s="20">
        <f>H34+H33</f>
        <v>0</v>
      </c>
      <c r="I32" s="20">
        <f>I34+I33</f>
        <v>0</v>
      </c>
    </row>
    <row r="33" spans="1:9" ht="25.5" x14ac:dyDescent="0.2">
      <c r="A33" s="30" t="s">
        <v>353</v>
      </c>
      <c r="B33" s="24" t="s">
        <v>10</v>
      </c>
      <c r="C33" s="24">
        <v>5</v>
      </c>
      <c r="D33" s="24" t="s">
        <v>350</v>
      </c>
      <c r="E33" s="24" t="s">
        <v>508</v>
      </c>
      <c r="F33" s="27" t="s">
        <v>65</v>
      </c>
      <c r="G33" s="25">
        <f>'изм июнь вед стр-ра'!G130</f>
        <v>0.6</v>
      </c>
      <c r="H33" s="25">
        <f>'изм июнь вед стр-ра'!H130</f>
        <v>0</v>
      </c>
      <c r="I33" s="25">
        <f>'изм июнь вед стр-ра'!I130</f>
        <v>0</v>
      </c>
    </row>
    <row r="34" spans="1:9" s="26" customFormat="1" x14ac:dyDescent="0.2">
      <c r="A34" s="28" t="s">
        <v>66</v>
      </c>
      <c r="B34" s="24" t="s">
        <v>10</v>
      </c>
      <c r="C34" s="24">
        <v>5</v>
      </c>
      <c r="D34" s="24" t="s">
        <v>350</v>
      </c>
      <c r="E34" s="24" t="s">
        <v>508</v>
      </c>
      <c r="F34" s="24" t="s">
        <v>67</v>
      </c>
      <c r="G34" s="25">
        <f>'изм июнь вед стр-ра'!G131</f>
        <v>111.7</v>
      </c>
      <c r="H34" s="25">
        <f>'изм июнь вед стр-ра'!H131</f>
        <v>0</v>
      </c>
      <c r="I34" s="25">
        <f>'изм июнь вед стр-ра'!I131</f>
        <v>0</v>
      </c>
    </row>
    <row r="35" spans="1:9" s="146" customFormat="1" ht="15" x14ac:dyDescent="0.2">
      <c r="A35" s="68" t="s">
        <v>199</v>
      </c>
      <c r="B35" s="70" t="s">
        <v>10</v>
      </c>
      <c r="C35" s="70">
        <v>5</v>
      </c>
      <c r="D35" s="70" t="s">
        <v>350</v>
      </c>
      <c r="E35" s="70" t="s">
        <v>507</v>
      </c>
      <c r="F35" s="70"/>
      <c r="G35" s="71">
        <f>G36</f>
        <v>3373.5</v>
      </c>
      <c r="H35" s="71">
        <f>H36</f>
        <v>0</v>
      </c>
      <c r="I35" s="71">
        <f>I36</f>
        <v>0</v>
      </c>
    </row>
    <row r="36" spans="1:9" s="67" customFormat="1" x14ac:dyDescent="0.2">
      <c r="A36" s="80" t="s">
        <v>66</v>
      </c>
      <c r="B36" s="75" t="s">
        <v>10</v>
      </c>
      <c r="C36" s="75">
        <v>5</v>
      </c>
      <c r="D36" s="75" t="s">
        <v>350</v>
      </c>
      <c r="E36" s="75" t="s">
        <v>507</v>
      </c>
      <c r="F36" s="75" t="s">
        <v>67</v>
      </c>
      <c r="G36" s="55">
        <f>'изм июнь вед стр-ра'!G45+'изм июнь вед стр-ра'!G242</f>
        <v>3373.5</v>
      </c>
      <c r="H36" s="55">
        <f>'изм июнь вед стр-ра'!H45+'изм июнь вед стр-ра'!H242</f>
        <v>0</v>
      </c>
      <c r="I36" s="55">
        <f>'изм июнь вед стр-ра'!I45+'изм июнь вед стр-ра'!I242</f>
        <v>0</v>
      </c>
    </row>
    <row r="37" spans="1:9" x14ac:dyDescent="0.2">
      <c r="A37" s="18" t="s">
        <v>245</v>
      </c>
      <c r="B37" s="19" t="s">
        <v>10</v>
      </c>
      <c r="C37" s="19">
        <v>5</v>
      </c>
      <c r="D37" s="19" t="s">
        <v>350</v>
      </c>
      <c r="E37" s="19" t="s">
        <v>506</v>
      </c>
      <c r="F37" s="19"/>
      <c r="G37" s="20">
        <f>G38</f>
        <v>1400</v>
      </c>
      <c r="H37" s="20">
        <f>H38</f>
        <v>1100</v>
      </c>
      <c r="I37" s="20">
        <f>I38</f>
        <v>1100</v>
      </c>
    </row>
    <row r="38" spans="1:9" x14ac:dyDescent="0.2">
      <c r="A38" s="28" t="s">
        <v>69</v>
      </c>
      <c r="B38" s="24" t="s">
        <v>10</v>
      </c>
      <c r="C38" s="24">
        <v>5</v>
      </c>
      <c r="D38" s="24" t="s">
        <v>350</v>
      </c>
      <c r="E38" s="24" t="s">
        <v>506</v>
      </c>
      <c r="F38" s="24" t="s">
        <v>70</v>
      </c>
      <c r="G38" s="25">
        <f>'изм июнь вед стр-ра'!G47</f>
        <v>1400</v>
      </c>
      <c r="H38" s="25">
        <f>'изм июнь вед стр-ра'!H47</f>
        <v>1100</v>
      </c>
      <c r="I38" s="25">
        <f>'изм июнь вед стр-ра'!I47</f>
        <v>1100</v>
      </c>
    </row>
    <row r="39" spans="1:9" s="194" customFormat="1" ht="38.25" x14ac:dyDescent="0.2">
      <c r="A39" s="48" t="s">
        <v>663</v>
      </c>
      <c r="B39" s="19" t="s">
        <v>10</v>
      </c>
      <c r="C39" s="19">
        <v>5</v>
      </c>
      <c r="D39" s="19" t="s">
        <v>350</v>
      </c>
      <c r="E39" s="19" t="s">
        <v>662</v>
      </c>
      <c r="F39" s="19"/>
      <c r="G39" s="20">
        <f>SUM(G40:G42)</f>
        <v>17341.400000000001</v>
      </c>
      <c r="H39" s="20">
        <f t="shared" ref="H39:I39" si="1">SUM(H40:H42)</f>
        <v>19637.399999999998</v>
      </c>
      <c r="I39" s="20">
        <f t="shared" si="1"/>
        <v>18784.099999999999</v>
      </c>
    </row>
    <row r="40" spans="1:9" s="194" customFormat="1" ht="51" x14ac:dyDescent="0.2">
      <c r="A40" s="23" t="s">
        <v>63</v>
      </c>
      <c r="B40" s="24" t="s">
        <v>10</v>
      </c>
      <c r="C40" s="24">
        <v>5</v>
      </c>
      <c r="D40" s="24" t="s">
        <v>350</v>
      </c>
      <c r="E40" s="24" t="s">
        <v>662</v>
      </c>
      <c r="F40" s="24" t="s">
        <v>64</v>
      </c>
      <c r="G40" s="25">
        <f>'изм июнь вед стр-ра'!G70</f>
        <v>11445.6</v>
      </c>
      <c r="H40" s="25">
        <f>'изм июнь вед стр-ра'!H70</f>
        <v>15875.3</v>
      </c>
      <c r="I40" s="25">
        <f>'изм июнь вед стр-ра'!I70</f>
        <v>15875.3</v>
      </c>
    </row>
    <row r="41" spans="1:9" s="194" customFormat="1" ht="25.5" x14ac:dyDescent="0.2">
      <c r="A41" s="28" t="s">
        <v>73</v>
      </c>
      <c r="B41" s="24" t="s">
        <v>10</v>
      </c>
      <c r="C41" s="24">
        <v>5</v>
      </c>
      <c r="D41" s="24" t="s">
        <v>350</v>
      </c>
      <c r="E41" s="24" t="s">
        <v>662</v>
      </c>
      <c r="F41" s="24" t="s">
        <v>65</v>
      </c>
      <c r="G41" s="25">
        <f>'изм июнь вед стр-ра'!G71</f>
        <v>5839.1</v>
      </c>
      <c r="H41" s="25">
        <f>'изм июнь вед стр-ра'!H71</f>
        <v>3762.1</v>
      </c>
      <c r="I41" s="25">
        <f>'изм июнь вед стр-ра'!I71</f>
        <v>2908.8</v>
      </c>
    </row>
    <row r="42" spans="1:9" s="194" customFormat="1" x14ac:dyDescent="0.2">
      <c r="A42" s="28" t="s">
        <v>69</v>
      </c>
      <c r="B42" s="24" t="s">
        <v>10</v>
      </c>
      <c r="C42" s="24">
        <v>5</v>
      </c>
      <c r="D42" s="24" t="s">
        <v>350</v>
      </c>
      <c r="E42" s="24" t="s">
        <v>662</v>
      </c>
      <c r="F42" s="24" t="s">
        <v>70</v>
      </c>
      <c r="G42" s="25">
        <f>'изм июнь вед стр-ра'!G72</f>
        <v>56.7</v>
      </c>
      <c r="H42" s="25">
        <f>'изм июнь вед стр-ра'!H72</f>
        <v>0</v>
      </c>
      <c r="I42" s="25">
        <f>'изм июнь вед стр-ра'!I72</f>
        <v>0</v>
      </c>
    </row>
    <row r="43" spans="1:9" s="26" customFormat="1" ht="25.5" x14ac:dyDescent="0.2">
      <c r="A43" s="18" t="s">
        <v>121</v>
      </c>
      <c r="B43" s="19" t="s">
        <v>10</v>
      </c>
      <c r="C43" s="19">
        <v>5</v>
      </c>
      <c r="D43" s="19" t="s">
        <v>350</v>
      </c>
      <c r="E43" s="19" t="s">
        <v>505</v>
      </c>
      <c r="F43" s="19"/>
      <c r="G43" s="20">
        <f>G44+G45</f>
        <v>486.20000000000005</v>
      </c>
      <c r="H43" s="20">
        <f>H44+H45</f>
        <v>486.20000000000005</v>
      </c>
      <c r="I43" s="20">
        <f>I44+I45</f>
        <v>486.20000000000005</v>
      </c>
    </row>
    <row r="44" spans="1:9" s="9" customFormat="1" ht="51" x14ac:dyDescent="0.2">
      <c r="A44" s="30" t="s">
        <v>63</v>
      </c>
      <c r="B44" s="24" t="s">
        <v>10</v>
      </c>
      <c r="C44" s="24">
        <v>5</v>
      </c>
      <c r="D44" s="24" t="s">
        <v>350</v>
      </c>
      <c r="E44" s="24">
        <v>71960</v>
      </c>
      <c r="F44" s="27" t="s">
        <v>64</v>
      </c>
      <c r="G44" s="25">
        <f>'изм июнь вед стр-ра'!G21</f>
        <v>457.1</v>
      </c>
      <c r="H44" s="25">
        <f>'изм июнь вед стр-ра'!H21</f>
        <v>457.1</v>
      </c>
      <c r="I44" s="25">
        <f>'изм июнь вед стр-ра'!I21</f>
        <v>457.1</v>
      </c>
    </row>
    <row r="45" spans="1:9" ht="25.5" x14ac:dyDescent="0.2">
      <c r="A45" s="30" t="s">
        <v>353</v>
      </c>
      <c r="B45" s="24" t="s">
        <v>10</v>
      </c>
      <c r="C45" s="24">
        <v>5</v>
      </c>
      <c r="D45" s="24" t="s">
        <v>350</v>
      </c>
      <c r="E45" s="24">
        <v>71960</v>
      </c>
      <c r="F45" s="27" t="s">
        <v>65</v>
      </c>
      <c r="G45" s="25">
        <f>'изм июнь вед стр-ра'!G22</f>
        <v>29.1</v>
      </c>
      <c r="H45" s="25">
        <f>'изм июнь вед стр-ра'!H22</f>
        <v>29.1</v>
      </c>
      <c r="I45" s="25">
        <f>'изм июнь вед стр-ра'!I22</f>
        <v>29.1</v>
      </c>
    </row>
    <row r="46" spans="1:9" s="72" customFormat="1" x14ac:dyDescent="0.2">
      <c r="A46" s="68" t="s">
        <v>122</v>
      </c>
      <c r="B46" s="70" t="s">
        <v>10</v>
      </c>
      <c r="C46" s="70">
        <v>5</v>
      </c>
      <c r="D46" s="70" t="s">
        <v>350</v>
      </c>
      <c r="E46" s="70">
        <v>79060</v>
      </c>
      <c r="F46" s="70"/>
      <c r="G46" s="71">
        <f>G47+G48</f>
        <v>115.00000000000001</v>
      </c>
      <c r="H46" s="71">
        <f>H47+H48</f>
        <v>115.00000000000001</v>
      </c>
      <c r="I46" s="71">
        <f>I47+I48</f>
        <v>115.00000000000001</v>
      </c>
    </row>
    <row r="47" spans="1:9" s="77" customFormat="1" ht="51" x14ac:dyDescent="0.2">
      <c r="A47" s="73" t="s">
        <v>63</v>
      </c>
      <c r="B47" s="75" t="s">
        <v>10</v>
      </c>
      <c r="C47" s="75">
        <v>5</v>
      </c>
      <c r="D47" s="75" t="s">
        <v>350</v>
      </c>
      <c r="E47" s="75">
        <v>79060</v>
      </c>
      <c r="F47" s="76" t="s">
        <v>64</v>
      </c>
      <c r="G47" s="55">
        <f>'изм июнь вед стр-ра'!G24</f>
        <v>113.10000000000001</v>
      </c>
      <c r="H47" s="55">
        <f>'изм июнь вед стр-ра'!H24</f>
        <v>113.10000000000001</v>
      </c>
      <c r="I47" s="55">
        <f>'изм июнь вед стр-ра'!I24</f>
        <v>113.10000000000001</v>
      </c>
    </row>
    <row r="48" spans="1:9" s="72" customFormat="1" ht="25.5" x14ac:dyDescent="0.2">
      <c r="A48" s="73" t="s">
        <v>353</v>
      </c>
      <c r="B48" s="75" t="s">
        <v>10</v>
      </c>
      <c r="C48" s="75">
        <v>5</v>
      </c>
      <c r="D48" s="75" t="s">
        <v>350</v>
      </c>
      <c r="E48" s="75">
        <v>79060</v>
      </c>
      <c r="F48" s="76" t="s">
        <v>65</v>
      </c>
      <c r="G48" s="55">
        <f>'изм июнь вед стр-ра'!G25</f>
        <v>1.9</v>
      </c>
      <c r="H48" s="55">
        <f>'изм июнь вед стр-ра'!H25</f>
        <v>1.9</v>
      </c>
      <c r="I48" s="55">
        <f>'изм июнь вед стр-ра'!I25</f>
        <v>1.9</v>
      </c>
    </row>
    <row r="49" spans="1:11" s="72" customFormat="1" ht="25.5" x14ac:dyDescent="0.2">
      <c r="A49" s="82" t="s">
        <v>128</v>
      </c>
      <c r="B49" s="70" t="s">
        <v>10</v>
      </c>
      <c r="C49" s="70">
        <v>5</v>
      </c>
      <c r="D49" s="70" t="s">
        <v>350</v>
      </c>
      <c r="E49" s="70" t="s">
        <v>504</v>
      </c>
      <c r="F49" s="70"/>
      <c r="G49" s="71">
        <f>G50</f>
        <v>966</v>
      </c>
      <c r="H49" s="71">
        <f>H50</f>
        <v>966</v>
      </c>
      <c r="I49" s="71">
        <f>I50</f>
        <v>966</v>
      </c>
    </row>
    <row r="50" spans="1:11" s="67" customFormat="1" x14ac:dyDescent="0.2">
      <c r="A50" s="80" t="s">
        <v>66</v>
      </c>
      <c r="B50" s="75" t="s">
        <v>10</v>
      </c>
      <c r="C50" s="75">
        <v>5</v>
      </c>
      <c r="D50" s="75" t="s">
        <v>350</v>
      </c>
      <c r="E50" s="70" t="s">
        <v>504</v>
      </c>
      <c r="F50" s="75" t="s">
        <v>67</v>
      </c>
      <c r="G50" s="55">
        <f>'изм июнь вед стр-ра'!G57</f>
        <v>966</v>
      </c>
      <c r="H50" s="55">
        <f>'изм июнь вед стр-ра'!H57</f>
        <v>966</v>
      </c>
      <c r="I50" s="55">
        <f>'изм июнь вед стр-ра'!I57</f>
        <v>966</v>
      </c>
    </row>
    <row r="51" spans="1:11" s="67" customFormat="1" ht="38.25" x14ac:dyDescent="0.2">
      <c r="A51" s="68" t="s">
        <v>572</v>
      </c>
      <c r="B51" s="75" t="s">
        <v>10</v>
      </c>
      <c r="C51" s="75" t="s">
        <v>377</v>
      </c>
      <c r="D51" s="75" t="s">
        <v>350</v>
      </c>
      <c r="E51" s="70" t="s">
        <v>574</v>
      </c>
      <c r="F51" s="75"/>
      <c r="G51" s="55">
        <f>G52</f>
        <v>1351.6</v>
      </c>
      <c r="H51" s="55">
        <f t="shared" ref="H51:I51" si="2">H52</f>
        <v>0</v>
      </c>
      <c r="I51" s="55">
        <f t="shared" si="2"/>
        <v>0</v>
      </c>
    </row>
    <row r="52" spans="1:11" s="67" customFormat="1" x14ac:dyDescent="0.2">
      <c r="A52" s="80" t="s">
        <v>69</v>
      </c>
      <c r="B52" s="75" t="s">
        <v>10</v>
      </c>
      <c r="C52" s="75" t="s">
        <v>377</v>
      </c>
      <c r="D52" s="75" t="s">
        <v>350</v>
      </c>
      <c r="E52" s="70" t="s">
        <v>574</v>
      </c>
      <c r="F52" s="75" t="s">
        <v>70</v>
      </c>
      <c r="G52" s="55">
        <f>'изм июнь вед стр-ра'!G138</f>
        <v>1351.6</v>
      </c>
      <c r="H52" s="55">
        <f>'изм июнь вед стр-ра'!H138</f>
        <v>0</v>
      </c>
      <c r="I52" s="55">
        <f>'изм июнь вед стр-ра'!I138</f>
        <v>0</v>
      </c>
    </row>
    <row r="53" spans="1:11" s="26" customFormat="1" ht="38.25" x14ac:dyDescent="0.2">
      <c r="A53" s="39" t="s">
        <v>503</v>
      </c>
      <c r="B53" s="40" t="s">
        <v>12</v>
      </c>
      <c r="C53" s="40"/>
      <c r="D53" s="40"/>
      <c r="E53" s="40"/>
      <c r="F53" s="40"/>
      <c r="G53" s="38">
        <f>SUM(G54,G56,G58,G60,G62,G64,G68,G70,G73)</f>
        <v>20344.900000000001</v>
      </c>
      <c r="H53" s="38">
        <f>SUM(H54,H56,H58,H60,H62,H64,H68,H70,H73)</f>
        <v>9065.2000000000007</v>
      </c>
      <c r="I53" s="38">
        <f>SUM(I54,I56,I58,I60,I62,I64,I68,I70,I73)</f>
        <v>9065.2000000000007</v>
      </c>
    </row>
    <row r="54" spans="1:11" x14ac:dyDescent="0.2">
      <c r="A54" s="18" t="s">
        <v>184</v>
      </c>
      <c r="B54" s="19" t="s">
        <v>12</v>
      </c>
      <c r="C54" s="19">
        <v>0</v>
      </c>
      <c r="D54" s="19" t="s">
        <v>350</v>
      </c>
      <c r="E54" s="19" t="s">
        <v>502</v>
      </c>
      <c r="F54" s="19"/>
      <c r="G54" s="20">
        <f>G55</f>
        <v>1085</v>
      </c>
      <c r="H54" s="20">
        <f>H55</f>
        <v>0</v>
      </c>
      <c r="I54" s="20">
        <f>I55</f>
        <v>0</v>
      </c>
    </row>
    <row r="55" spans="1:11" s="26" customFormat="1" ht="25.5" x14ac:dyDescent="0.2">
      <c r="A55" s="30" t="s">
        <v>353</v>
      </c>
      <c r="B55" s="24" t="s">
        <v>12</v>
      </c>
      <c r="C55" s="24">
        <v>0</v>
      </c>
      <c r="D55" s="24" t="s">
        <v>350</v>
      </c>
      <c r="E55" s="24" t="s">
        <v>502</v>
      </c>
      <c r="F55" s="27" t="s">
        <v>65</v>
      </c>
      <c r="G55" s="25">
        <f>'изм июнь вед стр-ра'!G206</f>
        <v>1085</v>
      </c>
      <c r="H55" s="25">
        <f>'изм июнь вед стр-ра'!H206</f>
        <v>0</v>
      </c>
      <c r="I55" s="25">
        <f>'изм июнь вед стр-ра'!I206</f>
        <v>0</v>
      </c>
    </row>
    <row r="56" spans="1:11" s="26" customFormat="1" ht="38.25" x14ac:dyDescent="0.2">
      <c r="A56" s="18" t="s">
        <v>185</v>
      </c>
      <c r="B56" s="19" t="s">
        <v>12</v>
      </c>
      <c r="C56" s="19">
        <v>0</v>
      </c>
      <c r="D56" s="19" t="s">
        <v>350</v>
      </c>
      <c r="E56" s="19" t="s">
        <v>501</v>
      </c>
      <c r="F56" s="19"/>
      <c r="G56" s="20">
        <f>G57</f>
        <v>500</v>
      </c>
      <c r="H56" s="20">
        <f>H57</f>
        <v>0</v>
      </c>
      <c r="I56" s="20">
        <f>I57</f>
        <v>0</v>
      </c>
    </row>
    <row r="57" spans="1:11" ht="25.5" x14ac:dyDescent="0.2">
      <c r="A57" s="30" t="s">
        <v>353</v>
      </c>
      <c r="B57" s="24" t="s">
        <v>12</v>
      </c>
      <c r="C57" s="24">
        <v>0</v>
      </c>
      <c r="D57" s="24" t="s">
        <v>350</v>
      </c>
      <c r="E57" s="24" t="s">
        <v>501</v>
      </c>
      <c r="F57" s="27" t="s">
        <v>65</v>
      </c>
      <c r="G57" s="25">
        <f>'изм июнь вед стр-ра'!G208</f>
        <v>500</v>
      </c>
      <c r="H57" s="25">
        <f>'изм июнь вед стр-ра'!H208</f>
        <v>0</v>
      </c>
      <c r="I57" s="25">
        <f>'изм июнь вед стр-ра'!I208</f>
        <v>0</v>
      </c>
    </row>
    <row r="58" spans="1:11" s="26" customFormat="1" ht="25.5" x14ac:dyDescent="0.2">
      <c r="A58" s="18" t="s">
        <v>170</v>
      </c>
      <c r="B58" s="5" t="s">
        <v>12</v>
      </c>
      <c r="C58" s="5">
        <v>0</v>
      </c>
      <c r="D58" s="5" t="s">
        <v>350</v>
      </c>
      <c r="E58" s="5" t="s">
        <v>500</v>
      </c>
      <c r="F58" s="5"/>
      <c r="G58" s="6">
        <f>G59</f>
        <v>500</v>
      </c>
      <c r="H58" s="6">
        <f>H59</f>
        <v>0</v>
      </c>
      <c r="I58" s="6">
        <f>I59</f>
        <v>0</v>
      </c>
    </row>
    <row r="59" spans="1:11" s="26" customFormat="1" ht="25.5" x14ac:dyDescent="0.2">
      <c r="A59" s="30" t="s">
        <v>353</v>
      </c>
      <c r="B59" s="24" t="s">
        <v>12</v>
      </c>
      <c r="C59" s="24">
        <v>0</v>
      </c>
      <c r="D59" s="24" t="s">
        <v>350</v>
      </c>
      <c r="E59" s="24" t="s">
        <v>500</v>
      </c>
      <c r="F59" s="27" t="s">
        <v>65</v>
      </c>
      <c r="G59" s="25">
        <f>'изм июнь вед стр-ра'!G187</f>
        <v>500</v>
      </c>
      <c r="H59" s="25">
        <f>'изм июнь вед стр-ра'!H187</f>
        <v>0</v>
      </c>
      <c r="I59" s="25">
        <f>'изм июнь вед стр-ра'!I187</f>
        <v>0</v>
      </c>
    </row>
    <row r="60" spans="1:11" s="26" customFormat="1" x14ac:dyDescent="0.2">
      <c r="A60" s="18" t="s">
        <v>171</v>
      </c>
      <c r="B60" s="5" t="s">
        <v>12</v>
      </c>
      <c r="C60" s="5">
        <v>0</v>
      </c>
      <c r="D60" s="5" t="s">
        <v>350</v>
      </c>
      <c r="E60" s="5" t="s">
        <v>499</v>
      </c>
      <c r="F60" s="5"/>
      <c r="G60" s="6">
        <f>G61</f>
        <v>200</v>
      </c>
      <c r="H60" s="6">
        <f>H61</f>
        <v>0</v>
      </c>
      <c r="I60" s="6">
        <f>I61</f>
        <v>0</v>
      </c>
      <c r="J60" s="21"/>
      <c r="K60" s="21"/>
    </row>
    <row r="61" spans="1:11" ht="25.5" x14ac:dyDescent="0.2">
      <c r="A61" s="30" t="s">
        <v>353</v>
      </c>
      <c r="B61" s="24" t="s">
        <v>12</v>
      </c>
      <c r="C61" s="24">
        <v>0</v>
      </c>
      <c r="D61" s="24" t="s">
        <v>350</v>
      </c>
      <c r="E61" s="24" t="s">
        <v>499</v>
      </c>
      <c r="F61" s="27" t="s">
        <v>65</v>
      </c>
      <c r="G61" s="25">
        <f>'изм июнь вед стр-ра'!G189</f>
        <v>200</v>
      </c>
      <c r="H61" s="25">
        <f>'изм июнь вед стр-ра'!H189</f>
        <v>0</v>
      </c>
      <c r="I61" s="25">
        <f>'изм июнь вед стр-ра'!I189</f>
        <v>0</v>
      </c>
    </row>
    <row r="62" spans="1:11" s="26" customFormat="1" ht="25.5" x14ac:dyDescent="0.2">
      <c r="A62" s="18" t="s">
        <v>173</v>
      </c>
      <c r="B62" s="19" t="s">
        <v>12</v>
      </c>
      <c r="C62" s="19" t="s">
        <v>351</v>
      </c>
      <c r="D62" s="19" t="s">
        <v>350</v>
      </c>
      <c r="E62" s="19" t="s">
        <v>498</v>
      </c>
      <c r="F62" s="19"/>
      <c r="G62" s="20">
        <f>G63</f>
        <v>200</v>
      </c>
      <c r="H62" s="20">
        <f>H63</f>
        <v>0</v>
      </c>
      <c r="I62" s="20">
        <f>I63</f>
        <v>0</v>
      </c>
    </row>
    <row r="63" spans="1:11" s="26" customFormat="1" ht="25.5" x14ac:dyDescent="0.2">
      <c r="A63" s="30" t="s">
        <v>353</v>
      </c>
      <c r="B63" s="24" t="s">
        <v>12</v>
      </c>
      <c r="C63" s="24">
        <v>0</v>
      </c>
      <c r="D63" s="24" t="s">
        <v>350</v>
      </c>
      <c r="E63" s="24" t="s">
        <v>498</v>
      </c>
      <c r="F63" s="27" t="s">
        <v>65</v>
      </c>
      <c r="G63" s="25">
        <f>'изм июнь вед стр-ра'!G191</f>
        <v>200</v>
      </c>
      <c r="H63" s="25">
        <f>'изм июнь вед стр-ра'!H191</f>
        <v>0</v>
      </c>
      <c r="I63" s="25">
        <f>'изм июнь вед стр-ра'!I191</f>
        <v>0</v>
      </c>
      <c r="J63" s="21"/>
      <c r="K63" s="21"/>
    </row>
    <row r="64" spans="1:11" x14ac:dyDescent="0.2">
      <c r="A64" s="18" t="s">
        <v>175</v>
      </c>
      <c r="B64" s="5" t="s">
        <v>12</v>
      </c>
      <c r="C64" s="5">
        <v>0</v>
      </c>
      <c r="D64" s="5" t="s">
        <v>350</v>
      </c>
      <c r="E64" s="5" t="s">
        <v>497</v>
      </c>
      <c r="F64" s="5"/>
      <c r="G64" s="6">
        <f>G67+G65+G66</f>
        <v>7638.1</v>
      </c>
      <c r="H64" s="6">
        <f t="shared" ref="H64:I64" si="3">H67+H65+H66</f>
        <v>0</v>
      </c>
      <c r="I64" s="6">
        <f t="shared" si="3"/>
        <v>0</v>
      </c>
    </row>
    <row r="65" spans="1:11" s="26" customFormat="1" ht="25.5" x14ac:dyDescent="0.2">
      <c r="A65" s="30" t="s">
        <v>353</v>
      </c>
      <c r="B65" s="24" t="s">
        <v>12</v>
      </c>
      <c r="C65" s="24">
        <v>0</v>
      </c>
      <c r="D65" s="24" t="s">
        <v>350</v>
      </c>
      <c r="E65" s="24" t="s">
        <v>497</v>
      </c>
      <c r="F65" s="27" t="s">
        <v>65</v>
      </c>
      <c r="G65" s="25">
        <f>'изм июнь вед стр-ра'!G193</f>
        <v>5613.5</v>
      </c>
      <c r="H65" s="25">
        <f>'изм июнь вед стр-ра'!H193</f>
        <v>0</v>
      </c>
      <c r="I65" s="25">
        <f>'изм июнь вед стр-ра'!I193</f>
        <v>0</v>
      </c>
      <c r="J65" s="21"/>
      <c r="K65" s="21"/>
    </row>
    <row r="66" spans="1:11" s="26" customFormat="1" ht="25.5" x14ac:dyDescent="0.2">
      <c r="A66" s="28" t="s">
        <v>119</v>
      </c>
      <c r="B66" s="24" t="s">
        <v>12</v>
      </c>
      <c r="C66" s="24">
        <v>0</v>
      </c>
      <c r="D66" s="24" t="s">
        <v>350</v>
      </c>
      <c r="E66" s="24" t="s">
        <v>497</v>
      </c>
      <c r="F66" s="27" t="s">
        <v>62</v>
      </c>
      <c r="G66" s="25">
        <f>'изм июнь вед стр-ра'!G61</f>
        <v>1683.6</v>
      </c>
      <c r="H66" s="25">
        <f>'изм июнь вед стр-ра'!H61</f>
        <v>0</v>
      </c>
      <c r="I66" s="25">
        <f>'изм июнь вед стр-ра'!I61</f>
        <v>0</v>
      </c>
      <c r="J66" s="21"/>
      <c r="K66" s="21"/>
    </row>
    <row r="67" spans="1:11" s="26" customFormat="1" x14ac:dyDescent="0.2">
      <c r="A67" s="28" t="s">
        <v>69</v>
      </c>
      <c r="B67" s="24" t="s">
        <v>12</v>
      </c>
      <c r="C67" s="24">
        <v>0</v>
      </c>
      <c r="D67" s="24" t="s">
        <v>350</v>
      </c>
      <c r="E67" s="24" t="s">
        <v>497</v>
      </c>
      <c r="F67" s="27" t="s">
        <v>70</v>
      </c>
      <c r="G67" s="25">
        <f>'изм июнь вед стр-ра'!G194</f>
        <v>341</v>
      </c>
      <c r="H67" s="25">
        <f>'изм июнь вед стр-ра'!H194</f>
        <v>0</v>
      </c>
      <c r="I67" s="25">
        <f>'изм июнь вед стр-ра'!I194</f>
        <v>0</v>
      </c>
      <c r="J67" s="21"/>
      <c r="K67" s="21"/>
    </row>
    <row r="68" spans="1:11" s="9" customFormat="1" x14ac:dyDescent="0.2">
      <c r="A68" s="18" t="s">
        <v>178</v>
      </c>
      <c r="B68" s="5" t="s">
        <v>12</v>
      </c>
      <c r="C68" s="5">
        <v>0</v>
      </c>
      <c r="D68" s="5" t="s">
        <v>350</v>
      </c>
      <c r="E68" s="5" t="s">
        <v>496</v>
      </c>
      <c r="F68" s="5"/>
      <c r="G68" s="6">
        <f>G69</f>
        <v>300</v>
      </c>
      <c r="H68" s="6">
        <f>H69</f>
        <v>0</v>
      </c>
      <c r="I68" s="6">
        <f>I69</f>
        <v>0</v>
      </c>
    </row>
    <row r="69" spans="1:11" s="7" customFormat="1" ht="25.5" x14ac:dyDescent="0.2">
      <c r="A69" s="30" t="s">
        <v>353</v>
      </c>
      <c r="B69" s="24" t="s">
        <v>12</v>
      </c>
      <c r="C69" s="24">
        <v>0</v>
      </c>
      <c r="D69" s="24" t="s">
        <v>350</v>
      </c>
      <c r="E69" s="24" t="s">
        <v>496</v>
      </c>
      <c r="F69" s="27" t="s">
        <v>65</v>
      </c>
      <c r="G69" s="25">
        <f>'изм июнь вед стр-ра'!G196</f>
        <v>300</v>
      </c>
      <c r="H69" s="25">
        <f>'изм июнь вед стр-ра'!H196</f>
        <v>0</v>
      </c>
      <c r="I69" s="25">
        <f>'изм июнь вед стр-ра'!I196</f>
        <v>0</v>
      </c>
    </row>
    <row r="70" spans="1:11" s="7" customFormat="1" x14ac:dyDescent="0.2">
      <c r="A70" s="18" t="s">
        <v>179</v>
      </c>
      <c r="B70" s="5" t="s">
        <v>12</v>
      </c>
      <c r="C70" s="5">
        <v>0</v>
      </c>
      <c r="D70" s="5" t="s">
        <v>350</v>
      </c>
      <c r="E70" s="5" t="s">
        <v>495</v>
      </c>
      <c r="F70" s="5"/>
      <c r="G70" s="6">
        <f>SUM(G71:G72)</f>
        <v>169</v>
      </c>
      <c r="H70" s="6">
        <f t="shared" ref="H70:I70" si="4">SUM(H71:H72)</f>
        <v>0</v>
      </c>
      <c r="I70" s="6">
        <f t="shared" si="4"/>
        <v>0</v>
      </c>
    </row>
    <row r="71" spans="1:11" s="7" customFormat="1" ht="25.5" x14ac:dyDescent="0.2">
      <c r="A71" s="30" t="s">
        <v>353</v>
      </c>
      <c r="B71" s="24" t="s">
        <v>12</v>
      </c>
      <c r="C71" s="24">
        <v>0</v>
      </c>
      <c r="D71" s="24" t="s">
        <v>350</v>
      </c>
      <c r="E71" s="24" t="s">
        <v>495</v>
      </c>
      <c r="F71" s="27" t="s">
        <v>65</v>
      </c>
      <c r="G71" s="25">
        <f>'изм июнь вед стр-ра'!G198</f>
        <v>26.099999999999994</v>
      </c>
      <c r="H71" s="25">
        <f>'изм июнь вед стр-ра'!H198</f>
        <v>0</v>
      </c>
      <c r="I71" s="25">
        <f>'изм июнь вед стр-ра'!I198</f>
        <v>0</v>
      </c>
    </row>
    <row r="72" spans="1:11" s="7" customFormat="1" x14ac:dyDescent="0.2">
      <c r="A72" s="28" t="s">
        <v>69</v>
      </c>
      <c r="B72" s="24" t="s">
        <v>12</v>
      </c>
      <c r="C72" s="24">
        <v>0</v>
      </c>
      <c r="D72" s="24" t="s">
        <v>350</v>
      </c>
      <c r="E72" s="24" t="s">
        <v>495</v>
      </c>
      <c r="F72" s="27" t="s">
        <v>70</v>
      </c>
      <c r="G72" s="25">
        <f>'изм июнь вед стр-ра'!G199</f>
        <v>142.9</v>
      </c>
      <c r="H72" s="25">
        <f>'изм июнь вед стр-ра'!H199</f>
        <v>0</v>
      </c>
      <c r="I72" s="25">
        <f>'изм июнь вед стр-ра'!I199</f>
        <v>0</v>
      </c>
    </row>
    <row r="73" spans="1:11" s="81" customFormat="1" ht="25.5" x14ac:dyDescent="0.2">
      <c r="A73" s="68" t="s">
        <v>181</v>
      </c>
      <c r="B73" s="83" t="s">
        <v>12</v>
      </c>
      <c r="C73" s="83">
        <v>0</v>
      </c>
      <c r="D73" s="83" t="s">
        <v>350</v>
      </c>
      <c r="E73" s="83" t="s">
        <v>494</v>
      </c>
      <c r="F73" s="70"/>
      <c r="G73" s="71">
        <f>G74+G75</f>
        <v>9752.8000000000011</v>
      </c>
      <c r="H73" s="71">
        <f t="shared" ref="H73:I73" si="5">H74+H75</f>
        <v>9065.2000000000007</v>
      </c>
      <c r="I73" s="71">
        <f t="shared" si="5"/>
        <v>9065.2000000000007</v>
      </c>
    </row>
    <row r="74" spans="1:11" s="7" customFormat="1" ht="51" x14ac:dyDescent="0.2">
      <c r="A74" s="30" t="s">
        <v>63</v>
      </c>
      <c r="B74" s="24" t="s">
        <v>12</v>
      </c>
      <c r="C74" s="24">
        <v>0</v>
      </c>
      <c r="D74" s="24" t="s">
        <v>350</v>
      </c>
      <c r="E74" s="24" t="s">
        <v>494</v>
      </c>
      <c r="F74" s="27" t="s">
        <v>64</v>
      </c>
      <c r="G74" s="25">
        <f>'изм июнь вед стр-ра'!G201</f>
        <v>8926.6</v>
      </c>
      <c r="H74" s="25">
        <f>'изм июнь вед стр-ра'!H201</f>
        <v>8926.6</v>
      </c>
      <c r="I74" s="25">
        <f>'изм июнь вед стр-ра'!I201</f>
        <v>8926.6</v>
      </c>
    </row>
    <row r="75" spans="1:11" s="67" customFormat="1" ht="24.75" customHeight="1" x14ac:dyDescent="0.2">
      <c r="A75" s="73" t="s">
        <v>353</v>
      </c>
      <c r="B75" s="75" t="s">
        <v>12</v>
      </c>
      <c r="C75" s="75">
        <v>0</v>
      </c>
      <c r="D75" s="75" t="s">
        <v>350</v>
      </c>
      <c r="E75" s="75" t="s">
        <v>494</v>
      </c>
      <c r="F75" s="76" t="s">
        <v>65</v>
      </c>
      <c r="G75" s="25">
        <f>'изм июнь вед стр-ра'!G202</f>
        <v>826.2</v>
      </c>
      <c r="H75" s="25">
        <f>'изм июнь вед стр-ра'!H202</f>
        <v>138.6</v>
      </c>
      <c r="I75" s="25">
        <f>'изм июнь вед стр-ра'!I202</f>
        <v>138.6</v>
      </c>
    </row>
    <row r="76" spans="1:11" s="26" customFormat="1" ht="38.25" x14ac:dyDescent="0.2">
      <c r="A76" s="39" t="s">
        <v>493</v>
      </c>
      <c r="B76" s="40" t="s">
        <v>14</v>
      </c>
      <c r="C76" s="40"/>
      <c r="D76" s="40"/>
      <c r="E76" s="40"/>
      <c r="F76" s="40"/>
      <c r="G76" s="38">
        <f>SUM(G77,G80,G88)</f>
        <v>45344.7</v>
      </c>
      <c r="H76" s="38">
        <f>SUM(H77,H80,H88)</f>
        <v>25763.5</v>
      </c>
      <c r="I76" s="38">
        <f>SUM(I77,I80,I88)</f>
        <v>25684.2</v>
      </c>
    </row>
    <row r="77" spans="1:11" s="86" customFormat="1" ht="51" x14ac:dyDescent="0.2">
      <c r="A77" s="132" t="s">
        <v>492</v>
      </c>
      <c r="B77" s="130" t="s">
        <v>14</v>
      </c>
      <c r="C77" s="130" t="s">
        <v>391</v>
      </c>
      <c r="D77" s="130"/>
      <c r="E77" s="130"/>
      <c r="F77" s="130"/>
      <c r="G77" s="129">
        <f>SUM(G78)</f>
        <v>15976.199999999999</v>
      </c>
      <c r="H77" s="129">
        <f t="shared" ref="H77:I77" si="6">SUM(H78)</f>
        <v>14784.4</v>
      </c>
      <c r="I77" s="129">
        <f t="shared" si="6"/>
        <v>14705.1</v>
      </c>
    </row>
    <row r="78" spans="1:11" s="9" customFormat="1" ht="63.75" x14ac:dyDescent="0.2">
      <c r="A78" s="18" t="s">
        <v>552</v>
      </c>
      <c r="B78" s="24" t="s">
        <v>14</v>
      </c>
      <c r="C78" s="24" t="s">
        <v>391</v>
      </c>
      <c r="D78" s="24" t="s">
        <v>350</v>
      </c>
      <c r="E78" s="24" t="s">
        <v>551</v>
      </c>
      <c r="F78" s="27"/>
      <c r="G78" s="25">
        <f>G79</f>
        <v>15976.199999999999</v>
      </c>
      <c r="H78" s="25">
        <f t="shared" ref="H78:I78" si="7">H79</f>
        <v>14784.4</v>
      </c>
      <c r="I78" s="25">
        <f t="shared" si="7"/>
        <v>14705.1</v>
      </c>
    </row>
    <row r="79" spans="1:11" s="9" customFormat="1" ht="25.5" x14ac:dyDescent="0.2">
      <c r="A79" s="28" t="s">
        <v>119</v>
      </c>
      <c r="B79" s="24" t="s">
        <v>14</v>
      </c>
      <c r="C79" s="24" t="s">
        <v>391</v>
      </c>
      <c r="D79" s="24" t="s">
        <v>350</v>
      </c>
      <c r="E79" s="24" t="s">
        <v>551</v>
      </c>
      <c r="F79" s="27" t="s">
        <v>62</v>
      </c>
      <c r="G79" s="25">
        <f>'изм июнь вед стр-ра'!G78</f>
        <v>15976.199999999999</v>
      </c>
      <c r="H79" s="25">
        <f>'изм июнь вед стр-ра'!H78</f>
        <v>14784.4</v>
      </c>
      <c r="I79" s="25">
        <f>'изм июнь вед стр-ра'!I78</f>
        <v>14705.1</v>
      </c>
    </row>
    <row r="80" spans="1:11" ht="38.25" x14ac:dyDescent="0.2">
      <c r="A80" s="128" t="s">
        <v>491</v>
      </c>
      <c r="B80" s="127" t="s">
        <v>14</v>
      </c>
      <c r="C80" s="127" t="s">
        <v>387</v>
      </c>
      <c r="D80" s="127"/>
      <c r="E80" s="127"/>
      <c r="F80" s="127"/>
      <c r="G80" s="126">
        <f>SUM(G81,G84,G86)</f>
        <v>21070.1</v>
      </c>
      <c r="H80" s="126">
        <f>SUM(H81,H84,H86)</f>
        <v>3167.3</v>
      </c>
      <c r="I80" s="126">
        <f>SUM(I81,I84,I86)</f>
        <v>3167.3</v>
      </c>
    </row>
    <row r="81" spans="1:11" s="26" customFormat="1" ht="25.5" x14ac:dyDescent="0.2">
      <c r="A81" s="17" t="s">
        <v>137</v>
      </c>
      <c r="B81" s="19" t="s">
        <v>14</v>
      </c>
      <c r="C81" s="19">
        <v>2</v>
      </c>
      <c r="D81" s="19" t="s">
        <v>350</v>
      </c>
      <c r="E81" s="19" t="s">
        <v>490</v>
      </c>
      <c r="F81" s="5"/>
      <c r="G81" s="6">
        <f>G82+G83</f>
        <v>20815.099999999999</v>
      </c>
      <c r="H81" s="6">
        <f>H82+H83</f>
        <v>3167.3</v>
      </c>
      <c r="I81" s="6">
        <f>I82+I83</f>
        <v>3167.3</v>
      </c>
      <c r="J81" s="21"/>
      <c r="K81" s="21"/>
    </row>
    <row r="82" spans="1:11" s="77" customFormat="1" ht="25.5" x14ac:dyDescent="0.2">
      <c r="A82" s="73" t="s">
        <v>353</v>
      </c>
      <c r="B82" s="75" t="s">
        <v>14</v>
      </c>
      <c r="C82" s="75">
        <v>2</v>
      </c>
      <c r="D82" s="75" t="s">
        <v>350</v>
      </c>
      <c r="E82" s="75" t="s">
        <v>490</v>
      </c>
      <c r="F82" s="76" t="s">
        <v>65</v>
      </c>
      <c r="G82" s="55">
        <f>'изм июнь вед стр-ра'!G247+'изм июнь вед стр-ра'!G264+'изм июнь вед стр-ра'!G31</f>
        <v>2589.8999999999996</v>
      </c>
      <c r="H82" s="55">
        <f>'изм июнь вед стр-ра'!H247+'изм июнь вед стр-ра'!H264+'изм июнь вед стр-ра'!H31</f>
        <v>465.70000000000005</v>
      </c>
      <c r="I82" s="55">
        <f>'изм июнь вед стр-ра'!I247+'изм июнь вед стр-ра'!I264+'изм июнь вед стр-ра'!I31</f>
        <v>465.70000000000005</v>
      </c>
    </row>
    <row r="83" spans="1:11" s="26" customFormat="1" ht="25.5" x14ac:dyDescent="0.2">
      <c r="A83" s="28" t="s">
        <v>119</v>
      </c>
      <c r="B83" s="24" t="s">
        <v>14</v>
      </c>
      <c r="C83" s="24">
        <v>2</v>
      </c>
      <c r="D83" s="24" t="s">
        <v>350</v>
      </c>
      <c r="E83" s="24" t="s">
        <v>490</v>
      </c>
      <c r="F83" s="27" t="s">
        <v>62</v>
      </c>
      <c r="G83" s="55">
        <f>'изм июнь вед стр-ра'!G51+'изм июнь вед стр-ра'!G159+'изм июнь вед стр-ра'!G248+'изм июнь вед стр-ра'!G265+'изм июнь вед стр-ра'!G304+'изм июнь вед стр-ра'!G317+'изм июнь вед стр-ра'!G399+'изм июнь вед стр-ра'!G415+'изм июнь вед стр-ра'!G80</f>
        <v>18225.2</v>
      </c>
      <c r="H83" s="55">
        <f>'изм июнь вед стр-ра'!H51+'изм июнь вед стр-ра'!H159+'изм июнь вед стр-ра'!H248+'изм июнь вед стр-ра'!H265+'изм июнь вед стр-ра'!H304+'изм июнь вед стр-ра'!H317+'изм июнь вед стр-ра'!H399+'изм июнь вед стр-ра'!H415+'изм июнь вед стр-ра'!H80</f>
        <v>2701.6000000000004</v>
      </c>
      <c r="I83" s="55">
        <f>'изм июнь вед стр-ра'!I51+'изм июнь вед стр-ра'!I159+'изм июнь вед стр-ра'!I248+'изм июнь вед стр-ра'!I265+'изм июнь вед стр-ра'!I304+'изм июнь вед стр-ра'!I317+'изм июнь вед стр-ра'!I399+'изм июнь вед стр-ра'!I415+'изм июнь вед стр-ра'!I80</f>
        <v>2701.6000000000004</v>
      </c>
    </row>
    <row r="84" spans="1:11" s="77" customFormat="1" x14ac:dyDescent="0.2">
      <c r="A84" s="82" t="s">
        <v>138</v>
      </c>
      <c r="B84" s="70" t="s">
        <v>14</v>
      </c>
      <c r="C84" s="70">
        <v>2</v>
      </c>
      <c r="D84" s="70" t="s">
        <v>350</v>
      </c>
      <c r="E84" s="70" t="s">
        <v>489</v>
      </c>
      <c r="F84" s="83"/>
      <c r="G84" s="84">
        <f>G85</f>
        <v>220</v>
      </c>
      <c r="H84" s="84">
        <f t="shared" ref="H84:I84" si="8">H85</f>
        <v>0</v>
      </c>
      <c r="I84" s="84">
        <f t="shared" si="8"/>
        <v>0</v>
      </c>
    </row>
    <row r="85" spans="1:11" s="77" customFormat="1" ht="25.5" x14ac:dyDescent="0.2">
      <c r="A85" s="73" t="s">
        <v>119</v>
      </c>
      <c r="B85" s="75" t="s">
        <v>14</v>
      </c>
      <c r="C85" s="75" t="s">
        <v>387</v>
      </c>
      <c r="D85" s="75" t="s">
        <v>350</v>
      </c>
      <c r="E85" s="75" t="s">
        <v>489</v>
      </c>
      <c r="F85" s="76" t="s">
        <v>62</v>
      </c>
      <c r="G85" s="55">
        <f>'изм июнь вед стр-ра'!G82</f>
        <v>220</v>
      </c>
      <c r="H85" s="55">
        <f>'изм июнь вед стр-ра'!H82</f>
        <v>0</v>
      </c>
      <c r="I85" s="55">
        <f>'изм июнь вед стр-ра'!I82</f>
        <v>0</v>
      </c>
    </row>
    <row r="86" spans="1:11" ht="25.5" x14ac:dyDescent="0.2">
      <c r="A86" s="17" t="s">
        <v>327</v>
      </c>
      <c r="B86" s="19" t="s">
        <v>14</v>
      </c>
      <c r="C86" s="19">
        <v>2</v>
      </c>
      <c r="D86" s="19" t="s">
        <v>350</v>
      </c>
      <c r="E86" s="19" t="s">
        <v>488</v>
      </c>
      <c r="F86" s="5"/>
      <c r="G86" s="6">
        <f>G87</f>
        <v>35</v>
      </c>
      <c r="H86" s="6">
        <f t="shared" ref="H86:I86" si="9">H87</f>
        <v>0</v>
      </c>
      <c r="I86" s="6">
        <f t="shared" si="9"/>
        <v>0</v>
      </c>
    </row>
    <row r="87" spans="1:11" s="194" customFormat="1" ht="25.5" x14ac:dyDescent="0.2">
      <c r="A87" s="28" t="s">
        <v>119</v>
      </c>
      <c r="B87" s="19" t="s">
        <v>14</v>
      </c>
      <c r="C87" s="19" t="s">
        <v>387</v>
      </c>
      <c r="D87" s="19" t="s">
        <v>350</v>
      </c>
      <c r="E87" s="19" t="s">
        <v>488</v>
      </c>
      <c r="F87" s="27" t="s">
        <v>62</v>
      </c>
      <c r="G87" s="25">
        <f>'изм июнь вед стр-ра'!G84</f>
        <v>35</v>
      </c>
      <c r="H87" s="25">
        <f>'изм июнь вед стр-ра'!H84</f>
        <v>0</v>
      </c>
      <c r="I87" s="25">
        <f>'изм июнь вед стр-ра'!I84</f>
        <v>0</v>
      </c>
    </row>
    <row r="88" spans="1:11" s="72" customFormat="1" ht="38.25" x14ac:dyDescent="0.2">
      <c r="A88" s="137" t="s">
        <v>487</v>
      </c>
      <c r="B88" s="130" t="s">
        <v>14</v>
      </c>
      <c r="C88" s="130" t="s">
        <v>383</v>
      </c>
      <c r="D88" s="131"/>
      <c r="E88" s="131"/>
      <c r="F88" s="136"/>
      <c r="G88" s="129">
        <f>SUM(G89,G92)+G94</f>
        <v>8298.4</v>
      </c>
      <c r="H88" s="129">
        <f t="shared" ref="H88:I88" si="10">SUM(H89,H92)+H94</f>
        <v>7811.7999999999993</v>
      </c>
      <c r="I88" s="129">
        <f t="shared" si="10"/>
        <v>7811.7999999999993</v>
      </c>
    </row>
    <row r="89" spans="1:11" s="26" customFormat="1" ht="89.25" x14ac:dyDescent="0.2">
      <c r="A89" s="45" t="s">
        <v>133</v>
      </c>
      <c r="B89" s="19" t="s">
        <v>14</v>
      </c>
      <c r="C89" s="19">
        <v>3</v>
      </c>
      <c r="D89" s="19" t="s">
        <v>350</v>
      </c>
      <c r="E89" s="19" t="s">
        <v>486</v>
      </c>
      <c r="F89" s="19"/>
      <c r="G89" s="20">
        <f>G90+G91</f>
        <v>8019.5999999999995</v>
      </c>
      <c r="H89" s="20">
        <f>H90+H91</f>
        <v>7811.7999999999993</v>
      </c>
      <c r="I89" s="20">
        <f>I90+I91</f>
        <v>7811.7999999999993</v>
      </c>
    </row>
    <row r="90" spans="1:11" ht="51" x14ac:dyDescent="0.2">
      <c r="A90" s="30" t="s">
        <v>63</v>
      </c>
      <c r="B90" s="24" t="s">
        <v>14</v>
      </c>
      <c r="C90" s="24">
        <v>3</v>
      </c>
      <c r="D90" s="24" t="s">
        <v>350</v>
      </c>
      <c r="E90" s="19" t="s">
        <v>486</v>
      </c>
      <c r="F90" s="27" t="s">
        <v>64</v>
      </c>
      <c r="G90" s="25">
        <f>'изм июнь вед стр-ра'!G63</f>
        <v>7757.7999999999993</v>
      </c>
      <c r="H90" s="25">
        <f>'изм июнь вед стр-ра'!H63</f>
        <v>7757.7999999999993</v>
      </c>
      <c r="I90" s="25">
        <f>'изм июнь вед стр-ра'!I63</f>
        <v>7757.7999999999993</v>
      </c>
    </row>
    <row r="91" spans="1:11" s="77" customFormat="1" ht="25.5" x14ac:dyDescent="0.2">
      <c r="A91" s="73" t="s">
        <v>353</v>
      </c>
      <c r="B91" s="75" t="s">
        <v>14</v>
      </c>
      <c r="C91" s="75">
        <v>3</v>
      </c>
      <c r="D91" s="75" t="s">
        <v>350</v>
      </c>
      <c r="E91" s="70" t="s">
        <v>486</v>
      </c>
      <c r="F91" s="76" t="s">
        <v>65</v>
      </c>
      <c r="G91" s="25">
        <f>'изм июнь вед стр-ра'!G64</f>
        <v>261.8</v>
      </c>
      <c r="H91" s="25">
        <f>'изм июнь вед стр-ра'!H64</f>
        <v>54</v>
      </c>
      <c r="I91" s="25">
        <f>'изм июнь вед стр-ра'!I64</f>
        <v>54</v>
      </c>
    </row>
    <row r="92" spans="1:11" s="67" customFormat="1" ht="51" x14ac:dyDescent="0.2">
      <c r="A92" s="87" t="s">
        <v>134</v>
      </c>
      <c r="B92" s="70" t="s">
        <v>14</v>
      </c>
      <c r="C92" s="70">
        <v>3</v>
      </c>
      <c r="D92" s="70" t="s">
        <v>350</v>
      </c>
      <c r="E92" s="70" t="s">
        <v>485</v>
      </c>
      <c r="F92" s="70"/>
      <c r="G92" s="71">
        <f>G93</f>
        <v>228.8</v>
      </c>
      <c r="H92" s="71">
        <f>H93</f>
        <v>0</v>
      </c>
      <c r="I92" s="71">
        <f>I93</f>
        <v>0</v>
      </c>
    </row>
    <row r="93" spans="1:11" s="77" customFormat="1" ht="25.5" x14ac:dyDescent="0.2">
      <c r="A93" s="73" t="s">
        <v>353</v>
      </c>
      <c r="B93" s="75" t="s">
        <v>14</v>
      </c>
      <c r="C93" s="75">
        <v>3</v>
      </c>
      <c r="D93" s="75" t="s">
        <v>350</v>
      </c>
      <c r="E93" s="75" t="s">
        <v>485</v>
      </c>
      <c r="F93" s="76" t="s">
        <v>65</v>
      </c>
      <c r="G93" s="55">
        <f>'изм июнь вед стр-ра'!G66</f>
        <v>228.8</v>
      </c>
      <c r="H93" s="55">
        <f>'изм июнь вед стр-ра'!H66</f>
        <v>0</v>
      </c>
      <c r="I93" s="55">
        <f>'изм июнь вед стр-ра'!I66</f>
        <v>0</v>
      </c>
    </row>
    <row r="94" spans="1:11" s="67" customFormat="1" ht="25.5" x14ac:dyDescent="0.2">
      <c r="A94" s="68" t="s">
        <v>637</v>
      </c>
      <c r="B94" s="70" t="s">
        <v>14</v>
      </c>
      <c r="C94" s="70">
        <v>3</v>
      </c>
      <c r="D94" s="70" t="s">
        <v>350</v>
      </c>
      <c r="E94" s="70" t="s">
        <v>588</v>
      </c>
      <c r="F94" s="70"/>
      <c r="G94" s="71">
        <f>G95</f>
        <v>50</v>
      </c>
      <c r="H94" s="71">
        <f>H95</f>
        <v>0</v>
      </c>
      <c r="I94" s="71">
        <f>I95</f>
        <v>0</v>
      </c>
    </row>
    <row r="95" spans="1:11" s="77" customFormat="1" ht="25.5" x14ac:dyDescent="0.2">
      <c r="A95" s="73" t="s">
        <v>353</v>
      </c>
      <c r="B95" s="75" t="s">
        <v>14</v>
      </c>
      <c r="C95" s="75">
        <v>3</v>
      </c>
      <c r="D95" s="75" t="s">
        <v>350</v>
      </c>
      <c r="E95" s="75" t="s">
        <v>588</v>
      </c>
      <c r="F95" s="76" t="s">
        <v>65</v>
      </c>
      <c r="G95" s="55">
        <f>'изм июнь вед стр-ра'!G528</f>
        <v>50</v>
      </c>
      <c r="H95" s="55">
        <f>'изм июнь вед стр-ра'!H528</f>
        <v>0</v>
      </c>
      <c r="I95" s="55">
        <f>'изм июнь вед стр-ра'!I528</f>
        <v>0</v>
      </c>
    </row>
    <row r="96" spans="1:11" s="9" customFormat="1" ht="38.25" x14ac:dyDescent="0.2">
      <c r="A96" s="134" t="s">
        <v>484</v>
      </c>
      <c r="B96" s="40" t="s">
        <v>16</v>
      </c>
      <c r="C96" s="40"/>
      <c r="D96" s="40"/>
      <c r="E96" s="40"/>
      <c r="F96" s="138"/>
      <c r="G96" s="38">
        <f>SUM(G97,G110,G113,G132,G141)</f>
        <v>677186.78909999994</v>
      </c>
      <c r="H96" s="38">
        <f>SUM(H97,H110,H113,H132,H141)</f>
        <v>566317.16</v>
      </c>
      <c r="I96" s="38">
        <f>SUM(I97,I110,I113,I132,I141)</f>
        <v>828215.33200000005</v>
      </c>
    </row>
    <row r="97" spans="1:9" s="26" customFormat="1" ht="38.25" x14ac:dyDescent="0.2">
      <c r="A97" s="133" t="s">
        <v>483</v>
      </c>
      <c r="B97" s="104" t="s">
        <v>16</v>
      </c>
      <c r="C97" s="127" t="s">
        <v>391</v>
      </c>
      <c r="D97" s="127"/>
      <c r="E97" s="127"/>
      <c r="F97" s="144"/>
      <c r="G97" s="126">
        <f>SUM(G98,G102,G106)+G100+G108+G104</f>
        <v>106963.7</v>
      </c>
      <c r="H97" s="126">
        <f t="shared" ref="H97:I97" si="11">SUM(H98,H102,H106)+H100+H108+H104</f>
        <v>104684.5</v>
      </c>
      <c r="I97" s="126">
        <f t="shared" si="11"/>
        <v>106825.5</v>
      </c>
    </row>
    <row r="98" spans="1:9" s="26" customFormat="1" ht="38.25" x14ac:dyDescent="0.2">
      <c r="A98" s="18" t="s">
        <v>280</v>
      </c>
      <c r="B98" s="19" t="s">
        <v>16</v>
      </c>
      <c r="C98" s="19">
        <v>1</v>
      </c>
      <c r="D98" s="19" t="s">
        <v>350</v>
      </c>
      <c r="E98" s="19" t="s">
        <v>482</v>
      </c>
      <c r="F98" s="19"/>
      <c r="G98" s="20">
        <f>G99</f>
        <v>2000</v>
      </c>
      <c r="H98" s="20">
        <f>H99</f>
        <v>0</v>
      </c>
      <c r="I98" s="20">
        <f>I99</f>
        <v>0</v>
      </c>
    </row>
    <row r="99" spans="1:9" ht="25.5" x14ac:dyDescent="0.2">
      <c r="A99" s="28" t="s">
        <v>79</v>
      </c>
      <c r="B99" s="24" t="s">
        <v>16</v>
      </c>
      <c r="C99" s="24">
        <v>1</v>
      </c>
      <c r="D99" s="24" t="s">
        <v>350</v>
      </c>
      <c r="E99" s="24" t="s">
        <v>482</v>
      </c>
      <c r="F99" s="24" t="s">
        <v>68</v>
      </c>
      <c r="G99" s="25">
        <f>'изм июнь вед стр-ра'!G123</f>
        <v>2000</v>
      </c>
      <c r="H99" s="25">
        <f>'изм июнь вед стр-ра'!H123</f>
        <v>0</v>
      </c>
      <c r="I99" s="25">
        <f>'изм июнь вед стр-ра'!I123</f>
        <v>0</v>
      </c>
    </row>
    <row r="100" spans="1:9" ht="51" x14ac:dyDescent="0.2">
      <c r="A100" s="18" t="s">
        <v>309</v>
      </c>
      <c r="B100" s="19" t="s">
        <v>16</v>
      </c>
      <c r="C100" s="19">
        <v>1</v>
      </c>
      <c r="D100" s="19" t="s">
        <v>350</v>
      </c>
      <c r="E100" s="19" t="s">
        <v>481</v>
      </c>
      <c r="F100" s="19"/>
      <c r="G100" s="20">
        <f>G101</f>
        <v>654.70000000000005</v>
      </c>
      <c r="H100" s="20">
        <f>H101</f>
        <v>0</v>
      </c>
      <c r="I100" s="20">
        <f>I101</f>
        <v>654.70000000000005</v>
      </c>
    </row>
    <row r="101" spans="1:9" ht="25.5" x14ac:dyDescent="0.2">
      <c r="A101" s="28" t="s">
        <v>79</v>
      </c>
      <c r="B101" s="24" t="s">
        <v>16</v>
      </c>
      <c r="C101" s="24">
        <v>1</v>
      </c>
      <c r="D101" s="24" t="s">
        <v>350</v>
      </c>
      <c r="E101" s="24" t="s">
        <v>481</v>
      </c>
      <c r="F101" s="24" t="s">
        <v>68</v>
      </c>
      <c r="G101" s="25">
        <f>'изм июнь вед стр-ра'!G117</f>
        <v>654.70000000000005</v>
      </c>
      <c r="H101" s="25">
        <f>'изм июнь вед стр-ра'!H117</f>
        <v>0</v>
      </c>
      <c r="I101" s="25">
        <f>'изм июнь вед стр-ра'!I117</f>
        <v>654.70000000000005</v>
      </c>
    </row>
    <row r="102" spans="1:9" s="26" customFormat="1" ht="49.5" customHeight="1" x14ac:dyDescent="0.2">
      <c r="A102" s="18" t="s">
        <v>480</v>
      </c>
      <c r="B102" s="19" t="s">
        <v>16</v>
      </c>
      <c r="C102" s="19">
        <v>1</v>
      </c>
      <c r="D102" s="19" t="s">
        <v>350</v>
      </c>
      <c r="E102" s="19">
        <v>51350</v>
      </c>
      <c r="F102" s="19"/>
      <c r="G102" s="20">
        <f>G103</f>
        <v>2618.5</v>
      </c>
      <c r="H102" s="20">
        <f>H103</f>
        <v>0</v>
      </c>
      <c r="I102" s="20">
        <f>I103</f>
        <v>1309.3</v>
      </c>
    </row>
    <row r="103" spans="1:9" s="26" customFormat="1" ht="25.5" customHeight="1" x14ac:dyDescent="0.2">
      <c r="A103" s="28" t="s">
        <v>66</v>
      </c>
      <c r="B103" s="19" t="s">
        <v>16</v>
      </c>
      <c r="C103" s="19">
        <v>1</v>
      </c>
      <c r="D103" s="19" t="s">
        <v>350</v>
      </c>
      <c r="E103" s="19">
        <v>51350</v>
      </c>
      <c r="F103" s="19" t="s">
        <v>67</v>
      </c>
      <c r="G103" s="20">
        <f>'изм июнь вед стр-ра'!G119</f>
        <v>2618.5</v>
      </c>
      <c r="H103" s="20">
        <f>'изм июнь вед стр-ра'!H119</f>
        <v>0</v>
      </c>
      <c r="I103" s="20">
        <f>'изм июнь вед стр-ра'!I119</f>
        <v>1309.3</v>
      </c>
    </row>
    <row r="104" spans="1:9" s="26" customFormat="1" ht="30.75" customHeight="1" x14ac:dyDescent="0.2">
      <c r="A104" s="18" t="s">
        <v>290</v>
      </c>
      <c r="B104" s="19" t="s">
        <v>16</v>
      </c>
      <c r="C104" s="19">
        <v>1</v>
      </c>
      <c r="D104" s="19" t="s">
        <v>350</v>
      </c>
      <c r="E104" s="19" t="s">
        <v>479</v>
      </c>
      <c r="F104" s="19"/>
      <c r="G104" s="20">
        <f>G105</f>
        <v>19433.5</v>
      </c>
      <c r="H104" s="20">
        <f>H105</f>
        <v>19433.5</v>
      </c>
      <c r="I104" s="20">
        <f>I105</f>
        <v>19433.5</v>
      </c>
    </row>
    <row r="105" spans="1:9" ht="25.5" x14ac:dyDescent="0.2">
      <c r="A105" s="28" t="s">
        <v>79</v>
      </c>
      <c r="B105" s="24" t="s">
        <v>16</v>
      </c>
      <c r="C105" s="24">
        <v>1</v>
      </c>
      <c r="D105" s="24" t="s">
        <v>350</v>
      </c>
      <c r="E105" s="24" t="s">
        <v>479</v>
      </c>
      <c r="F105" s="24" t="s">
        <v>68</v>
      </c>
      <c r="G105" s="25">
        <f>'изм июнь вед стр-ра'!G121</f>
        <v>19433.5</v>
      </c>
      <c r="H105" s="25">
        <f>'изм июнь вед стр-ра'!H121</f>
        <v>19433.5</v>
      </c>
      <c r="I105" s="25">
        <f>'изм июнь вед стр-ра'!I121</f>
        <v>19433.5</v>
      </c>
    </row>
    <row r="106" spans="1:9" s="26" customFormat="1" ht="38.25" x14ac:dyDescent="0.2">
      <c r="A106" s="18" t="s">
        <v>189</v>
      </c>
      <c r="B106" s="19" t="s">
        <v>16</v>
      </c>
      <c r="C106" s="19">
        <v>1</v>
      </c>
      <c r="D106" s="19" t="s">
        <v>350</v>
      </c>
      <c r="E106" s="19" t="s">
        <v>478</v>
      </c>
      <c r="F106" s="19"/>
      <c r="G106" s="20">
        <f>G107</f>
        <v>23875</v>
      </c>
      <c r="H106" s="20">
        <f>H107</f>
        <v>26869</v>
      </c>
      <c r="I106" s="20">
        <f>I107</f>
        <v>27046</v>
      </c>
    </row>
    <row r="107" spans="1:9" ht="25.5" x14ac:dyDescent="0.2">
      <c r="A107" s="28" t="s">
        <v>79</v>
      </c>
      <c r="B107" s="19" t="s">
        <v>16</v>
      </c>
      <c r="C107" s="19">
        <v>1</v>
      </c>
      <c r="D107" s="19" t="s">
        <v>350</v>
      </c>
      <c r="E107" s="19" t="s">
        <v>478</v>
      </c>
      <c r="F107" s="24" t="s">
        <v>68</v>
      </c>
      <c r="G107" s="25">
        <f>'изм июнь вед стр-ра'!G216</f>
        <v>23875</v>
      </c>
      <c r="H107" s="25">
        <f>'изм июнь вед стр-ра'!H216</f>
        <v>26869</v>
      </c>
      <c r="I107" s="25">
        <f>'изм июнь вед стр-ра'!I216</f>
        <v>27046</v>
      </c>
    </row>
    <row r="108" spans="1:9" ht="38.25" x14ac:dyDescent="0.2">
      <c r="A108" s="18" t="s">
        <v>189</v>
      </c>
      <c r="B108" s="19" t="s">
        <v>16</v>
      </c>
      <c r="C108" s="19">
        <v>1</v>
      </c>
      <c r="D108" s="19" t="s">
        <v>350</v>
      </c>
      <c r="E108" s="19" t="s">
        <v>477</v>
      </c>
      <c r="F108" s="19"/>
      <c r="G108" s="20">
        <f>G109</f>
        <v>58382</v>
      </c>
      <c r="H108" s="20">
        <f>H109</f>
        <v>58382</v>
      </c>
      <c r="I108" s="20">
        <f>I109</f>
        <v>58382</v>
      </c>
    </row>
    <row r="109" spans="1:9" s="72" customFormat="1" ht="25.5" x14ac:dyDescent="0.2">
      <c r="A109" s="80" t="s">
        <v>79</v>
      </c>
      <c r="B109" s="70" t="s">
        <v>16</v>
      </c>
      <c r="C109" s="70">
        <v>1</v>
      </c>
      <c r="D109" s="70" t="s">
        <v>350</v>
      </c>
      <c r="E109" s="70" t="s">
        <v>477</v>
      </c>
      <c r="F109" s="75" t="s">
        <v>68</v>
      </c>
      <c r="G109" s="55">
        <f>'изм июнь вед стр-ра'!G218</f>
        <v>58382</v>
      </c>
      <c r="H109" s="55">
        <f>'изм июнь вед стр-ра'!H218</f>
        <v>58382</v>
      </c>
      <c r="I109" s="55">
        <f>'изм июнь вед стр-ра'!I218</f>
        <v>58382</v>
      </c>
    </row>
    <row r="110" spans="1:9" s="72" customFormat="1" x14ac:dyDescent="0.2">
      <c r="A110" s="132" t="s">
        <v>476</v>
      </c>
      <c r="B110" s="130" t="s">
        <v>16</v>
      </c>
      <c r="C110" s="131" t="s">
        <v>387</v>
      </c>
      <c r="D110" s="131"/>
      <c r="E110" s="131"/>
      <c r="F110" s="130"/>
      <c r="G110" s="129">
        <f t="shared" ref="G110:I111" si="12">G111</f>
        <v>3362.1112900000003</v>
      </c>
      <c r="H110" s="129">
        <f t="shared" si="12"/>
        <v>1966.3</v>
      </c>
      <c r="I110" s="129">
        <f t="shared" si="12"/>
        <v>1966.3</v>
      </c>
    </row>
    <row r="111" spans="1:9" s="77" customFormat="1" x14ac:dyDescent="0.2">
      <c r="A111" s="68" t="s">
        <v>314</v>
      </c>
      <c r="B111" s="70" t="s">
        <v>16</v>
      </c>
      <c r="C111" s="70">
        <v>2</v>
      </c>
      <c r="D111" s="70" t="s">
        <v>350</v>
      </c>
      <c r="E111" s="70" t="s">
        <v>475</v>
      </c>
      <c r="F111" s="70"/>
      <c r="G111" s="71">
        <f t="shared" si="12"/>
        <v>3362.1112900000003</v>
      </c>
      <c r="H111" s="71">
        <f t="shared" si="12"/>
        <v>1966.3</v>
      </c>
      <c r="I111" s="71">
        <f t="shared" si="12"/>
        <v>1966.3</v>
      </c>
    </row>
    <row r="112" spans="1:9" s="72" customFormat="1" x14ac:dyDescent="0.2">
      <c r="A112" s="80" t="s">
        <v>66</v>
      </c>
      <c r="B112" s="75" t="s">
        <v>16</v>
      </c>
      <c r="C112" s="75">
        <v>2</v>
      </c>
      <c r="D112" s="75" t="s">
        <v>350</v>
      </c>
      <c r="E112" s="75" t="s">
        <v>475</v>
      </c>
      <c r="F112" s="140">
        <v>300</v>
      </c>
      <c r="G112" s="55">
        <f>'изм июнь вед стр-ра'!G125</f>
        <v>3362.1112900000003</v>
      </c>
      <c r="H112" s="55">
        <f>'изм июнь вед стр-ра'!H125</f>
        <v>1966.3</v>
      </c>
      <c r="I112" s="55">
        <f>'изм июнь вед стр-ра'!I125</f>
        <v>1966.3</v>
      </c>
    </row>
    <row r="113" spans="1:9" s="67" customFormat="1" ht="25.5" x14ac:dyDescent="0.2">
      <c r="A113" s="132" t="s">
        <v>474</v>
      </c>
      <c r="B113" s="130" t="s">
        <v>16</v>
      </c>
      <c r="C113" s="130" t="s">
        <v>383</v>
      </c>
      <c r="D113" s="130"/>
      <c r="E113" s="130"/>
      <c r="F113" s="143"/>
      <c r="G113" s="129">
        <f>SUM(G126)+G130+G114</f>
        <v>525278.10580999998</v>
      </c>
      <c r="H113" s="129">
        <f>SUM(H126)+H130+H114</f>
        <v>440019.45999999996</v>
      </c>
      <c r="I113" s="129">
        <f>SUM(I126)+I130+I114</f>
        <v>699776.63199999998</v>
      </c>
    </row>
    <row r="114" spans="1:9" s="67" customFormat="1" ht="25.5" x14ac:dyDescent="0.2">
      <c r="A114" s="68" t="s">
        <v>543</v>
      </c>
      <c r="B114" s="75" t="s">
        <v>16</v>
      </c>
      <c r="C114" s="75" t="s">
        <v>383</v>
      </c>
      <c r="D114" s="75" t="s">
        <v>544</v>
      </c>
      <c r="E114" s="130"/>
      <c r="F114" s="143"/>
      <c r="G114" s="71">
        <f>G118+G115+G128+G121+G123</f>
        <v>183106.70580999998</v>
      </c>
      <c r="H114" s="71">
        <f>H118+H115+H128</f>
        <v>167110.96</v>
      </c>
      <c r="I114" s="71">
        <f>I118+I115+I128</f>
        <v>83344.032000000007</v>
      </c>
    </row>
    <row r="115" spans="1:9" s="67" customFormat="1" ht="51" x14ac:dyDescent="0.2">
      <c r="A115" s="68" t="s">
        <v>634</v>
      </c>
      <c r="B115" s="70" t="s">
        <v>16</v>
      </c>
      <c r="C115" s="70">
        <v>3</v>
      </c>
      <c r="D115" s="75" t="s">
        <v>544</v>
      </c>
      <c r="E115" s="70" t="s">
        <v>630</v>
      </c>
      <c r="F115" s="143"/>
      <c r="G115" s="71">
        <f>G116+G117</f>
        <v>175340.65198</v>
      </c>
      <c r="H115" s="71">
        <f t="shared" ref="H115:I115" si="13">H116+H117</f>
        <v>140373.2064</v>
      </c>
      <c r="I115" s="71">
        <f t="shared" si="13"/>
        <v>0</v>
      </c>
    </row>
    <row r="116" spans="1:9" s="67" customFormat="1" ht="25.5" x14ac:dyDescent="0.2">
      <c r="A116" s="80" t="s">
        <v>79</v>
      </c>
      <c r="B116" s="70" t="s">
        <v>16</v>
      </c>
      <c r="C116" s="70">
        <v>3</v>
      </c>
      <c r="D116" s="75" t="s">
        <v>544</v>
      </c>
      <c r="E116" s="75" t="s">
        <v>630</v>
      </c>
      <c r="F116" s="140">
        <v>400</v>
      </c>
      <c r="G116" s="55">
        <f>'изм июнь вед стр-ра'!G94</f>
        <v>85831.981480000002</v>
      </c>
      <c r="H116" s="55">
        <f>'изм июнь вед стр-ра'!H94</f>
        <v>72661.518339999995</v>
      </c>
      <c r="I116" s="55">
        <f>'изм июнь вед стр-ра'!I94</f>
        <v>0</v>
      </c>
    </row>
    <row r="117" spans="1:9" s="67" customFormat="1" x14ac:dyDescent="0.2">
      <c r="A117" s="80" t="s">
        <v>69</v>
      </c>
      <c r="B117" s="70" t="s">
        <v>16</v>
      </c>
      <c r="C117" s="70">
        <v>3</v>
      </c>
      <c r="D117" s="75" t="s">
        <v>544</v>
      </c>
      <c r="E117" s="75" t="s">
        <v>630</v>
      </c>
      <c r="F117" s="140">
        <v>800</v>
      </c>
      <c r="G117" s="55">
        <f>'изм июнь вед стр-ра'!G95</f>
        <v>89508.670499999993</v>
      </c>
      <c r="H117" s="55">
        <f>'изм июнь вед стр-ра'!H95</f>
        <v>67711.68806</v>
      </c>
      <c r="I117" s="55">
        <f>'изм июнь вед стр-ра'!I95</f>
        <v>0</v>
      </c>
    </row>
    <row r="118" spans="1:9" s="67" customFormat="1" ht="63.75" x14ac:dyDescent="0.2">
      <c r="A118" s="68" t="s">
        <v>635</v>
      </c>
      <c r="B118" s="70" t="s">
        <v>16</v>
      </c>
      <c r="C118" s="70">
        <v>3</v>
      </c>
      <c r="D118" s="75" t="s">
        <v>544</v>
      </c>
      <c r="E118" s="70" t="s">
        <v>631</v>
      </c>
      <c r="F118" s="143"/>
      <c r="G118" s="71">
        <f>G119+G120</f>
        <v>4335.3439099999996</v>
      </c>
      <c r="H118" s="71">
        <f t="shared" ref="H118:I118" si="14">H119+H120</f>
        <v>26737.7536</v>
      </c>
      <c r="I118" s="71">
        <f t="shared" si="14"/>
        <v>83344.032000000007</v>
      </c>
    </row>
    <row r="119" spans="1:9" s="67" customFormat="1" ht="25.5" x14ac:dyDescent="0.2">
      <c r="A119" s="80" t="s">
        <v>79</v>
      </c>
      <c r="B119" s="70" t="s">
        <v>16</v>
      </c>
      <c r="C119" s="70">
        <v>3</v>
      </c>
      <c r="D119" s="75" t="s">
        <v>544</v>
      </c>
      <c r="E119" s="75" t="s">
        <v>631</v>
      </c>
      <c r="F119" s="140">
        <v>400</v>
      </c>
      <c r="G119" s="55">
        <f>'изм июнь вед стр-ра'!G97</f>
        <v>2106.9</v>
      </c>
      <c r="H119" s="55">
        <f>'изм июнь вед стр-ра'!H97</f>
        <v>13576</v>
      </c>
      <c r="I119" s="55">
        <f>'изм июнь вед стр-ра'!I97</f>
        <v>41849.699999999997</v>
      </c>
    </row>
    <row r="120" spans="1:9" s="67" customFormat="1" x14ac:dyDescent="0.2">
      <c r="A120" s="80" t="s">
        <v>69</v>
      </c>
      <c r="B120" s="70" t="s">
        <v>16</v>
      </c>
      <c r="C120" s="70">
        <v>3</v>
      </c>
      <c r="D120" s="75" t="s">
        <v>544</v>
      </c>
      <c r="E120" s="75" t="s">
        <v>631</v>
      </c>
      <c r="F120" s="140">
        <v>800</v>
      </c>
      <c r="G120" s="55">
        <f>'изм июнь вед стр-ра'!G98</f>
        <v>2228.44391</v>
      </c>
      <c r="H120" s="55">
        <f>'изм июнь вед стр-ра'!H98</f>
        <v>13161.7536</v>
      </c>
      <c r="I120" s="55">
        <f>'изм июнь вед стр-ра'!I98</f>
        <v>41494.332000000002</v>
      </c>
    </row>
    <row r="121" spans="1:9" s="67" customFormat="1" ht="51" x14ac:dyDescent="0.2">
      <c r="A121" s="68" t="s">
        <v>653</v>
      </c>
      <c r="B121" s="70" t="s">
        <v>16</v>
      </c>
      <c r="C121" s="70">
        <v>3</v>
      </c>
      <c r="D121" s="75" t="s">
        <v>544</v>
      </c>
      <c r="E121" s="70" t="s">
        <v>656</v>
      </c>
      <c r="F121" s="143"/>
      <c r="G121" s="71">
        <f>G122</f>
        <v>167.57162</v>
      </c>
      <c r="H121" s="71">
        <f t="shared" ref="H121:I121" si="15">H122</f>
        <v>0</v>
      </c>
      <c r="I121" s="71">
        <f t="shared" si="15"/>
        <v>0</v>
      </c>
    </row>
    <row r="122" spans="1:9" s="67" customFormat="1" ht="25.5" x14ac:dyDescent="0.2">
      <c r="A122" s="80" t="s">
        <v>79</v>
      </c>
      <c r="B122" s="70" t="s">
        <v>16</v>
      </c>
      <c r="C122" s="70">
        <v>3</v>
      </c>
      <c r="D122" s="75" t="s">
        <v>544</v>
      </c>
      <c r="E122" s="75" t="s">
        <v>656</v>
      </c>
      <c r="F122" s="140">
        <v>400</v>
      </c>
      <c r="G122" s="55">
        <f>'изм июнь вед стр-ра'!G102</f>
        <v>167.57162</v>
      </c>
      <c r="H122" s="55">
        <f>'изм июнь вед стр-ра'!H102</f>
        <v>0</v>
      </c>
      <c r="I122" s="55">
        <f>'изм июнь вед стр-ра'!I102</f>
        <v>0</v>
      </c>
    </row>
    <row r="123" spans="1:9" s="67" customFormat="1" ht="51" x14ac:dyDescent="0.2">
      <c r="A123" s="68" t="s">
        <v>653</v>
      </c>
      <c r="B123" s="70" t="s">
        <v>16</v>
      </c>
      <c r="C123" s="70">
        <v>3</v>
      </c>
      <c r="D123" s="75" t="s">
        <v>544</v>
      </c>
      <c r="E123" s="70" t="s">
        <v>657</v>
      </c>
      <c r="F123" s="143"/>
      <c r="G123" s="71">
        <f>G124+G125</f>
        <v>1986.1383000000001</v>
      </c>
      <c r="H123" s="71">
        <f t="shared" ref="H123:I123" si="16">H124+H125</f>
        <v>0</v>
      </c>
      <c r="I123" s="71">
        <f t="shared" si="16"/>
        <v>0</v>
      </c>
    </row>
    <row r="124" spans="1:9" s="67" customFormat="1" ht="25.5" x14ac:dyDescent="0.2">
      <c r="A124" s="80" t="s">
        <v>79</v>
      </c>
      <c r="B124" s="70" t="s">
        <v>16</v>
      </c>
      <c r="C124" s="70">
        <v>3</v>
      </c>
      <c r="D124" s="75" t="s">
        <v>544</v>
      </c>
      <c r="E124" s="75" t="s">
        <v>657</v>
      </c>
      <c r="F124" s="140">
        <v>400</v>
      </c>
      <c r="G124" s="55">
        <f>'изм июнь вед стр-ра'!G104</f>
        <v>262.81376</v>
      </c>
      <c r="H124" s="55">
        <f>'изм июнь вед стр-ра'!H104</f>
        <v>0</v>
      </c>
      <c r="I124" s="55">
        <f>'изм июнь вед стр-ра'!I104</f>
        <v>0</v>
      </c>
    </row>
    <row r="125" spans="1:9" s="67" customFormat="1" x14ac:dyDescent="0.2">
      <c r="A125" s="80" t="s">
        <v>69</v>
      </c>
      <c r="B125" s="70" t="s">
        <v>16</v>
      </c>
      <c r="C125" s="70">
        <v>3</v>
      </c>
      <c r="D125" s="75" t="s">
        <v>544</v>
      </c>
      <c r="E125" s="75" t="s">
        <v>657</v>
      </c>
      <c r="F125" s="140">
        <v>800</v>
      </c>
      <c r="G125" s="55">
        <f>'изм июнь вед стр-ра'!G105</f>
        <v>1723.3245400000001</v>
      </c>
      <c r="H125" s="55">
        <f>'изм июнь вед стр-ра'!H105</f>
        <v>0</v>
      </c>
      <c r="I125" s="55">
        <f>'изм июнь вед стр-ра'!I105</f>
        <v>0</v>
      </c>
    </row>
    <row r="126" spans="1:9" s="72" customFormat="1" ht="25.5" x14ac:dyDescent="0.2">
      <c r="A126" s="68" t="s">
        <v>142</v>
      </c>
      <c r="B126" s="70" t="s">
        <v>16</v>
      </c>
      <c r="C126" s="70">
        <v>3</v>
      </c>
      <c r="D126" s="70" t="s">
        <v>350</v>
      </c>
      <c r="E126" s="70">
        <v>51560</v>
      </c>
      <c r="F126" s="70"/>
      <c r="G126" s="71">
        <f>G127</f>
        <v>340671.4</v>
      </c>
      <c r="H126" s="71">
        <f>H127</f>
        <v>272908.5</v>
      </c>
      <c r="I126" s="71">
        <f>I127</f>
        <v>616432.6</v>
      </c>
    </row>
    <row r="127" spans="1:9" s="77" customFormat="1" x14ac:dyDescent="0.2">
      <c r="A127" s="80" t="s">
        <v>66</v>
      </c>
      <c r="B127" s="75" t="s">
        <v>16</v>
      </c>
      <c r="C127" s="75">
        <v>3</v>
      </c>
      <c r="D127" s="75" t="s">
        <v>350</v>
      </c>
      <c r="E127" s="75">
        <v>51560</v>
      </c>
      <c r="F127" s="75" t="s">
        <v>67</v>
      </c>
      <c r="G127" s="55">
        <f>'изм июнь вед стр-ра'!G127</f>
        <v>340671.4</v>
      </c>
      <c r="H127" s="55">
        <f>'изм июнь вед стр-ра'!H127</f>
        <v>272908.5</v>
      </c>
      <c r="I127" s="55">
        <f>'изм июнь вед стр-ра'!I127</f>
        <v>616432.6</v>
      </c>
    </row>
    <row r="128" spans="1:9" s="77" customFormat="1" ht="51.75" customHeight="1" x14ac:dyDescent="0.2">
      <c r="A128" s="68" t="s">
        <v>635</v>
      </c>
      <c r="B128" s="75" t="s">
        <v>16</v>
      </c>
      <c r="C128" s="75" t="s">
        <v>383</v>
      </c>
      <c r="D128" s="75" t="s">
        <v>544</v>
      </c>
      <c r="E128" s="70" t="s">
        <v>633</v>
      </c>
      <c r="F128" s="76"/>
      <c r="G128" s="55">
        <f>G129</f>
        <v>1277</v>
      </c>
      <c r="H128" s="55">
        <v>0</v>
      </c>
      <c r="I128" s="55">
        <v>0</v>
      </c>
    </row>
    <row r="129" spans="1:9" s="77" customFormat="1" ht="25.5" x14ac:dyDescent="0.2">
      <c r="A129" s="80" t="s">
        <v>79</v>
      </c>
      <c r="B129" s="75" t="s">
        <v>16</v>
      </c>
      <c r="C129" s="75" t="s">
        <v>383</v>
      </c>
      <c r="D129" s="75" t="s">
        <v>544</v>
      </c>
      <c r="E129" s="75" t="s">
        <v>633</v>
      </c>
      <c r="F129" s="76" t="s">
        <v>68</v>
      </c>
      <c r="G129" s="55">
        <f>'изм июнь вед стр-ра'!G100</f>
        <v>1277</v>
      </c>
      <c r="H129" s="55">
        <f>'изм июнь вед стр-ра'!H100</f>
        <v>0</v>
      </c>
      <c r="I129" s="55">
        <f>'изм июнь вед стр-ра'!I100</f>
        <v>0</v>
      </c>
    </row>
    <row r="130" spans="1:9" s="26" customFormat="1" ht="25.5" x14ac:dyDescent="0.2">
      <c r="A130" s="18" t="s">
        <v>310</v>
      </c>
      <c r="B130" s="24" t="s">
        <v>16</v>
      </c>
      <c r="C130" s="24" t="s">
        <v>383</v>
      </c>
      <c r="D130" s="24" t="s">
        <v>350</v>
      </c>
      <c r="E130" s="24" t="s">
        <v>532</v>
      </c>
      <c r="F130" s="27"/>
      <c r="G130" s="25">
        <f>SUM(G131)</f>
        <v>1500</v>
      </c>
      <c r="H130" s="25">
        <f t="shared" ref="H130:I130" si="17">SUM(H131)</f>
        <v>0</v>
      </c>
      <c r="I130" s="25">
        <f t="shared" si="17"/>
        <v>0</v>
      </c>
    </row>
    <row r="131" spans="1:9" s="26" customFormat="1" ht="25.5" x14ac:dyDescent="0.2">
      <c r="A131" s="28" t="s">
        <v>73</v>
      </c>
      <c r="B131" s="24" t="s">
        <v>16</v>
      </c>
      <c r="C131" s="24" t="s">
        <v>383</v>
      </c>
      <c r="D131" s="24" t="s">
        <v>350</v>
      </c>
      <c r="E131" s="24" t="s">
        <v>532</v>
      </c>
      <c r="F131" s="27" t="s">
        <v>65</v>
      </c>
      <c r="G131" s="25">
        <f>'изм июнь вед стр-ра'!G548</f>
        <v>1500</v>
      </c>
      <c r="H131" s="25">
        <f>'изм июнь вед стр-ра'!H548</f>
        <v>0</v>
      </c>
      <c r="I131" s="25">
        <f>'изм июнь вед стр-ра'!I548</f>
        <v>0</v>
      </c>
    </row>
    <row r="132" spans="1:9" s="67" customFormat="1" x14ac:dyDescent="0.2">
      <c r="A132" s="132" t="s">
        <v>473</v>
      </c>
      <c r="B132" s="130" t="s">
        <v>16</v>
      </c>
      <c r="C132" s="130" t="s">
        <v>380</v>
      </c>
      <c r="D132" s="130"/>
      <c r="E132" s="130"/>
      <c r="F132" s="130"/>
      <c r="G132" s="129">
        <f>SUM(G133,)+G135+G139</f>
        <v>38673.771999999997</v>
      </c>
      <c r="H132" s="129">
        <f>SUM(H133,)+H135+H139</f>
        <v>19646.899999999998</v>
      </c>
      <c r="I132" s="129">
        <f>SUM(I133,)+I135+I139</f>
        <v>19646.899999999998</v>
      </c>
    </row>
    <row r="133" spans="1:9" x14ac:dyDescent="0.2">
      <c r="A133" s="18" t="s">
        <v>145</v>
      </c>
      <c r="B133" s="19" t="s">
        <v>16</v>
      </c>
      <c r="C133" s="19">
        <v>4</v>
      </c>
      <c r="D133" s="19" t="s">
        <v>350</v>
      </c>
      <c r="E133" s="19" t="s">
        <v>472</v>
      </c>
      <c r="F133" s="19"/>
      <c r="G133" s="20">
        <f>G134</f>
        <v>16276.1</v>
      </c>
      <c r="H133" s="20">
        <f t="shared" ref="H133:I133" si="18">H134</f>
        <v>16812.599999999999</v>
      </c>
      <c r="I133" s="20">
        <f t="shared" si="18"/>
        <v>16812.599999999999</v>
      </c>
    </row>
    <row r="134" spans="1:9" s="9" customFormat="1" ht="25.5" x14ac:dyDescent="0.2">
      <c r="A134" s="28" t="s">
        <v>79</v>
      </c>
      <c r="B134" s="24" t="s">
        <v>16</v>
      </c>
      <c r="C134" s="24">
        <v>4</v>
      </c>
      <c r="D134" s="24" t="s">
        <v>350</v>
      </c>
      <c r="E134" s="24" t="s">
        <v>472</v>
      </c>
      <c r="F134" s="24" t="s">
        <v>68</v>
      </c>
      <c r="G134" s="25">
        <f>'изм июнь вед стр-ра'!G401+'изм июнь вед стр-ра'!G107</f>
        <v>16276.1</v>
      </c>
      <c r="H134" s="25">
        <f>'изм июнь вед стр-ра'!H401+'изм июнь вед стр-ра'!H107</f>
        <v>16812.599999999999</v>
      </c>
      <c r="I134" s="25">
        <f>'изм июнь вед стр-ра'!I401+'изм июнь вед стр-ра'!I107</f>
        <v>16812.599999999999</v>
      </c>
    </row>
    <row r="135" spans="1:9" s="141" customFormat="1" x14ac:dyDescent="0.2">
      <c r="A135" s="18" t="s">
        <v>147</v>
      </c>
      <c r="B135" s="24" t="s">
        <v>16</v>
      </c>
      <c r="C135" s="24">
        <v>4</v>
      </c>
      <c r="D135" s="24" t="s">
        <v>350</v>
      </c>
      <c r="E135" s="24" t="s">
        <v>471</v>
      </c>
      <c r="F135" s="19"/>
      <c r="G135" s="20">
        <f>G136+G137+G138</f>
        <v>19345.471999999998</v>
      </c>
      <c r="H135" s="20">
        <f t="shared" ref="H135:I135" si="19">H136+H137+H138</f>
        <v>0</v>
      </c>
      <c r="I135" s="20">
        <f t="shared" si="19"/>
        <v>0</v>
      </c>
    </row>
    <row r="136" spans="1:9" s="9" customFormat="1" ht="25.5" x14ac:dyDescent="0.2">
      <c r="A136" s="30" t="s">
        <v>353</v>
      </c>
      <c r="B136" s="24" t="s">
        <v>16</v>
      </c>
      <c r="C136" s="24">
        <v>4</v>
      </c>
      <c r="D136" s="24" t="s">
        <v>350</v>
      </c>
      <c r="E136" s="24" t="s">
        <v>471</v>
      </c>
      <c r="F136" s="27" t="s">
        <v>65</v>
      </c>
      <c r="G136" s="25">
        <f>'изм июнь вед стр-ра'!G109+'изм июнь вед стр-ра'!G417+'изм июнь вед стр-ра'!G161</f>
        <v>12801.4</v>
      </c>
      <c r="H136" s="25">
        <f>'изм июнь вед стр-ра'!H109+'изм июнь вед стр-ра'!H417</f>
        <v>0</v>
      </c>
      <c r="I136" s="25">
        <f>'изм июнь вед стр-ра'!I109+'изм июнь вед стр-ра'!I417</f>
        <v>0</v>
      </c>
    </row>
    <row r="137" spans="1:9" s="9" customFormat="1" ht="25.5" x14ac:dyDescent="0.2">
      <c r="A137" s="28" t="s">
        <v>79</v>
      </c>
      <c r="B137" s="24" t="s">
        <v>16</v>
      </c>
      <c r="C137" s="24">
        <v>4</v>
      </c>
      <c r="D137" s="24" t="s">
        <v>350</v>
      </c>
      <c r="E137" s="24" t="s">
        <v>471</v>
      </c>
      <c r="F137" s="24" t="s">
        <v>68</v>
      </c>
      <c r="G137" s="25">
        <f>'изм июнь вед стр-ра'!G162</f>
        <v>3555.3719999999998</v>
      </c>
      <c r="H137" s="25">
        <f>'изм июнь вед стр-ра'!H162</f>
        <v>0</v>
      </c>
      <c r="I137" s="25">
        <f>'изм июнь вед стр-ра'!I162</f>
        <v>0</v>
      </c>
    </row>
    <row r="138" spans="1:9" s="9" customFormat="1" ht="25.5" x14ac:dyDescent="0.2">
      <c r="A138" s="28" t="s">
        <v>119</v>
      </c>
      <c r="B138" s="24" t="s">
        <v>16</v>
      </c>
      <c r="C138" s="24">
        <v>4</v>
      </c>
      <c r="D138" s="24" t="s">
        <v>350</v>
      </c>
      <c r="E138" s="24" t="s">
        <v>471</v>
      </c>
      <c r="F138" s="24" t="s">
        <v>62</v>
      </c>
      <c r="G138" s="25">
        <f>'изм июнь вед стр-ра'!G53+'изм июнь вед стр-ра'!G260</f>
        <v>2988.7</v>
      </c>
      <c r="H138" s="25">
        <f>'изм июнь вед стр-ра'!H53+'изм июнь вед стр-ра'!H260</f>
        <v>0</v>
      </c>
      <c r="I138" s="25">
        <f>'изм июнь вед стр-ра'!I53+'изм июнь вед стр-ра'!I260</f>
        <v>0</v>
      </c>
    </row>
    <row r="139" spans="1:9" s="67" customFormat="1" ht="38.25" x14ac:dyDescent="0.2">
      <c r="A139" s="68" t="s">
        <v>319</v>
      </c>
      <c r="B139" s="75" t="s">
        <v>16</v>
      </c>
      <c r="C139" s="75" t="s">
        <v>380</v>
      </c>
      <c r="D139" s="75" t="s">
        <v>350</v>
      </c>
      <c r="E139" s="75" t="s">
        <v>470</v>
      </c>
      <c r="F139" s="75"/>
      <c r="G139" s="55">
        <f>G140</f>
        <v>3052.2</v>
      </c>
      <c r="H139" s="55">
        <f>H140</f>
        <v>2834.3</v>
      </c>
      <c r="I139" s="55">
        <f>I140</f>
        <v>2834.3</v>
      </c>
    </row>
    <row r="140" spans="1:9" s="9" customFormat="1" ht="25.5" x14ac:dyDescent="0.2">
      <c r="A140" s="28" t="s">
        <v>119</v>
      </c>
      <c r="B140" s="24" t="s">
        <v>16</v>
      </c>
      <c r="C140" s="24" t="s">
        <v>380</v>
      </c>
      <c r="D140" s="24" t="s">
        <v>350</v>
      </c>
      <c r="E140" s="24" t="s">
        <v>470</v>
      </c>
      <c r="F140" s="24" t="s">
        <v>62</v>
      </c>
      <c r="G140" s="25">
        <f>'изм июнь вед стр-ра'!G68</f>
        <v>3052.2</v>
      </c>
      <c r="H140" s="25">
        <f>'изм июнь вед стр-ра'!H68</f>
        <v>2834.3</v>
      </c>
      <c r="I140" s="25">
        <f>'изм июнь вед стр-ра'!I68</f>
        <v>2834.3</v>
      </c>
    </row>
    <row r="141" spans="1:9" s="141" customFormat="1" x14ac:dyDescent="0.2">
      <c r="A141" s="128" t="s">
        <v>469</v>
      </c>
      <c r="B141" s="127" t="s">
        <v>16</v>
      </c>
      <c r="C141" s="127" t="s">
        <v>377</v>
      </c>
      <c r="D141" s="127"/>
      <c r="E141" s="127"/>
      <c r="F141" s="127"/>
      <c r="G141" s="126">
        <f>SUM(G142,G144)</f>
        <v>2909.1</v>
      </c>
      <c r="H141" s="126">
        <f>SUM(H142,H144)</f>
        <v>0</v>
      </c>
      <c r="I141" s="126">
        <f>SUM(I142,I144)</f>
        <v>0</v>
      </c>
    </row>
    <row r="142" spans="1:9" s="9" customFormat="1" x14ac:dyDescent="0.2">
      <c r="A142" s="18" t="s">
        <v>329</v>
      </c>
      <c r="B142" s="19" t="s">
        <v>16</v>
      </c>
      <c r="C142" s="19">
        <v>5</v>
      </c>
      <c r="D142" s="19" t="s">
        <v>350</v>
      </c>
      <c r="E142" s="19" t="s">
        <v>468</v>
      </c>
      <c r="F142" s="19"/>
      <c r="G142" s="20">
        <f>G143</f>
        <v>1708</v>
      </c>
      <c r="H142" s="20">
        <f>H143</f>
        <v>0</v>
      </c>
      <c r="I142" s="20">
        <f>I143</f>
        <v>0</v>
      </c>
    </row>
    <row r="143" spans="1:9" s="142" customFormat="1" ht="25.5" x14ac:dyDescent="0.2">
      <c r="A143" s="30" t="s">
        <v>353</v>
      </c>
      <c r="B143" s="75" t="s">
        <v>16</v>
      </c>
      <c r="C143" s="75">
        <v>5</v>
      </c>
      <c r="D143" s="75" t="s">
        <v>350</v>
      </c>
      <c r="E143" s="75" t="s">
        <v>468</v>
      </c>
      <c r="F143" s="75" t="s">
        <v>65</v>
      </c>
      <c r="G143" s="55">
        <f>'изм июнь вед стр-ра'!G546</f>
        <v>1708</v>
      </c>
      <c r="H143" s="55">
        <f>'изм июнь вед стр-ра'!H546</f>
        <v>0</v>
      </c>
      <c r="I143" s="55">
        <f>'изм июнь вед стр-ра'!I546</f>
        <v>0</v>
      </c>
    </row>
    <row r="144" spans="1:9" s="141" customFormat="1" ht="25.5" x14ac:dyDescent="0.2">
      <c r="A144" s="18" t="s">
        <v>187</v>
      </c>
      <c r="B144" s="19" t="s">
        <v>16</v>
      </c>
      <c r="C144" s="19">
        <v>5</v>
      </c>
      <c r="D144" s="19" t="s">
        <v>350</v>
      </c>
      <c r="E144" s="19" t="s">
        <v>467</v>
      </c>
      <c r="F144" s="19"/>
      <c r="G144" s="20">
        <f>G145</f>
        <v>1201.0999999999999</v>
      </c>
      <c r="H144" s="20">
        <f>H145</f>
        <v>0</v>
      </c>
      <c r="I144" s="20">
        <f>I145</f>
        <v>0</v>
      </c>
    </row>
    <row r="145" spans="1:9" s="9" customFormat="1" ht="25.5" x14ac:dyDescent="0.2">
      <c r="A145" s="30" t="s">
        <v>353</v>
      </c>
      <c r="B145" s="24" t="s">
        <v>16</v>
      </c>
      <c r="C145" s="24">
        <v>5</v>
      </c>
      <c r="D145" s="24" t="s">
        <v>350</v>
      </c>
      <c r="E145" s="24" t="s">
        <v>467</v>
      </c>
      <c r="F145" s="24" t="s">
        <v>65</v>
      </c>
      <c r="G145" s="25">
        <f>'изм июнь вед стр-ра'!G212</f>
        <v>1201.0999999999999</v>
      </c>
      <c r="H145" s="25">
        <f>'изм июнь вед стр-ра'!H212</f>
        <v>0</v>
      </c>
      <c r="I145" s="25">
        <f>'изм июнь вед стр-ра'!I212</f>
        <v>0</v>
      </c>
    </row>
    <row r="146" spans="1:9" ht="25.5" x14ac:dyDescent="0.2">
      <c r="A146" s="39" t="s">
        <v>466</v>
      </c>
      <c r="B146" s="40" t="s">
        <v>28</v>
      </c>
      <c r="C146" s="40"/>
      <c r="D146" s="40"/>
      <c r="E146" s="40"/>
      <c r="F146" s="40"/>
      <c r="G146" s="38">
        <f>SUM(G147,G214,G255)</f>
        <v>1352105.8349999997</v>
      </c>
      <c r="H146" s="38">
        <f>SUM(H147,H214,H255)</f>
        <v>1281006.1000000003</v>
      </c>
      <c r="I146" s="38">
        <f>SUM(I147,I214,I255)</f>
        <v>1260020.7000000002</v>
      </c>
    </row>
    <row r="147" spans="1:9" s="72" customFormat="1" ht="38.25" x14ac:dyDescent="0.2">
      <c r="A147" s="132" t="s">
        <v>465</v>
      </c>
      <c r="B147" s="130" t="s">
        <v>28</v>
      </c>
      <c r="C147" s="130" t="s">
        <v>391</v>
      </c>
      <c r="D147" s="130"/>
      <c r="E147" s="130"/>
      <c r="F147" s="130"/>
      <c r="G147" s="129">
        <f>SUM(G151,G156,G160,G165,G168,G172,G175,G177,G179,G182,G191,G195,G199,G203)+G209+G206+G188+G186+G163+G149+G212+G158</f>
        <v>1230190.1349999998</v>
      </c>
      <c r="H147" s="129">
        <f t="shared" ref="H147:I147" si="20">SUM(H151,H156,H160,H165,H168,H172,H175,H177,H179,H182,H191,H195,H199,H203)+H209+H206+H188+H186+H163+H149+H212+H158</f>
        <v>1167333.6000000003</v>
      </c>
      <c r="I147" s="129">
        <f t="shared" si="20"/>
        <v>1147027.5000000002</v>
      </c>
    </row>
    <row r="148" spans="1:9" s="72" customFormat="1" x14ac:dyDescent="0.2">
      <c r="A148" s="132" t="s">
        <v>679</v>
      </c>
      <c r="B148" s="70" t="s">
        <v>28</v>
      </c>
      <c r="C148" s="70" t="s">
        <v>391</v>
      </c>
      <c r="D148" s="70" t="s">
        <v>677</v>
      </c>
      <c r="E148" s="130"/>
      <c r="F148" s="130"/>
      <c r="G148" s="129">
        <f>G149</f>
        <v>7815.1049999999996</v>
      </c>
      <c r="H148" s="129">
        <f t="shared" ref="H148:I148" si="21">H149</f>
        <v>0</v>
      </c>
      <c r="I148" s="129">
        <f t="shared" si="21"/>
        <v>0</v>
      </c>
    </row>
    <row r="149" spans="1:9" s="72" customFormat="1" ht="38.25" x14ac:dyDescent="0.2">
      <c r="A149" s="18" t="s">
        <v>675</v>
      </c>
      <c r="B149" s="70" t="s">
        <v>28</v>
      </c>
      <c r="C149" s="70" t="s">
        <v>391</v>
      </c>
      <c r="D149" s="70" t="s">
        <v>677</v>
      </c>
      <c r="E149" s="19" t="s">
        <v>678</v>
      </c>
      <c r="F149" s="19"/>
      <c r="G149" s="71">
        <f>G150</f>
        <v>7815.1049999999996</v>
      </c>
      <c r="H149" s="71">
        <f>H150</f>
        <v>0</v>
      </c>
      <c r="I149" s="71">
        <f>I150</f>
        <v>0</v>
      </c>
    </row>
    <row r="150" spans="1:9" s="72" customFormat="1" ht="25.5" x14ac:dyDescent="0.2">
      <c r="A150" s="28" t="s">
        <v>73</v>
      </c>
      <c r="B150" s="75" t="s">
        <v>28</v>
      </c>
      <c r="C150" s="75" t="s">
        <v>391</v>
      </c>
      <c r="D150" s="75" t="s">
        <v>677</v>
      </c>
      <c r="E150" s="24" t="s">
        <v>678</v>
      </c>
      <c r="F150" s="24" t="s">
        <v>65</v>
      </c>
      <c r="G150" s="55">
        <f>'изм июнь вед стр-ра'!G281</f>
        <v>7815.1049999999996</v>
      </c>
      <c r="H150" s="55">
        <f>'изм июнь вед стр-ра'!H281</f>
        <v>0</v>
      </c>
      <c r="I150" s="55">
        <f>'изм июнь вед стр-ра'!I281</f>
        <v>0</v>
      </c>
    </row>
    <row r="151" spans="1:9" s="72" customFormat="1" ht="51" x14ac:dyDescent="0.2">
      <c r="A151" s="68" t="s">
        <v>283</v>
      </c>
      <c r="B151" s="70" t="s">
        <v>28</v>
      </c>
      <c r="C151" s="70">
        <v>1</v>
      </c>
      <c r="D151" s="70" t="s">
        <v>350</v>
      </c>
      <c r="E151" s="70" t="s">
        <v>464</v>
      </c>
      <c r="F151" s="70"/>
      <c r="G151" s="71">
        <f>G154+G153+G152+G155</f>
        <v>204703.39999999997</v>
      </c>
      <c r="H151" s="71">
        <f t="shared" ref="H151:I151" si="22">H154+H153+H152+H155</f>
        <v>175673.49999999997</v>
      </c>
      <c r="I151" s="71">
        <f t="shared" si="22"/>
        <v>166587.99999999997</v>
      </c>
    </row>
    <row r="152" spans="1:9" s="72" customFormat="1" ht="51" x14ac:dyDescent="0.2">
      <c r="A152" s="73" t="s">
        <v>63</v>
      </c>
      <c r="B152" s="75" t="s">
        <v>28</v>
      </c>
      <c r="C152" s="75">
        <v>1</v>
      </c>
      <c r="D152" s="75" t="s">
        <v>350</v>
      </c>
      <c r="E152" s="75" t="s">
        <v>464</v>
      </c>
      <c r="F152" s="76" t="s">
        <v>64</v>
      </c>
      <c r="G152" s="71">
        <f>'изм июнь вед стр-ра'!G254</f>
        <v>29928.400000000001</v>
      </c>
      <c r="H152" s="71">
        <f>'изм июнь вед стр-ра'!H254</f>
        <v>29923.3</v>
      </c>
      <c r="I152" s="71">
        <f>'изм июнь вед стр-ра'!I254</f>
        <v>29923.3</v>
      </c>
    </row>
    <row r="153" spans="1:9" ht="25.5" x14ac:dyDescent="0.2">
      <c r="A153" s="30" t="s">
        <v>353</v>
      </c>
      <c r="B153" s="24" t="s">
        <v>28</v>
      </c>
      <c r="C153" s="24">
        <v>1</v>
      </c>
      <c r="D153" s="24" t="s">
        <v>350</v>
      </c>
      <c r="E153" s="24" t="s">
        <v>464</v>
      </c>
      <c r="F153" s="27" t="s">
        <v>65</v>
      </c>
      <c r="G153" s="71">
        <f>'изм июнь вед стр-ра'!G255</f>
        <v>14217.4</v>
      </c>
      <c r="H153" s="71">
        <f>'изм июнь вед стр-ра'!H255</f>
        <v>10370.299999999999</v>
      </c>
      <c r="I153" s="71">
        <f>'изм июнь вед стр-ра'!I255</f>
        <v>9150</v>
      </c>
    </row>
    <row r="154" spans="1:9" ht="25.5" x14ac:dyDescent="0.2">
      <c r="A154" s="28" t="s">
        <v>119</v>
      </c>
      <c r="B154" s="24" t="s">
        <v>28</v>
      </c>
      <c r="C154" s="24">
        <v>1</v>
      </c>
      <c r="D154" s="24" t="s">
        <v>350</v>
      </c>
      <c r="E154" s="24" t="s">
        <v>464</v>
      </c>
      <c r="F154" s="24" t="s">
        <v>62</v>
      </c>
      <c r="G154" s="71">
        <f>'изм июнь вед стр-ра'!G256</f>
        <v>160348.29999999999</v>
      </c>
      <c r="H154" s="71">
        <f>'изм июнь вед стр-ра'!H256</f>
        <v>135290.6</v>
      </c>
      <c r="I154" s="71">
        <f>'изм июнь вед стр-ра'!I256</f>
        <v>127425.4</v>
      </c>
    </row>
    <row r="155" spans="1:9" s="72" customFormat="1" x14ac:dyDescent="0.2">
      <c r="A155" s="80" t="s">
        <v>69</v>
      </c>
      <c r="B155" s="75" t="s">
        <v>28</v>
      </c>
      <c r="C155" s="75">
        <v>1</v>
      </c>
      <c r="D155" s="75" t="s">
        <v>350</v>
      </c>
      <c r="E155" s="75" t="s">
        <v>464</v>
      </c>
      <c r="F155" s="75" t="s">
        <v>70</v>
      </c>
      <c r="G155" s="71">
        <f>'изм июнь вед стр-ра'!G257</f>
        <v>209.3</v>
      </c>
      <c r="H155" s="71">
        <f>'изм июнь вед стр-ра'!H257</f>
        <v>89.3</v>
      </c>
      <c r="I155" s="71">
        <f>'изм июнь вед стр-ра'!I257</f>
        <v>89.3</v>
      </c>
    </row>
    <row r="156" spans="1:9" ht="51" x14ac:dyDescent="0.2">
      <c r="A156" s="18" t="s">
        <v>283</v>
      </c>
      <c r="B156" s="19" t="s">
        <v>28</v>
      </c>
      <c r="C156" s="19">
        <v>1</v>
      </c>
      <c r="D156" s="19" t="s">
        <v>350</v>
      </c>
      <c r="E156" s="19" t="s">
        <v>463</v>
      </c>
      <c r="F156" s="19"/>
      <c r="G156" s="20">
        <f>G157</f>
        <v>73195.299999999988</v>
      </c>
      <c r="H156" s="20">
        <f>H157</f>
        <v>39999.5</v>
      </c>
      <c r="I156" s="20">
        <f>I157</f>
        <v>28557.599999999999</v>
      </c>
    </row>
    <row r="157" spans="1:9" ht="25.5" x14ac:dyDescent="0.2">
      <c r="A157" s="28" t="s">
        <v>119</v>
      </c>
      <c r="B157" s="24" t="s">
        <v>28</v>
      </c>
      <c r="C157" s="24">
        <v>1</v>
      </c>
      <c r="D157" s="24" t="s">
        <v>350</v>
      </c>
      <c r="E157" s="24" t="s">
        <v>463</v>
      </c>
      <c r="F157" s="24" t="s">
        <v>62</v>
      </c>
      <c r="G157" s="25">
        <f>'изм июнь вед стр-ра'!G283</f>
        <v>73195.299999999988</v>
      </c>
      <c r="H157" s="25">
        <f>'изм июнь вед стр-ра'!H283</f>
        <v>39999.5</v>
      </c>
      <c r="I157" s="25">
        <f>'изм июнь вед стр-ра'!I283</f>
        <v>28557.599999999999</v>
      </c>
    </row>
    <row r="158" spans="1:9" s="194" customFormat="1" ht="76.5" x14ac:dyDescent="0.2">
      <c r="A158" s="18" t="s">
        <v>590</v>
      </c>
      <c r="B158" s="19" t="s">
        <v>28</v>
      </c>
      <c r="C158" s="19">
        <v>1</v>
      </c>
      <c r="D158" s="19" t="s">
        <v>350</v>
      </c>
      <c r="E158" s="19" t="s">
        <v>591</v>
      </c>
      <c r="F158" s="19"/>
      <c r="G158" s="20">
        <f>G159</f>
        <v>3525.6</v>
      </c>
      <c r="H158" s="20">
        <f>H159</f>
        <v>3525.6</v>
      </c>
      <c r="I158" s="20">
        <f>I159</f>
        <v>3525.6</v>
      </c>
    </row>
    <row r="159" spans="1:9" s="194" customFormat="1" ht="25.5" x14ac:dyDescent="0.2">
      <c r="A159" s="28" t="s">
        <v>119</v>
      </c>
      <c r="B159" s="24" t="s">
        <v>28</v>
      </c>
      <c r="C159" s="24">
        <v>1</v>
      </c>
      <c r="D159" s="24" t="s">
        <v>350</v>
      </c>
      <c r="E159" s="24" t="s">
        <v>591</v>
      </c>
      <c r="F159" s="24" t="s">
        <v>62</v>
      </c>
      <c r="G159" s="25">
        <f>'изм июнь вед стр-ра'!G292</f>
        <v>3525.6</v>
      </c>
      <c r="H159" s="25">
        <f>'изм июнь вед стр-ра'!H292</f>
        <v>3525.6</v>
      </c>
      <c r="I159" s="25">
        <f>'изм июнь вед стр-ра'!I292</f>
        <v>3525.6</v>
      </c>
    </row>
    <row r="160" spans="1:9" ht="51" x14ac:dyDescent="0.2">
      <c r="A160" s="18" t="s">
        <v>283</v>
      </c>
      <c r="B160" s="19" t="s">
        <v>28</v>
      </c>
      <c r="C160" s="19">
        <v>1</v>
      </c>
      <c r="D160" s="19" t="s">
        <v>350</v>
      </c>
      <c r="E160" s="19" t="s">
        <v>462</v>
      </c>
      <c r="F160" s="19"/>
      <c r="G160" s="20">
        <f>G162+G161</f>
        <v>149553</v>
      </c>
      <c r="H160" s="20">
        <f>H162+H161</f>
        <v>136088.70000000001</v>
      </c>
      <c r="I160" s="20">
        <f>I162+I161</f>
        <v>132574.1</v>
      </c>
    </row>
    <row r="161" spans="1:9" x14ac:dyDescent="0.2">
      <c r="A161" s="28" t="s">
        <v>66</v>
      </c>
      <c r="B161" s="24" t="s">
        <v>28</v>
      </c>
      <c r="C161" s="24">
        <v>1</v>
      </c>
      <c r="D161" s="24" t="s">
        <v>350</v>
      </c>
      <c r="E161" s="24" t="s">
        <v>462</v>
      </c>
      <c r="F161" s="27" t="s">
        <v>67</v>
      </c>
      <c r="G161" s="25">
        <f>'изм июнь вед стр-ра'!G405</f>
        <v>30</v>
      </c>
      <c r="H161" s="25">
        <f>'изм июнь вед стр-ра'!H405</f>
        <v>0</v>
      </c>
      <c r="I161" s="25">
        <f>'изм июнь вед стр-ра'!I405</f>
        <v>0</v>
      </c>
    </row>
    <row r="162" spans="1:9" ht="25.5" x14ac:dyDescent="0.2">
      <c r="A162" s="28" t="s">
        <v>119</v>
      </c>
      <c r="B162" s="24" t="s">
        <v>28</v>
      </c>
      <c r="C162" s="24">
        <v>1</v>
      </c>
      <c r="D162" s="24" t="s">
        <v>350</v>
      </c>
      <c r="E162" s="24" t="s">
        <v>462</v>
      </c>
      <c r="F162" s="24" t="s">
        <v>62</v>
      </c>
      <c r="G162" s="25">
        <f>'изм июнь вед стр-ра'!G406+'изм июнь вед стр-ра'!G308</f>
        <v>149523</v>
      </c>
      <c r="H162" s="25">
        <f>'изм июнь вед стр-ра'!H406+'изм июнь вед стр-ра'!H308</f>
        <v>136088.70000000001</v>
      </c>
      <c r="I162" s="25">
        <f>'изм июнь вед стр-ра'!I406+'изм июнь вед стр-ра'!I308</f>
        <v>132574.1</v>
      </c>
    </row>
    <row r="163" spans="1:9" s="194" customFormat="1" ht="25.5" x14ac:dyDescent="0.2">
      <c r="A163" s="18" t="s">
        <v>545</v>
      </c>
      <c r="B163" s="19" t="s">
        <v>28</v>
      </c>
      <c r="C163" s="19">
        <v>1</v>
      </c>
      <c r="D163" s="19" t="s">
        <v>350</v>
      </c>
      <c r="E163" s="19" t="s">
        <v>547</v>
      </c>
      <c r="F163" s="19"/>
      <c r="G163" s="25">
        <f>G164</f>
        <v>15204.7</v>
      </c>
      <c r="H163" s="25">
        <f t="shared" ref="H163:I163" si="23">H164</f>
        <v>14605.6</v>
      </c>
      <c r="I163" s="25">
        <f t="shared" si="23"/>
        <v>14605.6</v>
      </c>
    </row>
    <row r="164" spans="1:9" s="194" customFormat="1" ht="25.5" x14ac:dyDescent="0.2">
      <c r="A164" s="28" t="s">
        <v>119</v>
      </c>
      <c r="B164" s="24" t="s">
        <v>28</v>
      </c>
      <c r="C164" s="24">
        <v>1</v>
      </c>
      <c r="D164" s="24" t="s">
        <v>350</v>
      </c>
      <c r="E164" s="24" t="s">
        <v>547</v>
      </c>
      <c r="F164" s="24" t="s">
        <v>62</v>
      </c>
      <c r="G164" s="25">
        <f>'изм июнь вед стр-ра'!G310</f>
        <v>15204.7</v>
      </c>
      <c r="H164" s="25">
        <f>'изм июнь вед стр-ра'!H310</f>
        <v>14605.6</v>
      </c>
      <c r="I164" s="25">
        <f>'изм июнь вед стр-ра'!I310</f>
        <v>14605.6</v>
      </c>
    </row>
    <row r="165" spans="1:9" ht="51" x14ac:dyDescent="0.2">
      <c r="A165" s="18" t="s">
        <v>206</v>
      </c>
      <c r="B165" s="19" t="s">
        <v>28</v>
      </c>
      <c r="C165" s="19">
        <v>1</v>
      </c>
      <c r="D165" s="19" t="s">
        <v>350</v>
      </c>
      <c r="E165" s="19" t="s">
        <v>461</v>
      </c>
      <c r="F165" s="19"/>
      <c r="G165" s="20">
        <f>G166+G167</f>
        <v>712.9</v>
      </c>
      <c r="H165" s="20">
        <f t="shared" ref="H165:I165" si="24">H166+H167</f>
        <v>592.79999999999995</v>
      </c>
      <c r="I165" s="20">
        <f t="shared" si="24"/>
        <v>592.79999999999995</v>
      </c>
    </row>
    <row r="166" spans="1:9" ht="25.5" x14ac:dyDescent="0.2">
      <c r="A166" s="30" t="s">
        <v>353</v>
      </c>
      <c r="B166" s="24" t="s">
        <v>28</v>
      </c>
      <c r="C166" s="24">
        <v>1</v>
      </c>
      <c r="D166" s="24" t="s">
        <v>350</v>
      </c>
      <c r="E166" s="24" t="s">
        <v>461</v>
      </c>
      <c r="F166" s="27" t="s">
        <v>65</v>
      </c>
      <c r="G166" s="25">
        <f>'изм июнь вед стр-ра'!G289</f>
        <v>661.8</v>
      </c>
      <c r="H166" s="25">
        <f>'изм июнь вед стр-ра'!H289</f>
        <v>540.79999999999995</v>
      </c>
      <c r="I166" s="25">
        <f>'изм июнь вед стр-ра'!I289</f>
        <v>540.79999999999995</v>
      </c>
    </row>
    <row r="167" spans="1:9" s="194" customFormat="1" x14ac:dyDescent="0.2">
      <c r="A167" s="30" t="s">
        <v>69</v>
      </c>
      <c r="B167" s="24" t="s">
        <v>28</v>
      </c>
      <c r="C167" s="24">
        <v>1</v>
      </c>
      <c r="D167" s="24" t="s">
        <v>350</v>
      </c>
      <c r="E167" s="24" t="s">
        <v>461</v>
      </c>
      <c r="F167" s="27" t="s">
        <v>70</v>
      </c>
      <c r="G167" s="25">
        <f>'изм июнь вед стр-ра'!G290</f>
        <v>51.1</v>
      </c>
      <c r="H167" s="25">
        <f>'изм июнь вед стр-ра'!H290</f>
        <v>52</v>
      </c>
      <c r="I167" s="25">
        <f>'изм июнь вед стр-ра'!I290</f>
        <v>52</v>
      </c>
    </row>
    <row r="168" spans="1:9" s="72" customFormat="1" ht="51" x14ac:dyDescent="0.2">
      <c r="A168" s="68" t="s">
        <v>206</v>
      </c>
      <c r="B168" s="70" t="s">
        <v>28</v>
      </c>
      <c r="C168" s="70">
        <v>1</v>
      </c>
      <c r="D168" s="70" t="s">
        <v>350</v>
      </c>
      <c r="E168" s="70" t="s">
        <v>460</v>
      </c>
      <c r="F168" s="70"/>
      <c r="G168" s="71">
        <f>G169+G170+G171</f>
        <v>7165.5000000000009</v>
      </c>
      <c r="H168" s="71">
        <f>H169+H170+H171</f>
        <v>3720.1</v>
      </c>
      <c r="I168" s="71">
        <f>I169+I170+I171</f>
        <v>2905.9999999999995</v>
      </c>
    </row>
    <row r="169" spans="1:9" s="72" customFormat="1" ht="51" x14ac:dyDescent="0.2">
      <c r="A169" s="73" t="s">
        <v>63</v>
      </c>
      <c r="B169" s="75" t="s">
        <v>28</v>
      </c>
      <c r="C169" s="75">
        <v>1</v>
      </c>
      <c r="D169" s="75" t="s">
        <v>350</v>
      </c>
      <c r="E169" s="75" t="s">
        <v>460</v>
      </c>
      <c r="F169" s="76" t="s">
        <v>64</v>
      </c>
      <c r="G169" s="55">
        <f>'изм июнь вед стр-ра'!G285</f>
        <v>3.3</v>
      </c>
      <c r="H169" s="55">
        <f>'изм июнь вед стр-ра'!H285</f>
        <v>0</v>
      </c>
      <c r="I169" s="55">
        <f>'изм июнь вед стр-ра'!I285</f>
        <v>0</v>
      </c>
    </row>
    <row r="170" spans="1:9" ht="25.5" x14ac:dyDescent="0.2">
      <c r="A170" s="30" t="s">
        <v>353</v>
      </c>
      <c r="B170" s="24" t="s">
        <v>28</v>
      </c>
      <c r="C170" s="24">
        <v>1</v>
      </c>
      <c r="D170" s="24" t="s">
        <v>350</v>
      </c>
      <c r="E170" s="24" t="s">
        <v>460</v>
      </c>
      <c r="F170" s="27" t="s">
        <v>65</v>
      </c>
      <c r="G170" s="55">
        <f>'изм июнь вед стр-ра'!G286</f>
        <v>6667.4000000000005</v>
      </c>
      <c r="H170" s="55">
        <f>'изм июнь вед стр-ра'!H286</f>
        <v>3467</v>
      </c>
      <c r="I170" s="55">
        <f>'изм июнь вед стр-ра'!I286</f>
        <v>2652.8999999999996</v>
      </c>
    </row>
    <row r="171" spans="1:9" x14ac:dyDescent="0.2">
      <c r="A171" s="28" t="s">
        <v>69</v>
      </c>
      <c r="B171" s="24" t="s">
        <v>28</v>
      </c>
      <c r="C171" s="24">
        <v>1</v>
      </c>
      <c r="D171" s="24" t="s">
        <v>350</v>
      </c>
      <c r="E171" s="24" t="s">
        <v>460</v>
      </c>
      <c r="F171" s="24" t="s">
        <v>70</v>
      </c>
      <c r="G171" s="55">
        <f>'изм июнь вед стр-ра'!G287</f>
        <v>494.79999999999995</v>
      </c>
      <c r="H171" s="55">
        <f>'изм июнь вед стр-ра'!H287</f>
        <v>253.10000000000002</v>
      </c>
      <c r="I171" s="55">
        <f>'изм июнь вед стр-ра'!I287</f>
        <v>253.10000000000002</v>
      </c>
    </row>
    <row r="172" spans="1:9" s="72" customFormat="1" ht="25.5" x14ac:dyDescent="0.2">
      <c r="A172" s="68" t="s">
        <v>284</v>
      </c>
      <c r="B172" s="70" t="s">
        <v>28</v>
      </c>
      <c r="C172" s="70">
        <v>1</v>
      </c>
      <c r="D172" s="70" t="s">
        <v>350</v>
      </c>
      <c r="E172" s="70" t="s">
        <v>459</v>
      </c>
      <c r="F172" s="70"/>
      <c r="G172" s="71">
        <f>G174+G173</f>
        <v>326.3</v>
      </c>
      <c r="H172" s="71">
        <f>H174+H173</f>
        <v>59.4</v>
      </c>
      <c r="I172" s="71">
        <f>I174+I173</f>
        <v>59.4</v>
      </c>
    </row>
    <row r="173" spans="1:9" ht="25.5" x14ac:dyDescent="0.2">
      <c r="A173" s="30" t="s">
        <v>353</v>
      </c>
      <c r="B173" s="24" t="s">
        <v>28</v>
      </c>
      <c r="C173" s="24">
        <v>1</v>
      </c>
      <c r="D173" s="24" t="s">
        <v>350</v>
      </c>
      <c r="E173" s="24" t="s">
        <v>459</v>
      </c>
      <c r="F173" s="24" t="s">
        <v>65</v>
      </c>
      <c r="G173" s="25">
        <f>'изм июнь вед стр-ра'!G324</f>
        <v>4.5</v>
      </c>
      <c r="H173" s="25">
        <f>'изм июнь вед стр-ра'!H324</f>
        <v>0</v>
      </c>
      <c r="I173" s="25">
        <f>'изм июнь вед стр-ра'!I324</f>
        <v>0</v>
      </c>
    </row>
    <row r="174" spans="1:9" s="72" customFormat="1" ht="25.5" x14ac:dyDescent="0.2">
      <c r="A174" s="80" t="s">
        <v>119</v>
      </c>
      <c r="B174" s="75" t="s">
        <v>28</v>
      </c>
      <c r="C174" s="75">
        <v>1</v>
      </c>
      <c r="D174" s="75" t="s">
        <v>350</v>
      </c>
      <c r="E174" s="75" t="s">
        <v>459</v>
      </c>
      <c r="F174" s="75" t="s">
        <v>62</v>
      </c>
      <c r="G174" s="55">
        <f>'изм июнь вед стр-ра'!G325+'изм июнь вед стр-ра'!G411</f>
        <v>321.8</v>
      </c>
      <c r="H174" s="55">
        <f>'изм июнь вед стр-ра'!H325+'изм июнь вед стр-ра'!H411</f>
        <v>59.4</v>
      </c>
      <c r="I174" s="55">
        <f>'изм июнь вед стр-ра'!I325+'изм июнь вед стр-ра'!I411</f>
        <v>59.4</v>
      </c>
    </row>
    <row r="175" spans="1:9" ht="25.5" x14ac:dyDescent="0.2">
      <c r="A175" s="18" t="s">
        <v>284</v>
      </c>
      <c r="B175" s="19" t="s">
        <v>28</v>
      </c>
      <c r="C175" s="19">
        <v>1</v>
      </c>
      <c r="D175" s="19" t="s">
        <v>350</v>
      </c>
      <c r="E175" s="19" t="s">
        <v>458</v>
      </c>
      <c r="F175" s="19"/>
      <c r="G175" s="20">
        <f>G176</f>
        <v>140</v>
      </c>
      <c r="H175" s="20">
        <f>H176</f>
        <v>0</v>
      </c>
      <c r="I175" s="20">
        <f>I176</f>
        <v>0</v>
      </c>
    </row>
    <row r="176" spans="1:9" ht="25.5" x14ac:dyDescent="0.2">
      <c r="A176" s="28" t="s">
        <v>119</v>
      </c>
      <c r="B176" s="24" t="s">
        <v>28</v>
      </c>
      <c r="C176" s="24">
        <v>1</v>
      </c>
      <c r="D176" s="24" t="s">
        <v>350</v>
      </c>
      <c r="E176" s="24" t="s">
        <v>458</v>
      </c>
      <c r="F176" s="24" t="s">
        <v>62</v>
      </c>
      <c r="G176" s="25">
        <f>'изм июнь вед стр-ра'!G322</f>
        <v>140</v>
      </c>
      <c r="H176" s="25">
        <f>'изм июнь вед стр-ра'!H322</f>
        <v>0</v>
      </c>
      <c r="I176" s="25">
        <f>'изм июнь вед стр-ра'!I322</f>
        <v>0</v>
      </c>
    </row>
    <row r="177" spans="1:9" ht="25.5" x14ac:dyDescent="0.2">
      <c r="A177" s="18" t="s">
        <v>149</v>
      </c>
      <c r="B177" s="19" t="s">
        <v>28</v>
      </c>
      <c r="C177" s="19">
        <v>1</v>
      </c>
      <c r="D177" s="19" t="s">
        <v>350</v>
      </c>
      <c r="E177" s="19" t="s">
        <v>457</v>
      </c>
      <c r="F177" s="19"/>
      <c r="G177" s="20">
        <f>G178</f>
        <v>121.1</v>
      </c>
      <c r="H177" s="20">
        <f t="shared" ref="H177:I177" si="25">H178</f>
        <v>121.1</v>
      </c>
      <c r="I177" s="20">
        <f t="shared" si="25"/>
        <v>121.1</v>
      </c>
    </row>
    <row r="178" spans="1:9" ht="25.5" x14ac:dyDescent="0.2">
      <c r="A178" s="30" t="s">
        <v>353</v>
      </c>
      <c r="B178" s="24" t="s">
        <v>28</v>
      </c>
      <c r="C178" s="24">
        <v>1</v>
      </c>
      <c r="D178" s="24" t="s">
        <v>350</v>
      </c>
      <c r="E178" s="24" t="s">
        <v>457</v>
      </c>
      <c r="F178" s="27" t="s">
        <v>65</v>
      </c>
      <c r="G178" s="25">
        <f>'изм июнь вед стр-ра'!G113+'изм июнь вед стр-ра'!G151</f>
        <v>121.1</v>
      </c>
      <c r="H178" s="25">
        <f>'изм июнь вед стр-ра'!H113+'изм июнь вед стр-ра'!H151</f>
        <v>121.1</v>
      </c>
      <c r="I178" s="25">
        <f>'изм июнь вед стр-ра'!I113+'изм июнь вед стр-ра'!I151</f>
        <v>121.1</v>
      </c>
    </row>
    <row r="179" spans="1:9" ht="37.5" customHeight="1" x14ac:dyDescent="0.2">
      <c r="A179" s="18" t="s">
        <v>285</v>
      </c>
      <c r="B179" s="19" t="s">
        <v>28</v>
      </c>
      <c r="C179" s="19">
        <v>1</v>
      </c>
      <c r="D179" s="19" t="s">
        <v>350</v>
      </c>
      <c r="E179" s="19" t="s">
        <v>456</v>
      </c>
      <c r="F179" s="19"/>
      <c r="G179" s="20">
        <f>G180+G181</f>
        <v>853.30000000000007</v>
      </c>
      <c r="H179" s="20">
        <f>H180+H181</f>
        <v>0</v>
      </c>
      <c r="I179" s="20">
        <f>I180+I181</f>
        <v>0</v>
      </c>
    </row>
    <row r="180" spans="1:9" ht="51" x14ac:dyDescent="0.2">
      <c r="A180" s="30" t="s">
        <v>63</v>
      </c>
      <c r="B180" s="24" t="s">
        <v>28</v>
      </c>
      <c r="C180" s="24">
        <v>1</v>
      </c>
      <c r="D180" s="24" t="s">
        <v>350</v>
      </c>
      <c r="E180" s="24" t="s">
        <v>456</v>
      </c>
      <c r="F180" s="27" t="s">
        <v>64</v>
      </c>
      <c r="G180" s="25">
        <f>'изм июнь вед стр-ра'!G313</f>
        <v>43.1</v>
      </c>
      <c r="H180" s="25">
        <f>'изм июнь вед стр-ра'!H313</f>
        <v>0</v>
      </c>
      <c r="I180" s="25">
        <f>'изм июнь вед стр-ра'!I313</f>
        <v>0</v>
      </c>
    </row>
    <row r="181" spans="1:9" ht="25.5" x14ac:dyDescent="0.2">
      <c r="A181" s="28" t="s">
        <v>119</v>
      </c>
      <c r="B181" s="24" t="s">
        <v>28</v>
      </c>
      <c r="C181" s="24">
        <v>1</v>
      </c>
      <c r="D181" s="24" t="s">
        <v>350</v>
      </c>
      <c r="E181" s="24" t="s">
        <v>456</v>
      </c>
      <c r="F181" s="24" t="s">
        <v>62</v>
      </c>
      <c r="G181" s="25">
        <f>'изм июнь вед стр-ра'!G314</f>
        <v>810.2</v>
      </c>
      <c r="H181" s="25">
        <f>'изм июнь вед стр-ра'!H314</f>
        <v>0</v>
      </c>
      <c r="I181" s="25">
        <f>'изм июнь вед стр-ра'!I314</f>
        <v>0</v>
      </c>
    </row>
    <row r="182" spans="1:9" s="72" customFormat="1" ht="25.5" x14ac:dyDescent="0.2">
      <c r="A182" s="68" t="s">
        <v>213</v>
      </c>
      <c r="B182" s="70" t="s">
        <v>28</v>
      </c>
      <c r="C182" s="70">
        <v>1</v>
      </c>
      <c r="D182" s="70" t="s">
        <v>350</v>
      </c>
      <c r="E182" s="70" t="s">
        <v>455</v>
      </c>
      <c r="F182" s="70"/>
      <c r="G182" s="71">
        <f>G185+G184+G183</f>
        <v>567.70000000000005</v>
      </c>
      <c r="H182" s="71">
        <f>H185+H184+H183</f>
        <v>516.1</v>
      </c>
      <c r="I182" s="71">
        <f>I185+I184+I183</f>
        <v>516.1</v>
      </c>
    </row>
    <row r="183" spans="1:9" ht="51" x14ac:dyDescent="0.2">
      <c r="A183" s="30" t="s">
        <v>63</v>
      </c>
      <c r="B183" s="24" t="s">
        <v>28</v>
      </c>
      <c r="C183" s="24">
        <v>1</v>
      </c>
      <c r="D183" s="24" t="s">
        <v>350</v>
      </c>
      <c r="E183" s="24" t="s">
        <v>455</v>
      </c>
      <c r="F183" s="24" t="s">
        <v>64</v>
      </c>
      <c r="G183" s="25">
        <f>'изм июнь вед стр-ра'!G327</f>
        <v>20.6</v>
      </c>
      <c r="H183" s="25">
        <f>'изм июнь вед стр-ра'!H327</f>
        <v>20.6</v>
      </c>
      <c r="I183" s="25">
        <f>'изм июнь вед стр-ра'!I327</f>
        <v>20.6</v>
      </c>
    </row>
    <row r="184" spans="1:9" s="72" customFormat="1" ht="25.5" x14ac:dyDescent="0.2">
      <c r="A184" s="73" t="s">
        <v>353</v>
      </c>
      <c r="B184" s="75" t="s">
        <v>28</v>
      </c>
      <c r="C184" s="75">
        <v>1</v>
      </c>
      <c r="D184" s="75" t="s">
        <v>350</v>
      </c>
      <c r="E184" s="75" t="s">
        <v>455</v>
      </c>
      <c r="F184" s="75" t="s">
        <v>65</v>
      </c>
      <c r="G184" s="25">
        <f>'изм июнь вед стр-ра'!G328</f>
        <v>51.6</v>
      </c>
      <c r="H184" s="25">
        <f>'изм июнь вед стр-ра'!H328</f>
        <v>0</v>
      </c>
      <c r="I184" s="25">
        <f>'изм июнь вед стр-ра'!I328</f>
        <v>0</v>
      </c>
    </row>
    <row r="185" spans="1:9" s="72" customFormat="1" ht="25.5" x14ac:dyDescent="0.2">
      <c r="A185" s="80" t="s">
        <v>119</v>
      </c>
      <c r="B185" s="75" t="s">
        <v>28</v>
      </c>
      <c r="C185" s="75">
        <v>1</v>
      </c>
      <c r="D185" s="75" t="s">
        <v>350</v>
      </c>
      <c r="E185" s="75" t="s">
        <v>455</v>
      </c>
      <c r="F185" s="75" t="s">
        <v>62</v>
      </c>
      <c r="G185" s="25">
        <f>'изм июнь вед стр-ра'!G329</f>
        <v>495.5</v>
      </c>
      <c r="H185" s="25">
        <f>'изм июнь вед стр-ра'!H329</f>
        <v>495.5</v>
      </c>
      <c r="I185" s="25">
        <f>'изм июнь вед стр-ра'!I329</f>
        <v>495.5</v>
      </c>
    </row>
    <row r="186" spans="1:9" s="72" customFormat="1" ht="25.5" x14ac:dyDescent="0.2">
      <c r="A186" s="18" t="s">
        <v>339</v>
      </c>
      <c r="B186" s="75" t="s">
        <v>28</v>
      </c>
      <c r="C186" s="75">
        <v>1</v>
      </c>
      <c r="D186" s="75" t="s">
        <v>350</v>
      </c>
      <c r="E186" s="19" t="s">
        <v>375</v>
      </c>
      <c r="F186" s="19"/>
      <c r="G186" s="20">
        <f>G187</f>
        <v>2518.13</v>
      </c>
      <c r="H186" s="20">
        <f t="shared" ref="H186:I186" si="26">H187</f>
        <v>0</v>
      </c>
      <c r="I186" s="20">
        <f t="shared" si="26"/>
        <v>0</v>
      </c>
    </row>
    <row r="187" spans="1:9" s="72" customFormat="1" ht="25.5" x14ac:dyDescent="0.2">
      <c r="A187" s="28" t="s">
        <v>119</v>
      </c>
      <c r="B187" s="75" t="s">
        <v>28</v>
      </c>
      <c r="C187" s="75">
        <v>1</v>
      </c>
      <c r="D187" s="75" t="s">
        <v>350</v>
      </c>
      <c r="E187" s="24" t="s">
        <v>375</v>
      </c>
      <c r="F187" s="24" t="s">
        <v>62</v>
      </c>
      <c r="G187" s="25">
        <f>'изм июнь вед стр-ра'!G262</f>
        <v>2518.13</v>
      </c>
      <c r="H187" s="25">
        <f>'изм июнь вед стр-ра'!H262</f>
        <v>0</v>
      </c>
      <c r="I187" s="25">
        <f>'изм июнь вед стр-ра'!I262</f>
        <v>0</v>
      </c>
    </row>
    <row r="188" spans="1:9" s="72" customFormat="1" ht="38.25" x14ac:dyDescent="0.2">
      <c r="A188" s="18" t="s">
        <v>680</v>
      </c>
      <c r="B188" s="19" t="s">
        <v>28</v>
      </c>
      <c r="C188" s="19">
        <v>1</v>
      </c>
      <c r="D188" s="19" t="s">
        <v>350</v>
      </c>
      <c r="E188" s="19" t="s">
        <v>541</v>
      </c>
      <c r="F188" s="75"/>
      <c r="G188" s="20">
        <f>G190+G189</f>
        <v>14556.4</v>
      </c>
      <c r="H188" s="20">
        <f t="shared" ref="H188:I188" si="27">H190+H189</f>
        <v>43669.1</v>
      </c>
      <c r="I188" s="20">
        <f t="shared" si="27"/>
        <v>43669.1</v>
      </c>
    </row>
    <row r="189" spans="1:9" s="72" customFormat="1" ht="51" x14ac:dyDescent="0.2">
      <c r="A189" s="73" t="s">
        <v>63</v>
      </c>
      <c r="B189" s="19" t="s">
        <v>28</v>
      </c>
      <c r="C189" s="19">
        <v>1</v>
      </c>
      <c r="D189" s="19" t="s">
        <v>350</v>
      </c>
      <c r="E189" s="19" t="s">
        <v>541</v>
      </c>
      <c r="F189" s="75" t="s">
        <v>64</v>
      </c>
      <c r="G189" s="25">
        <f>'изм июнь вед стр-ра'!G267</f>
        <v>1562.4</v>
      </c>
      <c r="H189" s="25">
        <f>'изм июнь вед стр-ра'!H267</f>
        <v>4687.2</v>
      </c>
      <c r="I189" s="25">
        <f>'изм июнь вед стр-ра'!I267</f>
        <v>4687.2</v>
      </c>
    </row>
    <row r="190" spans="1:9" s="72" customFormat="1" ht="25.5" x14ac:dyDescent="0.2">
      <c r="A190" s="80" t="s">
        <v>119</v>
      </c>
      <c r="B190" s="19" t="s">
        <v>28</v>
      </c>
      <c r="C190" s="19">
        <v>1</v>
      </c>
      <c r="D190" s="19" t="s">
        <v>350</v>
      </c>
      <c r="E190" s="19" t="s">
        <v>541</v>
      </c>
      <c r="F190" s="75" t="s">
        <v>62</v>
      </c>
      <c r="G190" s="25">
        <f>'изм июнь вед стр-ра'!G268</f>
        <v>12994</v>
      </c>
      <c r="H190" s="25">
        <f>'изм июнь вед стр-ра'!H268</f>
        <v>38981.9</v>
      </c>
      <c r="I190" s="25">
        <f>'изм июнь вед стр-ра'!I268</f>
        <v>38981.9</v>
      </c>
    </row>
    <row r="191" spans="1:9" ht="51" x14ac:dyDescent="0.2">
      <c r="A191" s="53" t="s">
        <v>297</v>
      </c>
      <c r="B191" s="19" t="s">
        <v>28</v>
      </c>
      <c r="C191" s="19">
        <v>1</v>
      </c>
      <c r="D191" s="19" t="s">
        <v>350</v>
      </c>
      <c r="E191" s="19">
        <v>71800</v>
      </c>
      <c r="F191" s="19"/>
      <c r="G191" s="20">
        <f>G194+G192+G193</f>
        <v>264133.59999999998</v>
      </c>
      <c r="H191" s="20">
        <f>H194+H192+H193</f>
        <v>264200</v>
      </c>
      <c r="I191" s="20">
        <f>I194+I192+I193</f>
        <v>264200</v>
      </c>
    </row>
    <row r="192" spans="1:9" s="72" customFormat="1" ht="51" x14ac:dyDescent="0.2">
      <c r="A192" s="73" t="s">
        <v>63</v>
      </c>
      <c r="B192" s="75" t="s">
        <v>28</v>
      </c>
      <c r="C192" s="75">
        <v>1</v>
      </c>
      <c r="D192" s="75" t="s">
        <v>350</v>
      </c>
      <c r="E192" s="75">
        <v>71800</v>
      </c>
      <c r="F192" s="76" t="s">
        <v>64</v>
      </c>
      <c r="G192" s="55">
        <f>'изм июнь вед стр-ра'!G250</f>
        <v>48482</v>
      </c>
      <c r="H192" s="55">
        <f>'изм июнь вед стр-ра'!H250</f>
        <v>47990</v>
      </c>
      <c r="I192" s="55">
        <f>'изм июнь вед стр-ра'!I250</f>
        <v>47990</v>
      </c>
    </row>
    <row r="193" spans="1:9" ht="25.5" x14ac:dyDescent="0.2">
      <c r="A193" s="30" t="s">
        <v>353</v>
      </c>
      <c r="B193" s="24" t="s">
        <v>28</v>
      </c>
      <c r="C193" s="24">
        <v>1</v>
      </c>
      <c r="D193" s="24" t="s">
        <v>350</v>
      </c>
      <c r="E193" s="24">
        <v>71800</v>
      </c>
      <c r="F193" s="27" t="s">
        <v>65</v>
      </c>
      <c r="G193" s="55">
        <f>'изм июнь вед стр-ра'!G251</f>
        <v>186.5</v>
      </c>
      <c r="H193" s="55">
        <f>'изм июнь вед стр-ра'!H251</f>
        <v>189.2</v>
      </c>
      <c r="I193" s="55">
        <f>'изм июнь вед стр-ра'!I251</f>
        <v>189.2</v>
      </c>
    </row>
    <row r="194" spans="1:9" s="77" customFormat="1" ht="25.5" x14ac:dyDescent="0.2">
      <c r="A194" s="80" t="s">
        <v>119</v>
      </c>
      <c r="B194" s="75" t="s">
        <v>28</v>
      </c>
      <c r="C194" s="75">
        <v>1</v>
      </c>
      <c r="D194" s="75" t="s">
        <v>350</v>
      </c>
      <c r="E194" s="75">
        <v>71800</v>
      </c>
      <c r="F194" s="75" t="s">
        <v>62</v>
      </c>
      <c r="G194" s="55">
        <f>'изм июнь вед стр-ра'!G252</f>
        <v>215465.09999999998</v>
      </c>
      <c r="H194" s="55">
        <f>'изм июнь вед стр-ра'!H252</f>
        <v>216020.8</v>
      </c>
      <c r="I194" s="55">
        <f>'изм июнь вед стр-ра'!I252</f>
        <v>216020.8</v>
      </c>
    </row>
    <row r="195" spans="1:9" ht="25.5" x14ac:dyDescent="0.2">
      <c r="A195" s="18" t="s">
        <v>200</v>
      </c>
      <c r="B195" s="19" t="s">
        <v>28</v>
      </c>
      <c r="C195" s="19">
        <v>1</v>
      </c>
      <c r="D195" s="19" t="s">
        <v>350</v>
      </c>
      <c r="E195" s="19">
        <v>71820</v>
      </c>
      <c r="F195" s="19"/>
      <c r="G195" s="20">
        <f>G196+G198+G197</f>
        <v>50552</v>
      </c>
      <c r="H195" s="20">
        <f>H196+H198+H197</f>
        <v>50552</v>
      </c>
      <c r="I195" s="20">
        <f>I196+I198+I197</f>
        <v>50552</v>
      </c>
    </row>
    <row r="196" spans="1:9" s="72" customFormat="1" ht="51" x14ac:dyDescent="0.2">
      <c r="A196" s="73" t="s">
        <v>63</v>
      </c>
      <c r="B196" s="75" t="s">
        <v>28</v>
      </c>
      <c r="C196" s="75">
        <v>1</v>
      </c>
      <c r="D196" s="75" t="s">
        <v>350</v>
      </c>
      <c r="E196" s="75">
        <v>71820</v>
      </c>
      <c r="F196" s="76" t="s">
        <v>64</v>
      </c>
      <c r="G196" s="55">
        <f>'изм июнь вед стр-ра'!G270</f>
        <v>35906.6</v>
      </c>
      <c r="H196" s="55">
        <f>'изм июнь вед стр-ра'!H270</f>
        <v>35906.6</v>
      </c>
      <c r="I196" s="55">
        <f>'изм июнь вед стр-ра'!I270</f>
        <v>35906.6</v>
      </c>
    </row>
    <row r="197" spans="1:9" s="72" customFormat="1" ht="25.5" x14ac:dyDescent="0.2">
      <c r="A197" s="73" t="s">
        <v>353</v>
      </c>
      <c r="B197" s="75" t="s">
        <v>28</v>
      </c>
      <c r="C197" s="75" t="s">
        <v>391</v>
      </c>
      <c r="D197" s="75" t="s">
        <v>350</v>
      </c>
      <c r="E197" s="75">
        <v>71820</v>
      </c>
      <c r="F197" s="76" t="s">
        <v>65</v>
      </c>
      <c r="G197" s="55">
        <f>'изм июнь вед стр-ра'!G271</f>
        <v>14203.5</v>
      </c>
      <c r="H197" s="55">
        <f>'изм июнь вед стр-ра'!H271</f>
        <v>14203.5</v>
      </c>
      <c r="I197" s="55">
        <f>'изм июнь вед стр-ра'!I271</f>
        <v>14203.5</v>
      </c>
    </row>
    <row r="198" spans="1:9" x14ac:dyDescent="0.2">
      <c r="A198" s="28" t="s">
        <v>69</v>
      </c>
      <c r="B198" s="24" t="s">
        <v>28</v>
      </c>
      <c r="C198" s="24">
        <v>1</v>
      </c>
      <c r="D198" s="24" t="s">
        <v>350</v>
      </c>
      <c r="E198" s="24">
        <v>71820</v>
      </c>
      <c r="F198" s="24" t="s">
        <v>70</v>
      </c>
      <c r="G198" s="55">
        <f>'изм июнь вед стр-ра'!G272</f>
        <v>441.9</v>
      </c>
      <c r="H198" s="55">
        <f>'изм июнь вед стр-ра'!H272</f>
        <v>441.9</v>
      </c>
      <c r="I198" s="55">
        <f>'изм июнь вед стр-ра'!I272</f>
        <v>441.9</v>
      </c>
    </row>
    <row r="199" spans="1:9" ht="63.75" x14ac:dyDescent="0.2">
      <c r="A199" s="18" t="s">
        <v>454</v>
      </c>
      <c r="B199" s="19" t="s">
        <v>28</v>
      </c>
      <c r="C199" s="19">
        <v>1</v>
      </c>
      <c r="D199" s="19" t="s">
        <v>350</v>
      </c>
      <c r="E199" s="19">
        <v>71830</v>
      </c>
      <c r="F199" s="19"/>
      <c r="G199" s="20">
        <f>G202+G201+G200</f>
        <v>425356</v>
      </c>
      <c r="H199" s="20">
        <f>H202+H201+H200</f>
        <v>425320</v>
      </c>
      <c r="I199" s="20">
        <f>I202+I201+I200</f>
        <v>425320</v>
      </c>
    </row>
    <row r="200" spans="1:9" s="72" customFormat="1" ht="51" x14ac:dyDescent="0.2">
      <c r="A200" s="73" t="s">
        <v>63</v>
      </c>
      <c r="B200" s="75" t="s">
        <v>28</v>
      </c>
      <c r="C200" s="75">
        <v>1</v>
      </c>
      <c r="D200" s="75" t="s">
        <v>350</v>
      </c>
      <c r="E200" s="75">
        <v>71830</v>
      </c>
      <c r="F200" s="76" t="s">
        <v>64</v>
      </c>
      <c r="G200" s="55">
        <f>'изм июнь вед стр-ра'!G274</f>
        <v>68800.900000000009</v>
      </c>
      <c r="H200" s="55">
        <f>'изм июнь вед стр-ра'!H274</f>
        <v>68800.900000000009</v>
      </c>
      <c r="I200" s="55">
        <f>'изм июнь вед стр-ра'!I274</f>
        <v>68800.900000000009</v>
      </c>
    </row>
    <row r="201" spans="1:9" s="72" customFormat="1" ht="25.5" x14ac:dyDescent="0.2">
      <c r="A201" s="73" t="s">
        <v>353</v>
      </c>
      <c r="B201" s="75" t="s">
        <v>28</v>
      </c>
      <c r="C201" s="75">
        <v>1</v>
      </c>
      <c r="D201" s="75" t="s">
        <v>350</v>
      </c>
      <c r="E201" s="75">
        <v>71830</v>
      </c>
      <c r="F201" s="76" t="s">
        <v>65</v>
      </c>
      <c r="G201" s="55">
        <f>'изм июнь вед стр-ра'!G275</f>
        <v>2061.1</v>
      </c>
      <c r="H201" s="55">
        <f>'изм июнь вед стр-ра'!H275</f>
        <v>2061.1</v>
      </c>
      <c r="I201" s="55">
        <f>'изм июнь вед стр-ра'!I275</f>
        <v>2061.1</v>
      </c>
    </row>
    <row r="202" spans="1:9" s="72" customFormat="1" ht="25.5" x14ac:dyDescent="0.2">
      <c r="A202" s="80" t="s">
        <v>119</v>
      </c>
      <c r="B202" s="75" t="s">
        <v>28</v>
      </c>
      <c r="C202" s="75">
        <v>1</v>
      </c>
      <c r="D202" s="75" t="s">
        <v>350</v>
      </c>
      <c r="E202" s="75">
        <v>71830</v>
      </c>
      <c r="F202" s="75" t="s">
        <v>62</v>
      </c>
      <c r="G202" s="55">
        <f>'изм июнь вед стр-ра'!G276</f>
        <v>354494</v>
      </c>
      <c r="H202" s="55">
        <f>'изм июнь вед стр-ра'!H276</f>
        <v>354458</v>
      </c>
      <c r="I202" s="55">
        <f>'изм июнь вед стр-ра'!I276</f>
        <v>354458</v>
      </c>
    </row>
    <row r="203" spans="1:9" ht="38.25" x14ac:dyDescent="0.2">
      <c r="A203" s="18" t="s">
        <v>201</v>
      </c>
      <c r="B203" s="19" t="s">
        <v>28</v>
      </c>
      <c r="C203" s="19">
        <v>1</v>
      </c>
      <c r="D203" s="19" t="s">
        <v>350</v>
      </c>
      <c r="E203" s="19">
        <v>71840</v>
      </c>
      <c r="F203" s="19"/>
      <c r="G203" s="20">
        <f>G204+G205</f>
        <v>4380.1000000000004</v>
      </c>
      <c r="H203" s="20">
        <f t="shared" ref="H203:I203" si="28">H204+H205</f>
        <v>3880.1</v>
      </c>
      <c r="I203" s="20">
        <f t="shared" si="28"/>
        <v>3880.1</v>
      </c>
    </row>
    <row r="204" spans="1:9" ht="25.5" x14ac:dyDescent="0.2">
      <c r="A204" s="30" t="s">
        <v>353</v>
      </c>
      <c r="B204" s="24" t="s">
        <v>28</v>
      </c>
      <c r="C204" s="24">
        <v>1</v>
      </c>
      <c r="D204" s="24" t="s">
        <v>350</v>
      </c>
      <c r="E204" s="24">
        <v>71840</v>
      </c>
      <c r="F204" s="27" t="s">
        <v>65</v>
      </c>
      <c r="G204" s="25">
        <f>'изм июнь вед стр-ра'!G278</f>
        <v>3473.3</v>
      </c>
      <c r="H204" s="25">
        <f>'изм июнь вед стр-ра'!H278</f>
        <v>3880.1</v>
      </c>
      <c r="I204" s="25">
        <f>'изм июнь вед стр-ра'!I278</f>
        <v>3880.1</v>
      </c>
    </row>
    <row r="205" spans="1:9" s="194" customFormat="1" x14ac:dyDescent="0.2">
      <c r="A205" s="28" t="s">
        <v>66</v>
      </c>
      <c r="B205" s="24" t="s">
        <v>28</v>
      </c>
      <c r="C205" s="24">
        <v>1</v>
      </c>
      <c r="D205" s="24" t="s">
        <v>350</v>
      </c>
      <c r="E205" s="24">
        <v>71840</v>
      </c>
      <c r="F205" s="27" t="s">
        <v>67</v>
      </c>
      <c r="G205" s="25">
        <f>'изм июнь вед стр-ра'!G279</f>
        <v>906.8</v>
      </c>
      <c r="H205" s="25">
        <f>'изм июнь вед стр-ра'!H279</f>
        <v>0</v>
      </c>
      <c r="I205" s="25">
        <f>'изм июнь вед стр-ра'!I279</f>
        <v>0</v>
      </c>
    </row>
    <row r="206" spans="1:9" ht="25.5" x14ac:dyDescent="0.2">
      <c r="A206" s="18" t="s">
        <v>202</v>
      </c>
      <c r="B206" s="24" t="s">
        <v>28</v>
      </c>
      <c r="C206" s="19" t="s">
        <v>391</v>
      </c>
      <c r="D206" s="19" t="s">
        <v>350</v>
      </c>
      <c r="E206" s="19" t="s">
        <v>453</v>
      </c>
      <c r="F206" s="19"/>
      <c r="G206" s="20">
        <f>G208+G207</f>
        <v>365</v>
      </c>
      <c r="H206" s="20">
        <f>H208+H207</f>
        <v>365</v>
      </c>
      <c r="I206" s="20">
        <f>I208+I207</f>
        <v>365</v>
      </c>
    </row>
    <row r="207" spans="1:9" ht="25.5" x14ac:dyDescent="0.2">
      <c r="A207" s="30" t="s">
        <v>353</v>
      </c>
      <c r="B207" s="24" t="s">
        <v>28</v>
      </c>
      <c r="C207" s="24" t="s">
        <v>391</v>
      </c>
      <c r="D207" s="24" t="s">
        <v>350</v>
      </c>
      <c r="E207" s="19" t="s">
        <v>453</v>
      </c>
      <c r="F207" s="24" t="s">
        <v>65</v>
      </c>
      <c r="G207" s="25">
        <f>'изм июнь вед стр-ра'!G294</f>
        <v>38.400000000000006</v>
      </c>
      <c r="H207" s="25">
        <f>'изм июнь вед стр-ра'!H294</f>
        <v>57.7</v>
      </c>
      <c r="I207" s="25">
        <f>'изм июнь вед стр-ра'!I294</f>
        <v>57.7</v>
      </c>
    </row>
    <row r="208" spans="1:9" ht="25.5" x14ac:dyDescent="0.2">
      <c r="A208" s="28" t="s">
        <v>119</v>
      </c>
      <c r="B208" s="24" t="s">
        <v>28</v>
      </c>
      <c r="C208" s="24" t="s">
        <v>391</v>
      </c>
      <c r="D208" s="24" t="s">
        <v>350</v>
      </c>
      <c r="E208" s="19" t="s">
        <v>453</v>
      </c>
      <c r="F208" s="24" t="s">
        <v>62</v>
      </c>
      <c r="G208" s="25">
        <f>'изм июнь вед стр-ра'!G295+'изм июнь вед стр-ра'!G306</f>
        <v>326.60000000000002</v>
      </c>
      <c r="H208" s="25">
        <f>'изм июнь вед стр-ра'!H295+'изм июнь вед стр-ра'!H306</f>
        <v>307.3</v>
      </c>
      <c r="I208" s="25">
        <f>'изм июнь вед стр-ра'!I295+'изм июнь вед стр-ра'!I306</f>
        <v>307.3</v>
      </c>
    </row>
    <row r="209" spans="1:9" ht="25.5" x14ac:dyDescent="0.2">
      <c r="A209" s="18" t="s">
        <v>160</v>
      </c>
      <c r="B209" s="24" t="s">
        <v>28</v>
      </c>
      <c r="C209" s="19" t="s">
        <v>391</v>
      </c>
      <c r="D209" s="19" t="s">
        <v>350</v>
      </c>
      <c r="E209" s="19" t="s">
        <v>452</v>
      </c>
      <c r="F209" s="19"/>
      <c r="G209" s="20">
        <f>G211+G210</f>
        <v>4445</v>
      </c>
      <c r="H209" s="20">
        <f>H211+H210</f>
        <v>4445</v>
      </c>
      <c r="I209" s="20">
        <f>I211+I210</f>
        <v>4445</v>
      </c>
    </row>
    <row r="210" spans="1:9" ht="25.5" x14ac:dyDescent="0.2">
      <c r="A210" s="30" t="s">
        <v>353</v>
      </c>
      <c r="B210" s="24" t="s">
        <v>28</v>
      </c>
      <c r="C210" s="24" t="s">
        <v>391</v>
      </c>
      <c r="D210" s="24" t="s">
        <v>350</v>
      </c>
      <c r="E210" s="24" t="s">
        <v>452</v>
      </c>
      <c r="F210" s="24" t="s">
        <v>65</v>
      </c>
      <c r="G210" s="25">
        <f>'изм июнь вед стр-ра'!G319</f>
        <v>113.4</v>
      </c>
      <c r="H210" s="25">
        <f>'изм июнь вед стр-ра'!H319</f>
        <v>101.25</v>
      </c>
      <c r="I210" s="25">
        <f>'изм июнь вед стр-ра'!I319</f>
        <v>101.25</v>
      </c>
    </row>
    <row r="211" spans="1:9" s="72" customFormat="1" ht="25.5" x14ac:dyDescent="0.2">
      <c r="A211" s="80" t="s">
        <v>119</v>
      </c>
      <c r="B211" s="75" t="s">
        <v>28</v>
      </c>
      <c r="C211" s="75" t="s">
        <v>391</v>
      </c>
      <c r="D211" s="75" t="s">
        <v>350</v>
      </c>
      <c r="E211" s="75" t="s">
        <v>452</v>
      </c>
      <c r="F211" s="75" t="s">
        <v>62</v>
      </c>
      <c r="G211" s="55">
        <f>'изм июнь вед стр-ра'!G320+'изм июнь вед стр-ра'!G409</f>
        <v>4331.6000000000004</v>
      </c>
      <c r="H211" s="55">
        <f>'изм июнь вед стр-ра'!H320+'изм июнь вед стр-ра'!H409</f>
        <v>4343.75</v>
      </c>
      <c r="I211" s="55">
        <f>'изм июнь вед стр-ра'!I320+'изм июнь вед стр-ра'!I409</f>
        <v>4343.75</v>
      </c>
    </row>
    <row r="212" spans="1:9" s="72" customFormat="1" ht="51" x14ac:dyDescent="0.2">
      <c r="A212" s="18" t="s">
        <v>671</v>
      </c>
      <c r="B212" s="70" t="s">
        <v>28</v>
      </c>
      <c r="C212" s="70" t="s">
        <v>391</v>
      </c>
      <c r="D212" s="70" t="s">
        <v>674</v>
      </c>
      <c r="E212" s="19" t="s">
        <v>673</v>
      </c>
      <c r="F212" s="19"/>
      <c r="G212" s="71">
        <f>G213</f>
        <v>0</v>
      </c>
      <c r="H212" s="71">
        <f t="shared" ref="H212:I212" si="29">H213</f>
        <v>0</v>
      </c>
      <c r="I212" s="71">
        <f t="shared" si="29"/>
        <v>4550</v>
      </c>
    </row>
    <row r="213" spans="1:9" s="72" customFormat="1" ht="25.5" x14ac:dyDescent="0.2">
      <c r="A213" s="28" t="s">
        <v>119</v>
      </c>
      <c r="B213" s="75" t="s">
        <v>28</v>
      </c>
      <c r="C213" s="75" t="s">
        <v>391</v>
      </c>
      <c r="D213" s="75" t="s">
        <v>674</v>
      </c>
      <c r="E213" s="24" t="s">
        <v>673</v>
      </c>
      <c r="F213" s="24" t="s">
        <v>62</v>
      </c>
      <c r="G213" s="55">
        <f>'изм июнь вед стр-ра'!G403</f>
        <v>0</v>
      </c>
      <c r="H213" s="55">
        <f>'изм июнь вед стр-ра'!H403</f>
        <v>0</v>
      </c>
      <c r="I213" s="55">
        <f>'изм июнь вед стр-ра'!I403</f>
        <v>4550</v>
      </c>
    </row>
    <row r="214" spans="1:9" s="72" customFormat="1" x14ac:dyDescent="0.2">
      <c r="A214" s="132" t="s">
        <v>451</v>
      </c>
      <c r="B214" s="130" t="s">
        <v>28</v>
      </c>
      <c r="C214" s="130" t="s">
        <v>387</v>
      </c>
      <c r="D214" s="130"/>
      <c r="E214" s="130"/>
      <c r="F214" s="130"/>
      <c r="G214" s="129">
        <f>SUM(G215,G218,G222,G229,G232,G234,G238,G241,G245)+G226+G220+G247+G249+G236+G243+G252</f>
        <v>53921</v>
      </c>
      <c r="H214" s="129">
        <f t="shared" ref="H214:I214" si="30">SUM(H215,H218,H222,H229,H232,H234,H238,H241,H245)+H226+H220+H247+H249+H236+H243+H252</f>
        <v>53944</v>
      </c>
      <c r="I214" s="129">
        <f t="shared" si="30"/>
        <v>53964</v>
      </c>
    </row>
    <row r="215" spans="1:9" s="72" customFormat="1" x14ac:dyDescent="0.2">
      <c r="A215" s="68" t="s">
        <v>286</v>
      </c>
      <c r="B215" s="70" t="s">
        <v>28</v>
      </c>
      <c r="C215" s="70">
        <v>2</v>
      </c>
      <c r="D215" s="70" t="s">
        <v>350</v>
      </c>
      <c r="E215" s="70" t="s">
        <v>450</v>
      </c>
      <c r="F215" s="70"/>
      <c r="G215" s="71">
        <f>G217+G216</f>
        <v>250</v>
      </c>
      <c r="H215" s="71">
        <f>H217+H216</f>
        <v>0</v>
      </c>
      <c r="I215" s="71">
        <f>I217+I216</f>
        <v>0</v>
      </c>
    </row>
    <row r="216" spans="1:9" x14ac:dyDescent="0.2">
      <c r="A216" s="28" t="s">
        <v>66</v>
      </c>
      <c r="B216" s="19" t="s">
        <v>28</v>
      </c>
      <c r="C216" s="19">
        <v>2</v>
      </c>
      <c r="D216" s="19" t="s">
        <v>350</v>
      </c>
      <c r="E216" s="19" t="s">
        <v>450</v>
      </c>
      <c r="F216" s="24" t="s">
        <v>67</v>
      </c>
      <c r="G216" s="25">
        <f>'изм июнь вед стр-ра'!G300</f>
        <v>20</v>
      </c>
      <c r="H216" s="25">
        <f>'изм июнь вед стр-ра'!H300</f>
        <v>0</v>
      </c>
      <c r="I216" s="25">
        <f>'изм июнь вед стр-ра'!I300</f>
        <v>0</v>
      </c>
    </row>
    <row r="217" spans="1:9" s="72" customFormat="1" ht="25.5" x14ac:dyDescent="0.2">
      <c r="A217" s="80" t="s">
        <v>119</v>
      </c>
      <c r="B217" s="70" t="s">
        <v>28</v>
      </c>
      <c r="C217" s="70">
        <v>2</v>
      </c>
      <c r="D217" s="70" t="s">
        <v>350</v>
      </c>
      <c r="E217" s="70" t="s">
        <v>450</v>
      </c>
      <c r="F217" s="75" t="s">
        <v>62</v>
      </c>
      <c r="G217" s="25">
        <f>'изм июнь вед стр-ра'!G301</f>
        <v>230</v>
      </c>
      <c r="H217" s="25">
        <f>'изм июнь вед стр-ра'!H301</f>
        <v>0</v>
      </c>
      <c r="I217" s="25">
        <f>'изм июнь вед стр-ра'!I301</f>
        <v>0</v>
      </c>
    </row>
    <row r="218" spans="1:9" ht="25.5" x14ac:dyDescent="0.2">
      <c r="A218" s="18" t="s">
        <v>221</v>
      </c>
      <c r="B218" s="19" t="s">
        <v>28</v>
      </c>
      <c r="C218" s="19">
        <v>2</v>
      </c>
      <c r="D218" s="19" t="s">
        <v>350</v>
      </c>
      <c r="E218" s="19">
        <v>52600</v>
      </c>
      <c r="F218" s="19"/>
      <c r="G218" s="20">
        <f>G219</f>
        <v>1200</v>
      </c>
      <c r="H218" s="20">
        <f>H219</f>
        <v>1310</v>
      </c>
      <c r="I218" s="20">
        <f>I219</f>
        <v>1330</v>
      </c>
    </row>
    <row r="219" spans="1:9" s="26" customFormat="1" x14ac:dyDescent="0.2">
      <c r="A219" s="28" t="s">
        <v>66</v>
      </c>
      <c r="B219" s="24" t="s">
        <v>28</v>
      </c>
      <c r="C219" s="24">
        <v>2</v>
      </c>
      <c r="D219" s="24" t="s">
        <v>350</v>
      </c>
      <c r="E219" s="24">
        <v>52600</v>
      </c>
      <c r="F219" s="24" t="s">
        <v>67</v>
      </c>
      <c r="G219" s="25">
        <f>'изм июнь вед стр-ра'!G361</f>
        <v>1200</v>
      </c>
      <c r="H219" s="25">
        <f>'изм июнь вед стр-ра'!H361</f>
        <v>1310</v>
      </c>
      <c r="I219" s="25">
        <f>'изм июнь вед стр-ра'!I361</f>
        <v>1330</v>
      </c>
    </row>
    <row r="220" spans="1:9" x14ac:dyDescent="0.2">
      <c r="A220" s="18" t="s">
        <v>230</v>
      </c>
      <c r="B220" s="19" t="s">
        <v>28</v>
      </c>
      <c r="C220" s="19">
        <v>2</v>
      </c>
      <c r="D220" s="19" t="s">
        <v>350</v>
      </c>
      <c r="E220" s="19" t="s">
        <v>449</v>
      </c>
      <c r="F220" s="19"/>
      <c r="G220" s="20">
        <f>G221</f>
        <v>219.6</v>
      </c>
      <c r="H220" s="20">
        <f>H221</f>
        <v>219.6</v>
      </c>
      <c r="I220" s="20">
        <f>I221</f>
        <v>219.6</v>
      </c>
    </row>
    <row r="221" spans="1:9" ht="51" x14ac:dyDescent="0.2">
      <c r="A221" s="30" t="s">
        <v>63</v>
      </c>
      <c r="B221" s="19" t="s">
        <v>28</v>
      </c>
      <c r="C221" s="19">
        <v>2</v>
      </c>
      <c r="D221" s="19" t="s">
        <v>350</v>
      </c>
      <c r="E221" s="27" t="s">
        <v>449</v>
      </c>
      <c r="F221" s="27" t="s">
        <v>64</v>
      </c>
      <c r="G221" s="25">
        <f>'изм июнь вед стр-ра'!G451</f>
        <v>219.6</v>
      </c>
      <c r="H221" s="25">
        <f>'изм июнь вед стр-ра'!H451</f>
        <v>219.6</v>
      </c>
      <c r="I221" s="25">
        <f>'изм июнь вед стр-ра'!I451</f>
        <v>219.6</v>
      </c>
    </row>
    <row r="222" spans="1:9" s="72" customFormat="1" ht="38.25" x14ac:dyDescent="0.2">
      <c r="A222" s="68" t="s">
        <v>222</v>
      </c>
      <c r="B222" s="70" t="s">
        <v>28</v>
      </c>
      <c r="C222" s="70">
        <v>2</v>
      </c>
      <c r="D222" s="70" t="s">
        <v>350</v>
      </c>
      <c r="E222" s="70">
        <v>71810</v>
      </c>
      <c r="F222" s="70"/>
      <c r="G222" s="71">
        <f>G224+G225+G223</f>
        <v>2260.1</v>
      </c>
      <c r="H222" s="71">
        <f>H224+H225+H223</f>
        <v>2260.1000000000004</v>
      </c>
      <c r="I222" s="71">
        <f>I224+I225+I223</f>
        <v>2260.1000000000004</v>
      </c>
    </row>
    <row r="223" spans="1:9" s="72" customFormat="1" ht="25.5" x14ac:dyDescent="0.2">
      <c r="A223" s="73" t="s">
        <v>353</v>
      </c>
      <c r="B223" s="75" t="s">
        <v>28</v>
      </c>
      <c r="C223" s="75">
        <v>2</v>
      </c>
      <c r="D223" s="75" t="s">
        <v>350</v>
      </c>
      <c r="E223" s="75">
        <v>71810</v>
      </c>
      <c r="F223" s="76" t="s">
        <v>65</v>
      </c>
      <c r="G223" s="55">
        <f>'изм июнь вед стр-ра'!G363</f>
        <v>17.464919999999999</v>
      </c>
      <c r="H223" s="55">
        <f>'изм июнь вед стр-ра'!H363</f>
        <v>1.8</v>
      </c>
      <c r="I223" s="55">
        <f>'изм июнь вед стр-ра'!I363</f>
        <v>1.8</v>
      </c>
    </row>
    <row r="224" spans="1:9" s="72" customFormat="1" x14ac:dyDescent="0.2">
      <c r="A224" s="80" t="s">
        <v>66</v>
      </c>
      <c r="B224" s="75" t="s">
        <v>28</v>
      </c>
      <c r="C224" s="75">
        <v>2</v>
      </c>
      <c r="D224" s="75" t="s">
        <v>350</v>
      </c>
      <c r="E224" s="75">
        <v>71810</v>
      </c>
      <c r="F224" s="140">
        <v>300</v>
      </c>
      <c r="G224" s="55">
        <f>'изм июнь вед стр-ра'!G364</f>
        <v>1794.22235</v>
      </c>
      <c r="H224" s="55">
        <f>'изм июнь вед стр-ра'!H364</f>
        <v>360</v>
      </c>
      <c r="I224" s="55">
        <f>'изм июнь вед стр-ра'!I364</f>
        <v>360</v>
      </c>
    </row>
    <row r="225" spans="1:9" s="72" customFormat="1" ht="25.5" x14ac:dyDescent="0.2">
      <c r="A225" s="80" t="s">
        <v>119</v>
      </c>
      <c r="B225" s="75" t="s">
        <v>28</v>
      </c>
      <c r="C225" s="75">
        <v>2</v>
      </c>
      <c r="D225" s="75" t="s">
        <v>350</v>
      </c>
      <c r="E225" s="75">
        <v>71810</v>
      </c>
      <c r="F225" s="75" t="s">
        <v>62</v>
      </c>
      <c r="G225" s="55">
        <f>'изм июнь вед стр-ра'!G365</f>
        <v>448.41273000000001</v>
      </c>
      <c r="H225" s="55">
        <f>'изм июнь вед стр-ра'!H365</f>
        <v>1898.3</v>
      </c>
      <c r="I225" s="55">
        <f>'изм июнь вед стр-ра'!I365</f>
        <v>1898.3</v>
      </c>
    </row>
    <row r="226" spans="1:9" ht="25.5" x14ac:dyDescent="0.2">
      <c r="A226" s="18" t="s">
        <v>207</v>
      </c>
      <c r="B226" s="19" t="s">
        <v>28</v>
      </c>
      <c r="C226" s="19">
        <v>2</v>
      </c>
      <c r="D226" s="19" t="s">
        <v>350</v>
      </c>
      <c r="E226" s="19" t="s">
        <v>448</v>
      </c>
      <c r="F226" s="19"/>
      <c r="G226" s="20">
        <f>G228+G227</f>
        <v>1209</v>
      </c>
      <c r="H226" s="20">
        <f>H228+H227</f>
        <v>1209</v>
      </c>
      <c r="I226" s="20">
        <f>I228+I227</f>
        <v>1209</v>
      </c>
    </row>
    <row r="227" spans="1:9" s="9" customFormat="1" x14ac:dyDescent="0.2">
      <c r="A227" s="28" t="s">
        <v>66</v>
      </c>
      <c r="B227" s="19" t="s">
        <v>28</v>
      </c>
      <c r="C227" s="19">
        <v>2</v>
      </c>
      <c r="D227" s="19" t="s">
        <v>350</v>
      </c>
      <c r="E227" s="19" t="s">
        <v>448</v>
      </c>
      <c r="F227" s="24" t="s">
        <v>67</v>
      </c>
      <c r="G227" s="25">
        <f>'изм июнь вед стр-ра'!G297</f>
        <v>31.1</v>
      </c>
      <c r="H227" s="25">
        <f>'изм июнь вед стр-ра'!H297</f>
        <v>31.1</v>
      </c>
      <c r="I227" s="25">
        <f>'изм июнь вед стр-ра'!I297</f>
        <v>31.1</v>
      </c>
    </row>
    <row r="228" spans="1:9" ht="25.5" x14ac:dyDescent="0.2">
      <c r="A228" s="28" t="s">
        <v>119</v>
      </c>
      <c r="B228" s="19" t="s">
        <v>28</v>
      </c>
      <c r="C228" s="19">
        <v>2</v>
      </c>
      <c r="D228" s="19" t="s">
        <v>350</v>
      </c>
      <c r="E228" s="19" t="s">
        <v>448</v>
      </c>
      <c r="F228" s="24" t="s">
        <v>62</v>
      </c>
      <c r="G228" s="25">
        <f>'изм июнь вед стр-ра'!G298</f>
        <v>1177.9000000000001</v>
      </c>
      <c r="H228" s="25">
        <f>'изм июнь вед стр-ра'!H298</f>
        <v>1177.9000000000001</v>
      </c>
      <c r="I228" s="25">
        <f>'изм июнь вед стр-ра'!I298</f>
        <v>1177.9000000000001</v>
      </c>
    </row>
    <row r="229" spans="1:9" ht="25.5" x14ac:dyDescent="0.2">
      <c r="A229" s="18" t="s">
        <v>298</v>
      </c>
      <c r="B229" s="19" t="s">
        <v>28</v>
      </c>
      <c r="C229" s="19">
        <v>2</v>
      </c>
      <c r="D229" s="19" t="s">
        <v>350</v>
      </c>
      <c r="E229" s="19">
        <v>72010</v>
      </c>
      <c r="F229" s="19"/>
      <c r="G229" s="20">
        <f>G230+G231</f>
        <v>1600</v>
      </c>
      <c r="H229" s="20">
        <f>H230+H231</f>
        <v>1600</v>
      </c>
      <c r="I229" s="20">
        <f>I230+I231</f>
        <v>1600</v>
      </c>
    </row>
    <row r="230" spans="1:9" x14ac:dyDescent="0.2">
      <c r="A230" s="28" t="s">
        <v>66</v>
      </c>
      <c r="B230" s="24" t="s">
        <v>28</v>
      </c>
      <c r="C230" s="24">
        <v>2</v>
      </c>
      <c r="D230" s="24" t="s">
        <v>350</v>
      </c>
      <c r="E230" s="24">
        <v>72010</v>
      </c>
      <c r="F230" s="24" t="s">
        <v>67</v>
      </c>
      <c r="G230" s="25">
        <f>'изм июнь вед стр-ра'!G346+'изм июнь вед стр-ра'!G439</f>
        <v>258.7</v>
      </c>
      <c r="H230" s="25">
        <f>'изм июнь вед стр-ра'!H346+'изм июнь вед стр-ра'!H439</f>
        <v>258.7</v>
      </c>
      <c r="I230" s="25">
        <f>'изм июнь вед стр-ра'!I346+'изм июнь вед стр-ра'!I439</f>
        <v>258.7</v>
      </c>
    </row>
    <row r="231" spans="1:9" ht="25.5" x14ac:dyDescent="0.2">
      <c r="A231" s="28" t="s">
        <v>119</v>
      </c>
      <c r="B231" s="24" t="s">
        <v>28</v>
      </c>
      <c r="C231" s="24">
        <v>2</v>
      </c>
      <c r="D231" s="24" t="s">
        <v>350</v>
      </c>
      <c r="E231" s="24">
        <v>72010</v>
      </c>
      <c r="F231" s="24" t="s">
        <v>62</v>
      </c>
      <c r="G231" s="25">
        <f>'изм июнь вед стр-ра'!G347</f>
        <v>1341.3</v>
      </c>
      <c r="H231" s="25">
        <f>'изм июнь вед стр-ра'!H347</f>
        <v>1341.3</v>
      </c>
      <c r="I231" s="25">
        <f>'изм июнь вед стр-ра'!I347</f>
        <v>1341.3</v>
      </c>
    </row>
    <row r="232" spans="1:9" ht="38.25" x14ac:dyDescent="0.2">
      <c r="A232" s="18" t="s">
        <v>217</v>
      </c>
      <c r="B232" s="19" t="s">
        <v>28</v>
      </c>
      <c r="C232" s="19">
        <v>2</v>
      </c>
      <c r="D232" s="19" t="s">
        <v>350</v>
      </c>
      <c r="E232" s="19">
        <v>72030</v>
      </c>
      <c r="F232" s="19"/>
      <c r="G232" s="20">
        <f>G233</f>
        <v>207</v>
      </c>
      <c r="H232" s="20">
        <f>H233</f>
        <v>207</v>
      </c>
      <c r="I232" s="20">
        <f>I233</f>
        <v>207</v>
      </c>
    </row>
    <row r="233" spans="1:9" x14ac:dyDescent="0.2">
      <c r="A233" s="28" t="s">
        <v>66</v>
      </c>
      <c r="B233" s="24" t="s">
        <v>28</v>
      </c>
      <c r="C233" s="24">
        <v>2</v>
      </c>
      <c r="D233" s="24" t="s">
        <v>350</v>
      </c>
      <c r="E233" s="24">
        <v>72030</v>
      </c>
      <c r="F233" s="124">
        <v>300</v>
      </c>
      <c r="G233" s="25">
        <f>'изм июнь вед стр-ра'!G349</f>
        <v>207</v>
      </c>
      <c r="H233" s="25">
        <f>'изм июнь вед стр-ра'!H349</f>
        <v>207</v>
      </c>
      <c r="I233" s="25">
        <f>'изм июнь вед стр-ра'!I349</f>
        <v>207</v>
      </c>
    </row>
    <row r="234" spans="1:9" ht="38.25" x14ac:dyDescent="0.2">
      <c r="A234" s="46" t="s">
        <v>218</v>
      </c>
      <c r="B234" s="19" t="s">
        <v>28</v>
      </c>
      <c r="C234" s="19">
        <v>2</v>
      </c>
      <c r="D234" s="19" t="s">
        <v>350</v>
      </c>
      <c r="E234" s="19">
        <v>72050</v>
      </c>
      <c r="F234" s="19"/>
      <c r="G234" s="20">
        <f>G235</f>
        <v>570</v>
      </c>
      <c r="H234" s="20">
        <f>H235</f>
        <v>570</v>
      </c>
      <c r="I234" s="20">
        <f>I235</f>
        <v>570</v>
      </c>
    </row>
    <row r="235" spans="1:9" x14ac:dyDescent="0.2">
      <c r="A235" s="28" t="s">
        <v>66</v>
      </c>
      <c r="B235" s="24" t="s">
        <v>28</v>
      </c>
      <c r="C235" s="24">
        <v>2</v>
      </c>
      <c r="D235" s="24" t="s">
        <v>350</v>
      </c>
      <c r="E235" s="24">
        <v>72050</v>
      </c>
      <c r="F235" s="24" t="s">
        <v>67</v>
      </c>
      <c r="G235" s="25">
        <f>'изм июнь вед стр-ра'!G351</f>
        <v>570</v>
      </c>
      <c r="H235" s="25">
        <f>'изм июнь вед стр-ра'!H351</f>
        <v>570</v>
      </c>
      <c r="I235" s="25">
        <f>'изм июнь вед стр-ра'!I351</f>
        <v>570</v>
      </c>
    </row>
    <row r="236" spans="1:9" ht="25.5" x14ac:dyDescent="0.2">
      <c r="A236" s="53" t="s">
        <v>341</v>
      </c>
      <c r="B236" s="19" t="s">
        <v>28</v>
      </c>
      <c r="C236" s="19">
        <v>2</v>
      </c>
      <c r="D236" s="19" t="s">
        <v>350</v>
      </c>
      <c r="E236" s="19" t="s">
        <v>447</v>
      </c>
      <c r="F236" s="19"/>
      <c r="G236" s="20">
        <f>G237</f>
        <v>5</v>
      </c>
      <c r="H236" s="20">
        <f>H237</f>
        <v>0</v>
      </c>
      <c r="I236" s="20">
        <f>I237</f>
        <v>0</v>
      </c>
    </row>
    <row r="237" spans="1:9" x14ac:dyDescent="0.2">
      <c r="A237" s="28" t="s">
        <v>66</v>
      </c>
      <c r="B237" s="24" t="s">
        <v>28</v>
      </c>
      <c r="C237" s="24">
        <v>2</v>
      </c>
      <c r="D237" s="24" t="s">
        <v>350</v>
      </c>
      <c r="E237" s="24" t="s">
        <v>447</v>
      </c>
      <c r="F237" s="24" t="s">
        <v>67</v>
      </c>
      <c r="G237" s="25">
        <f>'изм июнь вед стр-ра'!G367</f>
        <v>5</v>
      </c>
      <c r="H237" s="25">
        <f>'изм июнь вед стр-ра'!H367</f>
        <v>0</v>
      </c>
      <c r="I237" s="25">
        <f>'изм июнь вед стр-ра'!I367</f>
        <v>0</v>
      </c>
    </row>
    <row r="238" spans="1:9" s="72" customFormat="1" ht="25.5" x14ac:dyDescent="0.2">
      <c r="A238" s="95" t="s">
        <v>219</v>
      </c>
      <c r="B238" s="70" t="s">
        <v>28</v>
      </c>
      <c r="C238" s="70">
        <v>2</v>
      </c>
      <c r="D238" s="70" t="s">
        <v>350</v>
      </c>
      <c r="E238" s="70">
        <v>73050</v>
      </c>
      <c r="F238" s="70"/>
      <c r="G238" s="71">
        <f>G240+G239</f>
        <v>2005</v>
      </c>
      <c r="H238" s="71">
        <f>H240+H239</f>
        <v>2005</v>
      </c>
      <c r="I238" s="71">
        <f>I240+I239</f>
        <v>2005</v>
      </c>
    </row>
    <row r="239" spans="1:9" s="72" customFormat="1" ht="25.5" x14ac:dyDescent="0.2">
      <c r="A239" s="73" t="s">
        <v>353</v>
      </c>
      <c r="B239" s="75" t="s">
        <v>28</v>
      </c>
      <c r="C239" s="75">
        <v>2</v>
      </c>
      <c r="D239" s="75" t="s">
        <v>350</v>
      </c>
      <c r="E239" s="75">
        <v>73050</v>
      </c>
      <c r="F239" s="76" t="s">
        <v>65</v>
      </c>
      <c r="G239" s="55">
        <f>'изм июнь вед стр-ра'!G353</f>
        <v>325</v>
      </c>
      <c r="H239" s="55">
        <f>'изм июнь вед стр-ра'!H353</f>
        <v>325</v>
      </c>
      <c r="I239" s="55">
        <f>'изм июнь вед стр-ра'!I353</f>
        <v>325</v>
      </c>
    </row>
    <row r="240" spans="1:9" s="72" customFormat="1" ht="25.5" x14ac:dyDescent="0.2">
      <c r="A240" s="80" t="s">
        <v>119</v>
      </c>
      <c r="B240" s="75" t="s">
        <v>28</v>
      </c>
      <c r="C240" s="75">
        <v>2</v>
      </c>
      <c r="D240" s="75" t="s">
        <v>350</v>
      </c>
      <c r="E240" s="75">
        <v>73050</v>
      </c>
      <c r="F240" s="75" t="s">
        <v>62</v>
      </c>
      <c r="G240" s="55">
        <f>'изм июнь вед стр-ра'!G354</f>
        <v>1680</v>
      </c>
      <c r="H240" s="55">
        <f>'изм июнь вед стр-ра'!H354</f>
        <v>1680</v>
      </c>
      <c r="I240" s="55">
        <f>'изм июнь вед стр-ра'!I354</f>
        <v>1680</v>
      </c>
    </row>
    <row r="241" spans="1:9" ht="63.75" x14ac:dyDescent="0.2">
      <c r="A241" s="18" t="s">
        <v>346</v>
      </c>
      <c r="B241" s="19" t="s">
        <v>28</v>
      </c>
      <c r="C241" s="19">
        <v>2</v>
      </c>
      <c r="D241" s="19" t="s">
        <v>350</v>
      </c>
      <c r="E241" s="19">
        <v>80120</v>
      </c>
      <c r="F241" s="19"/>
      <c r="G241" s="20">
        <f>G242</f>
        <v>125.89999999999998</v>
      </c>
      <c r="H241" s="20">
        <f>H242</f>
        <v>325.89999999999998</v>
      </c>
      <c r="I241" s="20">
        <f>I242</f>
        <v>325.89999999999998</v>
      </c>
    </row>
    <row r="242" spans="1:9" s="72" customFormat="1" x14ac:dyDescent="0.2">
      <c r="A242" s="80" t="s">
        <v>66</v>
      </c>
      <c r="B242" s="75" t="s">
        <v>28</v>
      </c>
      <c r="C242" s="75">
        <v>2</v>
      </c>
      <c r="D242" s="75" t="s">
        <v>350</v>
      </c>
      <c r="E242" s="75">
        <v>80120</v>
      </c>
      <c r="F242" s="75" t="s">
        <v>67</v>
      </c>
      <c r="G242" s="55">
        <f>'изм июнь вед стр-ра'!G356</f>
        <v>125.89999999999998</v>
      </c>
      <c r="H242" s="55">
        <f>'изм июнь вед стр-ра'!H356</f>
        <v>325.89999999999998</v>
      </c>
      <c r="I242" s="55">
        <f>'изм июнь вед стр-ра'!I356</f>
        <v>325.89999999999998</v>
      </c>
    </row>
    <row r="243" spans="1:9" ht="101.25" customHeight="1" x14ac:dyDescent="0.2">
      <c r="A243" s="53" t="s">
        <v>343</v>
      </c>
      <c r="B243" s="19" t="s">
        <v>28</v>
      </c>
      <c r="C243" s="19">
        <v>2</v>
      </c>
      <c r="D243" s="19" t="s">
        <v>350</v>
      </c>
      <c r="E243" s="19">
        <v>80130</v>
      </c>
      <c r="F243" s="19"/>
      <c r="G243" s="20">
        <f>G244</f>
        <v>39680</v>
      </c>
      <c r="H243" s="20">
        <f>H244</f>
        <v>39680</v>
      </c>
      <c r="I243" s="20">
        <f>I244</f>
        <v>39680</v>
      </c>
    </row>
    <row r="244" spans="1:9" x14ac:dyDescent="0.2">
      <c r="A244" s="28" t="s">
        <v>66</v>
      </c>
      <c r="B244" s="24" t="s">
        <v>28</v>
      </c>
      <c r="C244" s="24">
        <v>2</v>
      </c>
      <c r="D244" s="24" t="s">
        <v>350</v>
      </c>
      <c r="E244" s="24">
        <v>80130</v>
      </c>
      <c r="F244" s="24" t="s">
        <v>67</v>
      </c>
      <c r="G244" s="25">
        <f>'изм июнь вед стр-ра'!G369</f>
        <v>39680</v>
      </c>
      <c r="H244" s="25">
        <f>'изм июнь вед стр-ра'!H369</f>
        <v>39680</v>
      </c>
      <c r="I244" s="25">
        <f>'изм июнь вед стр-ра'!I369</f>
        <v>39680</v>
      </c>
    </row>
    <row r="245" spans="1:9" ht="101.25" customHeight="1" x14ac:dyDescent="0.2">
      <c r="A245" s="53" t="s">
        <v>583</v>
      </c>
      <c r="B245" s="19" t="s">
        <v>28</v>
      </c>
      <c r="C245" s="19">
        <v>2</v>
      </c>
      <c r="D245" s="19" t="s">
        <v>350</v>
      </c>
      <c r="E245" s="19" t="s">
        <v>446</v>
      </c>
      <c r="F245" s="19"/>
      <c r="G245" s="20">
        <f>G246</f>
        <v>250</v>
      </c>
      <c r="H245" s="20">
        <f>H246</f>
        <v>250</v>
      </c>
      <c r="I245" s="20">
        <f>I246</f>
        <v>250</v>
      </c>
    </row>
    <row r="246" spans="1:9" x14ac:dyDescent="0.2">
      <c r="A246" s="28" t="s">
        <v>66</v>
      </c>
      <c r="B246" s="24" t="s">
        <v>28</v>
      </c>
      <c r="C246" s="24">
        <v>2</v>
      </c>
      <c r="D246" s="24" t="s">
        <v>350</v>
      </c>
      <c r="E246" s="24" t="s">
        <v>446</v>
      </c>
      <c r="F246" s="24" t="s">
        <v>67</v>
      </c>
      <c r="G246" s="25">
        <f>'изм июнь вед стр-ра'!G371</f>
        <v>250</v>
      </c>
      <c r="H246" s="25">
        <f>'изм июнь вед стр-ра'!H371</f>
        <v>250</v>
      </c>
      <c r="I246" s="25">
        <f>'изм июнь вед стр-ра'!I371</f>
        <v>250</v>
      </c>
    </row>
    <row r="247" spans="1:9" ht="38.25" x14ac:dyDescent="0.2">
      <c r="A247" s="18" t="s">
        <v>333</v>
      </c>
      <c r="B247" s="19" t="s">
        <v>28</v>
      </c>
      <c r="C247" s="19">
        <v>2</v>
      </c>
      <c r="D247" s="19" t="s">
        <v>350</v>
      </c>
      <c r="E247" s="19" t="s">
        <v>445</v>
      </c>
      <c r="F247" s="19"/>
      <c r="G247" s="20">
        <f>G248</f>
        <v>2957.1</v>
      </c>
      <c r="H247" s="20">
        <f>H248</f>
        <v>2957.1</v>
      </c>
      <c r="I247" s="20">
        <f>I248</f>
        <v>2957.1</v>
      </c>
    </row>
    <row r="248" spans="1:9" s="26" customFormat="1" ht="25.5" x14ac:dyDescent="0.2">
      <c r="A248" s="80" t="s">
        <v>119</v>
      </c>
      <c r="B248" s="24" t="s">
        <v>28</v>
      </c>
      <c r="C248" s="24">
        <v>2</v>
      </c>
      <c r="D248" s="24" t="s">
        <v>350</v>
      </c>
      <c r="E248" s="24" t="s">
        <v>445</v>
      </c>
      <c r="F248" s="24" t="s">
        <v>62</v>
      </c>
      <c r="G248" s="25">
        <f>'изм июнь вед стр-ра'!G373</f>
        <v>2957.1</v>
      </c>
      <c r="H248" s="25">
        <f>'изм июнь вед стр-ра'!H373</f>
        <v>2957.1</v>
      </c>
      <c r="I248" s="25">
        <f>'изм июнь вед стр-ра'!I373</f>
        <v>2957.1</v>
      </c>
    </row>
    <row r="249" spans="1:9" ht="38.25" x14ac:dyDescent="0.2">
      <c r="A249" s="18" t="s">
        <v>332</v>
      </c>
      <c r="B249" s="19" t="s">
        <v>28</v>
      </c>
      <c r="C249" s="19">
        <v>2</v>
      </c>
      <c r="D249" s="19" t="s">
        <v>350</v>
      </c>
      <c r="E249" s="19" t="s">
        <v>444</v>
      </c>
      <c r="F249" s="19"/>
      <c r="G249" s="20">
        <f>G251+G250</f>
        <v>1350.3</v>
      </c>
      <c r="H249" s="20">
        <f>H251+H250</f>
        <v>1350.3</v>
      </c>
      <c r="I249" s="20">
        <f>I251+I250</f>
        <v>1350.3</v>
      </c>
    </row>
    <row r="250" spans="1:9" s="26" customFormat="1" ht="25.5" x14ac:dyDescent="0.2">
      <c r="A250" s="80" t="s">
        <v>73</v>
      </c>
      <c r="B250" s="24" t="s">
        <v>28</v>
      </c>
      <c r="C250" s="24">
        <v>2</v>
      </c>
      <c r="D250" s="24" t="s">
        <v>350</v>
      </c>
      <c r="E250" s="24" t="s">
        <v>444</v>
      </c>
      <c r="F250" s="24" t="s">
        <v>65</v>
      </c>
      <c r="G250" s="25">
        <f>'изм июнь вед стр-ра'!G375</f>
        <v>393.2</v>
      </c>
      <c r="H250" s="25">
        <f>'изм июнь вед стр-ра'!H375</f>
        <v>393.2</v>
      </c>
      <c r="I250" s="25">
        <f>'изм июнь вед стр-ра'!I375</f>
        <v>393.2</v>
      </c>
    </row>
    <row r="251" spans="1:9" s="26" customFormat="1" ht="25.5" x14ac:dyDescent="0.2">
      <c r="A251" s="80" t="s">
        <v>119</v>
      </c>
      <c r="B251" s="24" t="s">
        <v>28</v>
      </c>
      <c r="C251" s="24">
        <v>2</v>
      </c>
      <c r="D251" s="24" t="s">
        <v>350</v>
      </c>
      <c r="E251" s="24" t="s">
        <v>444</v>
      </c>
      <c r="F251" s="24" t="s">
        <v>62</v>
      </c>
      <c r="G251" s="25">
        <f>'изм июнь вед стр-ра'!G376</f>
        <v>957.1</v>
      </c>
      <c r="H251" s="25">
        <f>'изм июнь вед стр-ра'!H376</f>
        <v>957.1</v>
      </c>
      <c r="I251" s="25">
        <f>'изм июнь вед стр-ра'!I376</f>
        <v>957.1</v>
      </c>
    </row>
    <row r="252" spans="1:9" s="194" customFormat="1" ht="25.5" x14ac:dyDescent="0.2">
      <c r="A252" s="18" t="s">
        <v>561</v>
      </c>
      <c r="B252" s="19" t="s">
        <v>28</v>
      </c>
      <c r="C252" s="19" t="s">
        <v>387</v>
      </c>
      <c r="D252" s="19" t="s">
        <v>350</v>
      </c>
      <c r="E252" s="19" t="s">
        <v>562</v>
      </c>
      <c r="F252" s="19"/>
      <c r="G252" s="20">
        <f>G254+G253</f>
        <v>32</v>
      </c>
      <c r="H252" s="20">
        <f t="shared" ref="H252:I252" si="31">H254+H253</f>
        <v>0</v>
      </c>
      <c r="I252" s="20">
        <f t="shared" si="31"/>
        <v>0</v>
      </c>
    </row>
    <row r="253" spans="1:9" s="194" customFormat="1" ht="51" x14ac:dyDescent="0.2">
      <c r="A253" s="73" t="s">
        <v>63</v>
      </c>
      <c r="B253" s="24" t="s">
        <v>28</v>
      </c>
      <c r="C253" s="24" t="s">
        <v>387</v>
      </c>
      <c r="D253" s="24" t="s">
        <v>350</v>
      </c>
      <c r="E253" s="24" t="s">
        <v>562</v>
      </c>
      <c r="F253" s="27" t="s">
        <v>64</v>
      </c>
      <c r="G253" s="25">
        <f>'изм июнь вед стр-ра'!G448</f>
        <v>19.33426</v>
      </c>
      <c r="H253" s="25">
        <f>'изм июнь вед стр-ра'!H448</f>
        <v>0</v>
      </c>
      <c r="I253" s="25">
        <f>'изм июнь вед стр-ра'!I448</f>
        <v>0</v>
      </c>
    </row>
    <row r="254" spans="1:9" s="194" customFormat="1" ht="25.5" x14ac:dyDescent="0.2">
      <c r="A254" s="30" t="s">
        <v>353</v>
      </c>
      <c r="B254" s="24" t="s">
        <v>28</v>
      </c>
      <c r="C254" s="24" t="s">
        <v>387</v>
      </c>
      <c r="D254" s="24" t="s">
        <v>350</v>
      </c>
      <c r="E254" s="24" t="s">
        <v>562</v>
      </c>
      <c r="F254" s="27" t="s">
        <v>65</v>
      </c>
      <c r="G254" s="25">
        <f>'изм июнь вед стр-ра'!G449</f>
        <v>12.66574</v>
      </c>
      <c r="H254" s="25">
        <f>'изм июнь вед стр-ра'!H449</f>
        <v>0</v>
      </c>
      <c r="I254" s="25">
        <f>'изм июнь вед стр-ра'!I449</f>
        <v>0</v>
      </c>
    </row>
    <row r="255" spans="1:9" s="72" customFormat="1" x14ac:dyDescent="0.2">
      <c r="A255" s="132" t="s">
        <v>443</v>
      </c>
      <c r="B255" s="131" t="s">
        <v>28</v>
      </c>
      <c r="C255" s="130" t="s">
        <v>383</v>
      </c>
      <c r="D255" s="130"/>
      <c r="E255" s="130"/>
      <c r="F255" s="130"/>
      <c r="G255" s="129">
        <f>SUM(G256,G259,G261,G266)</f>
        <v>67994.700000000012</v>
      </c>
      <c r="H255" s="129">
        <f>SUM(H256,H259,H261,H266)</f>
        <v>59728.5</v>
      </c>
      <c r="I255" s="129">
        <f>SUM(I256,I259,I261,I266)</f>
        <v>59029.2</v>
      </c>
    </row>
    <row r="256" spans="1:9" s="72" customFormat="1" ht="25.5" x14ac:dyDescent="0.2">
      <c r="A256" s="68" t="s">
        <v>287</v>
      </c>
      <c r="B256" s="70" t="s">
        <v>28</v>
      </c>
      <c r="C256" s="70">
        <v>3</v>
      </c>
      <c r="D256" s="70" t="s">
        <v>350</v>
      </c>
      <c r="E256" s="70" t="s">
        <v>442</v>
      </c>
      <c r="F256" s="70"/>
      <c r="G256" s="71">
        <f>G257+G258</f>
        <v>4467.2</v>
      </c>
      <c r="H256" s="71">
        <f>H257+H258</f>
        <v>4407.2</v>
      </c>
      <c r="I256" s="71">
        <f>I257+I258</f>
        <v>4407.2</v>
      </c>
    </row>
    <row r="257" spans="1:9" ht="51" x14ac:dyDescent="0.2">
      <c r="A257" s="30" t="s">
        <v>63</v>
      </c>
      <c r="B257" s="24" t="s">
        <v>28</v>
      </c>
      <c r="C257" s="24">
        <v>3</v>
      </c>
      <c r="D257" s="24" t="s">
        <v>350</v>
      </c>
      <c r="E257" s="24" t="s">
        <v>442</v>
      </c>
      <c r="F257" s="27" t="s">
        <v>64</v>
      </c>
      <c r="G257" s="25">
        <f>'изм июнь вед стр-ра'!G334</f>
        <v>4427.2</v>
      </c>
      <c r="H257" s="25">
        <f>'изм июнь вед стр-ра'!H334</f>
        <v>4407.2</v>
      </c>
      <c r="I257" s="25">
        <f>'изм июнь вед стр-ра'!I334</f>
        <v>4407.2</v>
      </c>
    </row>
    <row r="258" spans="1:9" s="72" customFormat="1" ht="25.5" x14ac:dyDescent="0.2">
      <c r="A258" s="73" t="s">
        <v>353</v>
      </c>
      <c r="B258" s="75" t="s">
        <v>28</v>
      </c>
      <c r="C258" s="75">
        <v>3</v>
      </c>
      <c r="D258" s="75" t="s">
        <v>350</v>
      </c>
      <c r="E258" s="75" t="s">
        <v>442</v>
      </c>
      <c r="F258" s="76" t="s">
        <v>65</v>
      </c>
      <c r="G258" s="25">
        <f>'изм июнь вед стр-ра'!G335</f>
        <v>40</v>
      </c>
      <c r="H258" s="25">
        <f>'изм июнь вед стр-ра'!H335</f>
        <v>0</v>
      </c>
      <c r="I258" s="25">
        <f>'изм июнь вед стр-ра'!I335</f>
        <v>0</v>
      </c>
    </row>
    <row r="259" spans="1:9" s="72" customFormat="1" ht="25.5" x14ac:dyDescent="0.2">
      <c r="A259" s="68" t="s">
        <v>287</v>
      </c>
      <c r="B259" s="70" t="s">
        <v>28</v>
      </c>
      <c r="C259" s="70">
        <v>3</v>
      </c>
      <c r="D259" s="70" t="s">
        <v>350</v>
      </c>
      <c r="E259" s="70" t="s">
        <v>441</v>
      </c>
      <c r="F259" s="70"/>
      <c r="G259" s="71">
        <f>G260</f>
        <v>22781.300000000003</v>
      </c>
      <c r="H259" s="71">
        <f>H260</f>
        <v>21478.7</v>
      </c>
      <c r="I259" s="71">
        <f>I260</f>
        <v>21108.5</v>
      </c>
    </row>
    <row r="260" spans="1:9" ht="25.5" x14ac:dyDescent="0.2">
      <c r="A260" s="28" t="s">
        <v>119</v>
      </c>
      <c r="B260" s="24" t="s">
        <v>28</v>
      </c>
      <c r="C260" s="24">
        <v>3</v>
      </c>
      <c r="D260" s="24" t="s">
        <v>350</v>
      </c>
      <c r="E260" s="24" t="s">
        <v>441</v>
      </c>
      <c r="F260" s="24" t="s">
        <v>62</v>
      </c>
      <c r="G260" s="25">
        <f>'изм июнь вед стр-ра'!G337</f>
        <v>22781.300000000003</v>
      </c>
      <c r="H260" s="25">
        <f>'изм июнь вед стр-ра'!H337</f>
        <v>21478.7</v>
      </c>
      <c r="I260" s="25">
        <f>'изм июнь вед стр-ра'!I337</f>
        <v>21108.5</v>
      </c>
    </row>
    <row r="261" spans="1:9" s="77" customFormat="1" ht="25.5" x14ac:dyDescent="0.2">
      <c r="A261" s="68" t="s">
        <v>287</v>
      </c>
      <c r="B261" s="70" t="s">
        <v>28</v>
      </c>
      <c r="C261" s="70">
        <v>3</v>
      </c>
      <c r="D261" s="70" t="s">
        <v>350</v>
      </c>
      <c r="E261" s="70" t="s">
        <v>440</v>
      </c>
      <c r="F261" s="70"/>
      <c r="G261" s="71">
        <f>G262+G263+G264+G265</f>
        <v>37203.4</v>
      </c>
      <c r="H261" s="71">
        <f>H262+H263+H264+H265</f>
        <v>30299.8</v>
      </c>
      <c r="I261" s="71">
        <f>I262+I263+I264+I265</f>
        <v>29970.699999999997</v>
      </c>
    </row>
    <row r="262" spans="1:9" ht="51" x14ac:dyDescent="0.2">
      <c r="A262" s="30" t="s">
        <v>63</v>
      </c>
      <c r="B262" s="24" t="s">
        <v>28</v>
      </c>
      <c r="C262" s="24">
        <v>3</v>
      </c>
      <c r="D262" s="24" t="s">
        <v>350</v>
      </c>
      <c r="E262" s="24" t="s">
        <v>440</v>
      </c>
      <c r="F262" s="27" t="s">
        <v>64</v>
      </c>
      <c r="G262" s="25">
        <f>'изм июнь вед стр-ра'!G339</f>
        <v>15015.2</v>
      </c>
      <c r="H262" s="25">
        <f>'изм июнь вед стр-ра'!H339</f>
        <v>12092.899999999998</v>
      </c>
      <c r="I262" s="25">
        <f>'изм июнь вед стр-ра'!I339</f>
        <v>12092.899999999998</v>
      </c>
    </row>
    <row r="263" spans="1:9" s="72" customFormat="1" ht="25.5" x14ac:dyDescent="0.2">
      <c r="A263" s="73" t="s">
        <v>353</v>
      </c>
      <c r="B263" s="75" t="s">
        <v>28</v>
      </c>
      <c r="C263" s="75">
        <v>3</v>
      </c>
      <c r="D263" s="75" t="s">
        <v>350</v>
      </c>
      <c r="E263" s="75" t="s">
        <v>440</v>
      </c>
      <c r="F263" s="76" t="s">
        <v>65</v>
      </c>
      <c r="G263" s="25">
        <f>'изм июнь вед стр-ра'!G340</f>
        <v>2636.3999999999996</v>
      </c>
      <c r="H263" s="25">
        <f>'изм июнь вед стр-ра'!H340</f>
        <v>0</v>
      </c>
      <c r="I263" s="25">
        <f>'изм июнь вед стр-ра'!I340</f>
        <v>0</v>
      </c>
    </row>
    <row r="264" spans="1:9" s="72" customFormat="1" ht="25.5" x14ac:dyDescent="0.2">
      <c r="A264" s="80" t="s">
        <v>119</v>
      </c>
      <c r="B264" s="75" t="s">
        <v>28</v>
      </c>
      <c r="C264" s="75">
        <v>3</v>
      </c>
      <c r="D264" s="75" t="s">
        <v>350</v>
      </c>
      <c r="E264" s="75" t="s">
        <v>440</v>
      </c>
      <c r="F264" s="75" t="s">
        <v>62</v>
      </c>
      <c r="G264" s="25">
        <f>'изм июнь вед стр-ра'!G341</f>
        <v>19510.7</v>
      </c>
      <c r="H264" s="25">
        <f>'изм июнь вед стр-ра'!H341</f>
        <v>18206.900000000001</v>
      </c>
      <c r="I264" s="25">
        <f>'изм июнь вед стр-ра'!I341</f>
        <v>17877.8</v>
      </c>
    </row>
    <row r="265" spans="1:9" s="72" customFormat="1" x14ac:dyDescent="0.2">
      <c r="A265" s="80" t="s">
        <v>69</v>
      </c>
      <c r="B265" s="75" t="s">
        <v>28</v>
      </c>
      <c r="C265" s="75">
        <v>3</v>
      </c>
      <c r="D265" s="75" t="s">
        <v>350</v>
      </c>
      <c r="E265" s="75" t="s">
        <v>440</v>
      </c>
      <c r="F265" s="75" t="s">
        <v>70</v>
      </c>
      <c r="G265" s="25">
        <f>'изм июнь вед стр-ра'!G342</f>
        <v>41.099999999999994</v>
      </c>
      <c r="H265" s="25">
        <f>'изм июнь вед стр-ра'!H342</f>
        <v>0</v>
      </c>
      <c r="I265" s="25">
        <f>'изм июнь вед стр-ра'!I342</f>
        <v>0</v>
      </c>
    </row>
    <row r="266" spans="1:9" ht="102" x14ac:dyDescent="0.2">
      <c r="A266" s="18" t="s">
        <v>337</v>
      </c>
      <c r="B266" s="5" t="s">
        <v>28</v>
      </c>
      <c r="C266" s="5">
        <v>3</v>
      </c>
      <c r="D266" s="5" t="s">
        <v>350</v>
      </c>
      <c r="E266" s="5">
        <v>72070</v>
      </c>
      <c r="F266" s="19"/>
      <c r="G266" s="20">
        <f>G267+G268</f>
        <v>3542.8</v>
      </c>
      <c r="H266" s="20">
        <f>H267+H268</f>
        <v>3542.8</v>
      </c>
      <c r="I266" s="20">
        <f>I267+I268</f>
        <v>3542.8</v>
      </c>
    </row>
    <row r="267" spans="1:9" ht="51" x14ac:dyDescent="0.2">
      <c r="A267" s="30" t="s">
        <v>63</v>
      </c>
      <c r="B267" s="24" t="s">
        <v>28</v>
      </c>
      <c r="C267" s="24">
        <v>3</v>
      </c>
      <c r="D267" s="24" t="s">
        <v>350</v>
      </c>
      <c r="E267" s="24">
        <v>72070</v>
      </c>
      <c r="F267" s="27" t="s">
        <v>64</v>
      </c>
      <c r="G267" s="25">
        <f>'изм июнь вед стр-ра'!G331</f>
        <v>3166.3</v>
      </c>
      <c r="H267" s="25">
        <f>'изм июнь вед стр-ра'!H331</f>
        <v>3166.3</v>
      </c>
      <c r="I267" s="25">
        <f>'изм июнь вед стр-ра'!I331</f>
        <v>3166.3</v>
      </c>
    </row>
    <row r="268" spans="1:9" ht="25.5" x14ac:dyDescent="0.2">
      <c r="A268" s="30" t="s">
        <v>353</v>
      </c>
      <c r="B268" s="24" t="s">
        <v>28</v>
      </c>
      <c r="C268" s="24">
        <v>3</v>
      </c>
      <c r="D268" s="24" t="s">
        <v>350</v>
      </c>
      <c r="E268" s="24">
        <v>72070</v>
      </c>
      <c r="F268" s="27" t="s">
        <v>65</v>
      </c>
      <c r="G268" s="25">
        <f>'изм июнь вед стр-ра'!G332</f>
        <v>376.5</v>
      </c>
      <c r="H268" s="25">
        <f>'изм июнь вед стр-ра'!H332</f>
        <v>376.5</v>
      </c>
      <c r="I268" s="25">
        <f>'изм июнь вед стр-ра'!I332</f>
        <v>376.5</v>
      </c>
    </row>
    <row r="269" spans="1:9" ht="27.75" customHeight="1" x14ac:dyDescent="0.2">
      <c r="A269" s="139" t="s">
        <v>439</v>
      </c>
      <c r="B269" s="40" t="s">
        <v>47</v>
      </c>
      <c r="C269" s="40"/>
      <c r="D269" s="40"/>
      <c r="E269" s="40"/>
      <c r="F269" s="138"/>
      <c r="G269" s="38">
        <f>SUM(G272,G275,G277,G280,G284)+G270</f>
        <v>105302.39999999999</v>
      </c>
      <c r="H269" s="38">
        <f t="shared" ref="H269:I269" si="32">SUM(H272,H275,H277,H280,H284)+H270</f>
        <v>101132.5</v>
      </c>
      <c r="I269" s="38">
        <f t="shared" si="32"/>
        <v>99124.3</v>
      </c>
    </row>
    <row r="270" spans="1:9" ht="38.25" x14ac:dyDescent="0.2">
      <c r="A270" s="18" t="s">
        <v>306</v>
      </c>
      <c r="B270" s="19" t="s">
        <v>47</v>
      </c>
      <c r="C270" s="19" t="s">
        <v>351</v>
      </c>
      <c r="D270" s="19" t="s">
        <v>350</v>
      </c>
      <c r="E270" s="19" t="s">
        <v>438</v>
      </c>
      <c r="F270" s="19"/>
      <c r="G270" s="20">
        <f>G271</f>
        <v>4425</v>
      </c>
      <c r="H270" s="20">
        <f>H271</f>
        <v>4425</v>
      </c>
      <c r="I270" s="20">
        <f>I271</f>
        <v>4425</v>
      </c>
    </row>
    <row r="271" spans="1:9" ht="25.5" x14ac:dyDescent="0.2">
      <c r="A271" s="28" t="s">
        <v>119</v>
      </c>
      <c r="B271" s="24" t="s">
        <v>47</v>
      </c>
      <c r="C271" s="24" t="s">
        <v>351</v>
      </c>
      <c r="D271" s="24" t="s">
        <v>350</v>
      </c>
      <c r="E271" s="24" t="s">
        <v>438</v>
      </c>
      <c r="F271" s="24" t="s">
        <v>62</v>
      </c>
      <c r="G271" s="25">
        <f>'изм июнь вед стр-ра'!G419</f>
        <v>4425</v>
      </c>
      <c r="H271" s="25">
        <f>'изм июнь вед стр-ра'!H419</f>
        <v>4425</v>
      </c>
      <c r="I271" s="25">
        <f>'изм июнь вед стр-ра'!I419</f>
        <v>4425</v>
      </c>
    </row>
    <row r="272" spans="1:9" x14ac:dyDescent="0.2">
      <c r="A272" s="18" t="s">
        <v>224</v>
      </c>
      <c r="B272" s="19" t="s">
        <v>47</v>
      </c>
      <c r="C272" s="19">
        <v>0</v>
      </c>
      <c r="D272" s="19" t="s">
        <v>350</v>
      </c>
      <c r="E272" s="19" t="s">
        <v>437</v>
      </c>
      <c r="F272" s="19"/>
      <c r="G272" s="20">
        <f>G274+G273</f>
        <v>55982.6</v>
      </c>
      <c r="H272" s="20">
        <f>H274+H273</f>
        <v>53505</v>
      </c>
      <c r="I272" s="20">
        <f>I274+I273</f>
        <v>51942.3</v>
      </c>
    </row>
    <row r="273" spans="1:9" s="9" customFormat="1" x14ac:dyDescent="0.2">
      <c r="A273" s="28" t="s">
        <v>66</v>
      </c>
      <c r="B273" s="24" t="s">
        <v>47</v>
      </c>
      <c r="C273" s="24">
        <v>0</v>
      </c>
      <c r="D273" s="24" t="s">
        <v>350</v>
      </c>
      <c r="E273" s="24" t="s">
        <v>437</v>
      </c>
      <c r="F273" s="27" t="s">
        <v>67</v>
      </c>
      <c r="G273" s="25">
        <f>'изм июнь вед стр-ра'!G421</f>
        <v>15</v>
      </c>
      <c r="H273" s="25">
        <f>'изм июнь вед стр-ра'!H421</f>
        <v>0</v>
      </c>
      <c r="I273" s="25">
        <f>'изм июнь вед стр-ра'!I421</f>
        <v>0</v>
      </c>
    </row>
    <row r="274" spans="1:9" ht="25.5" x14ac:dyDescent="0.2">
      <c r="A274" s="28" t="s">
        <v>119</v>
      </c>
      <c r="B274" s="24" t="s">
        <v>47</v>
      </c>
      <c r="C274" s="24">
        <v>0</v>
      </c>
      <c r="D274" s="24" t="s">
        <v>350</v>
      </c>
      <c r="E274" s="24" t="s">
        <v>437</v>
      </c>
      <c r="F274" s="24" t="s">
        <v>62</v>
      </c>
      <c r="G274" s="25">
        <f>'изм июнь вед стр-ра'!G422</f>
        <v>55967.6</v>
      </c>
      <c r="H274" s="25">
        <f>'изм июнь вед стр-ра'!H422</f>
        <v>53505</v>
      </c>
      <c r="I274" s="25">
        <f>'изм июнь вед стр-ра'!I422</f>
        <v>51942.3</v>
      </c>
    </row>
    <row r="275" spans="1:9" x14ac:dyDescent="0.2">
      <c r="A275" s="18" t="s">
        <v>226</v>
      </c>
      <c r="B275" s="19" t="s">
        <v>47</v>
      </c>
      <c r="C275" s="19">
        <v>0</v>
      </c>
      <c r="D275" s="19" t="s">
        <v>350</v>
      </c>
      <c r="E275" s="19" t="s">
        <v>436</v>
      </c>
      <c r="F275" s="19"/>
      <c r="G275" s="20">
        <f>G276</f>
        <v>4202.2</v>
      </c>
      <c r="H275" s="20">
        <f>H276</f>
        <v>4059.4</v>
      </c>
      <c r="I275" s="20">
        <f>I276</f>
        <v>3992.5</v>
      </c>
    </row>
    <row r="276" spans="1:9" ht="25.5" x14ac:dyDescent="0.2">
      <c r="A276" s="28" t="s">
        <v>119</v>
      </c>
      <c r="B276" s="24" t="s">
        <v>47</v>
      </c>
      <c r="C276" s="24">
        <v>0</v>
      </c>
      <c r="D276" s="24" t="s">
        <v>350</v>
      </c>
      <c r="E276" s="24" t="s">
        <v>436</v>
      </c>
      <c r="F276" s="24" t="s">
        <v>62</v>
      </c>
      <c r="G276" s="25">
        <f>'изм июнь вед стр-ра'!G424</f>
        <v>4202.2</v>
      </c>
      <c r="H276" s="25">
        <f>'изм июнь вед стр-ра'!H424</f>
        <v>4059.4</v>
      </c>
      <c r="I276" s="25">
        <f>'изм июнь вед стр-ра'!I424</f>
        <v>3992.5</v>
      </c>
    </row>
    <row r="277" spans="1:9" x14ac:dyDescent="0.2">
      <c r="A277" s="18" t="s">
        <v>228</v>
      </c>
      <c r="B277" s="19" t="s">
        <v>47</v>
      </c>
      <c r="C277" s="19">
        <v>0</v>
      </c>
      <c r="D277" s="19" t="s">
        <v>350</v>
      </c>
      <c r="E277" s="19" t="s">
        <v>435</v>
      </c>
      <c r="F277" s="19"/>
      <c r="G277" s="20">
        <f>G279+G278</f>
        <v>19154.400000000001</v>
      </c>
      <c r="H277" s="20">
        <f>H279+H278</f>
        <v>18166.8</v>
      </c>
      <c r="I277" s="20">
        <f>I279+I278</f>
        <v>17788.2</v>
      </c>
    </row>
    <row r="278" spans="1:9" x14ac:dyDescent="0.2">
      <c r="A278" s="28" t="s">
        <v>66</v>
      </c>
      <c r="B278" s="24" t="s">
        <v>47</v>
      </c>
      <c r="C278" s="24">
        <v>0</v>
      </c>
      <c r="D278" s="24" t="s">
        <v>350</v>
      </c>
      <c r="E278" s="24" t="s">
        <v>435</v>
      </c>
      <c r="F278" s="27" t="s">
        <v>67</v>
      </c>
      <c r="G278" s="25">
        <f>'изм июнь вед стр-ра'!G426</f>
        <v>15</v>
      </c>
      <c r="H278" s="25">
        <f>'изм июнь вед стр-ра'!H426</f>
        <v>0</v>
      </c>
      <c r="I278" s="25">
        <f>'изм июнь вед стр-ра'!I426</f>
        <v>0</v>
      </c>
    </row>
    <row r="279" spans="1:9" ht="25.5" x14ac:dyDescent="0.2">
      <c r="A279" s="28" t="s">
        <v>119</v>
      </c>
      <c r="B279" s="24" t="s">
        <v>47</v>
      </c>
      <c r="C279" s="24">
        <v>0</v>
      </c>
      <c r="D279" s="24" t="s">
        <v>350</v>
      </c>
      <c r="E279" s="24" t="s">
        <v>435</v>
      </c>
      <c r="F279" s="24" t="s">
        <v>62</v>
      </c>
      <c r="G279" s="25">
        <f>'изм июнь вед стр-ра'!G427</f>
        <v>19139.400000000001</v>
      </c>
      <c r="H279" s="25">
        <f>'изм июнь вед стр-ра'!H427</f>
        <v>18166.8</v>
      </c>
      <c r="I279" s="25">
        <f>'изм июнь вед стр-ра'!I427</f>
        <v>17788.2</v>
      </c>
    </row>
    <row r="280" spans="1:9" s="72" customFormat="1" x14ac:dyDescent="0.2">
      <c r="A280" s="68" t="s">
        <v>288</v>
      </c>
      <c r="B280" s="70" t="s">
        <v>47</v>
      </c>
      <c r="C280" s="70">
        <v>0</v>
      </c>
      <c r="D280" s="70" t="s">
        <v>350</v>
      </c>
      <c r="E280" s="70" t="s">
        <v>434</v>
      </c>
      <c r="F280" s="70"/>
      <c r="G280" s="71">
        <f>G281+G282+G283</f>
        <v>1290.9000000000001</v>
      </c>
      <c r="H280" s="71">
        <f>H281+H282+H283</f>
        <v>1222.5</v>
      </c>
      <c r="I280" s="71">
        <f>I281+I282+I283</f>
        <v>1222.5</v>
      </c>
    </row>
    <row r="281" spans="1:9" s="72" customFormat="1" ht="51" x14ac:dyDescent="0.2">
      <c r="A281" s="73" t="s">
        <v>63</v>
      </c>
      <c r="B281" s="75" t="s">
        <v>47</v>
      </c>
      <c r="C281" s="75">
        <v>0</v>
      </c>
      <c r="D281" s="75" t="s">
        <v>350</v>
      </c>
      <c r="E281" s="75" t="s">
        <v>434</v>
      </c>
      <c r="F281" s="76" t="s">
        <v>64</v>
      </c>
      <c r="G281" s="55">
        <f>'изм июнь вед стр-ра'!G430</f>
        <v>1190.2</v>
      </c>
      <c r="H281" s="55">
        <f>'изм июнь вед стр-ра'!H430</f>
        <v>1186.8</v>
      </c>
      <c r="I281" s="55">
        <f>'изм июнь вед стр-ра'!I430</f>
        <v>1186.8</v>
      </c>
    </row>
    <row r="282" spans="1:9" s="72" customFormat="1" ht="25.5" x14ac:dyDescent="0.2">
      <c r="A282" s="73" t="s">
        <v>353</v>
      </c>
      <c r="B282" s="75" t="s">
        <v>47</v>
      </c>
      <c r="C282" s="75">
        <v>0</v>
      </c>
      <c r="D282" s="75" t="s">
        <v>350</v>
      </c>
      <c r="E282" s="75" t="s">
        <v>434</v>
      </c>
      <c r="F282" s="76" t="s">
        <v>65</v>
      </c>
      <c r="G282" s="55">
        <f>'изм июнь вед стр-ра'!G431</f>
        <v>95.5</v>
      </c>
      <c r="H282" s="55">
        <f>'изм июнь вед стр-ра'!H431</f>
        <v>35.700000000000003</v>
      </c>
      <c r="I282" s="55">
        <f>'изм июнь вед стр-ра'!I431</f>
        <v>35.700000000000003</v>
      </c>
    </row>
    <row r="283" spans="1:9" x14ac:dyDescent="0.2">
      <c r="A283" s="28" t="s">
        <v>69</v>
      </c>
      <c r="B283" s="24" t="s">
        <v>47</v>
      </c>
      <c r="C283" s="24">
        <v>0</v>
      </c>
      <c r="D283" s="24" t="s">
        <v>350</v>
      </c>
      <c r="E283" s="24" t="s">
        <v>434</v>
      </c>
      <c r="F283" s="24" t="s">
        <v>70</v>
      </c>
      <c r="G283" s="55">
        <f>'изм июнь вед стр-ра'!G432</f>
        <v>5.2</v>
      </c>
      <c r="H283" s="55">
        <f>'изм июнь вед стр-ра'!H432</f>
        <v>0</v>
      </c>
      <c r="I283" s="55">
        <f>'изм июнь вед стр-ра'!I432</f>
        <v>0</v>
      </c>
    </row>
    <row r="284" spans="1:9" x14ac:dyDescent="0.2">
      <c r="A284" s="18" t="s">
        <v>288</v>
      </c>
      <c r="B284" s="19" t="s">
        <v>47</v>
      </c>
      <c r="C284" s="19">
        <v>0</v>
      </c>
      <c r="D284" s="19" t="s">
        <v>350</v>
      </c>
      <c r="E284" s="19" t="s">
        <v>433</v>
      </c>
      <c r="F284" s="19"/>
      <c r="G284" s="20">
        <f>G285+G286</f>
        <v>20247.300000000003</v>
      </c>
      <c r="H284" s="20">
        <f t="shared" ref="H284:I284" si="33">H285+H286</f>
        <v>19753.8</v>
      </c>
      <c r="I284" s="20">
        <f t="shared" si="33"/>
        <v>19753.8</v>
      </c>
    </row>
    <row r="285" spans="1:9" ht="51" x14ac:dyDescent="0.2">
      <c r="A285" s="30" t="s">
        <v>63</v>
      </c>
      <c r="B285" s="24" t="s">
        <v>47</v>
      </c>
      <c r="C285" s="24">
        <v>0</v>
      </c>
      <c r="D285" s="24" t="s">
        <v>350</v>
      </c>
      <c r="E285" s="19" t="s">
        <v>433</v>
      </c>
      <c r="F285" s="27" t="s">
        <v>64</v>
      </c>
      <c r="G285" s="25">
        <f>'изм июнь вед стр-ра'!G434</f>
        <v>19696.100000000002</v>
      </c>
      <c r="H285" s="25">
        <f>'изм июнь вед стр-ра'!H434</f>
        <v>19692.7</v>
      </c>
      <c r="I285" s="25">
        <f>'изм июнь вед стр-ра'!I434</f>
        <v>19692.7</v>
      </c>
    </row>
    <row r="286" spans="1:9" s="72" customFormat="1" ht="25.5" x14ac:dyDescent="0.2">
      <c r="A286" s="73" t="s">
        <v>353</v>
      </c>
      <c r="B286" s="75" t="s">
        <v>47</v>
      </c>
      <c r="C286" s="75">
        <v>0</v>
      </c>
      <c r="D286" s="75" t="s">
        <v>350</v>
      </c>
      <c r="E286" s="70" t="s">
        <v>433</v>
      </c>
      <c r="F286" s="76" t="s">
        <v>65</v>
      </c>
      <c r="G286" s="25">
        <f>'изм июнь вед стр-ра'!G435</f>
        <v>551.20000000000005</v>
      </c>
      <c r="H286" s="25">
        <f>'изм июнь вед стр-ра'!H435</f>
        <v>61.1</v>
      </c>
      <c r="I286" s="25">
        <f>'изм июнь вед стр-ра'!I435</f>
        <v>61.1</v>
      </c>
    </row>
    <row r="287" spans="1:9" ht="25.5" x14ac:dyDescent="0.2">
      <c r="A287" s="39" t="s">
        <v>432</v>
      </c>
      <c r="B287" s="40" t="s">
        <v>40</v>
      </c>
      <c r="C287" s="40"/>
      <c r="D287" s="40"/>
      <c r="E287" s="40"/>
      <c r="F287" s="40"/>
      <c r="G287" s="38">
        <f>SUM(G288,G308,G312,G317,G332,G368)</f>
        <v>374573.63400000002</v>
      </c>
      <c r="H287" s="38">
        <f>SUM(H288,H308,H312,H317,H332,H368)</f>
        <v>366830.48599999998</v>
      </c>
      <c r="I287" s="38">
        <f>SUM(I288,I308,I312,I317,I332,I368)</f>
        <v>369082.8</v>
      </c>
    </row>
    <row r="288" spans="1:9" x14ac:dyDescent="0.2">
      <c r="A288" s="128" t="s">
        <v>431</v>
      </c>
      <c r="B288" s="104" t="s">
        <v>40</v>
      </c>
      <c r="C288" s="127" t="s">
        <v>391</v>
      </c>
      <c r="D288" s="127"/>
      <c r="E288" s="127"/>
      <c r="F288" s="127"/>
      <c r="G288" s="126">
        <f>SUM(G292,G295,G297,G302,G304)+G306+G289</f>
        <v>5665.0999999999985</v>
      </c>
      <c r="H288" s="126">
        <f t="shared" ref="H288:I288" si="34">SUM(H292,H295,H297,H302,H304)+H306+H289</f>
        <v>0</v>
      </c>
      <c r="I288" s="126">
        <f t="shared" si="34"/>
        <v>0</v>
      </c>
    </row>
    <row r="289" spans="1:9" s="194" customFormat="1" x14ac:dyDescent="0.2">
      <c r="A289" s="128" t="s">
        <v>534</v>
      </c>
      <c r="B289" s="104" t="s">
        <v>40</v>
      </c>
      <c r="C289" s="127" t="s">
        <v>391</v>
      </c>
      <c r="D289" s="127" t="s">
        <v>537</v>
      </c>
      <c r="E289" s="127"/>
      <c r="F289" s="127"/>
      <c r="G289" s="126">
        <f>G290</f>
        <v>53.4</v>
      </c>
      <c r="H289" s="126">
        <f t="shared" ref="H289:I290" si="35">H290</f>
        <v>0</v>
      </c>
      <c r="I289" s="126">
        <f t="shared" si="35"/>
        <v>0</v>
      </c>
    </row>
    <row r="290" spans="1:9" s="194" customFormat="1" ht="25.5" x14ac:dyDescent="0.2">
      <c r="A290" s="18" t="s">
        <v>557</v>
      </c>
      <c r="B290" s="19" t="s">
        <v>40</v>
      </c>
      <c r="C290" s="19">
        <v>1</v>
      </c>
      <c r="D290" s="19" t="s">
        <v>537</v>
      </c>
      <c r="E290" s="19" t="s">
        <v>559</v>
      </c>
      <c r="F290" s="19"/>
      <c r="G290" s="20">
        <f>G291</f>
        <v>53.4</v>
      </c>
      <c r="H290" s="20">
        <f t="shared" si="35"/>
        <v>0</v>
      </c>
      <c r="I290" s="20">
        <f t="shared" si="35"/>
        <v>0</v>
      </c>
    </row>
    <row r="291" spans="1:9" s="194" customFormat="1" ht="25.5" x14ac:dyDescent="0.2">
      <c r="A291" s="28" t="s">
        <v>119</v>
      </c>
      <c r="B291" s="24" t="s">
        <v>40</v>
      </c>
      <c r="C291" s="24">
        <v>1</v>
      </c>
      <c r="D291" s="24" t="s">
        <v>537</v>
      </c>
      <c r="E291" s="24" t="s">
        <v>559</v>
      </c>
      <c r="F291" s="24" t="s">
        <v>62</v>
      </c>
      <c r="G291" s="25">
        <f>'изм июнь вед стр-ра'!G444</f>
        <v>53.4</v>
      </c>
      <c r="H291" s="25">
        <f>'изм июнь вед стр-ра'!H444</f>
        <v>0</v>
      </c>
      <c r="I291" s="25">
        <f>'изм июнь вед стр-ра'!I444</f>
        <v>0</v>
      </c>
    </row>
    <row r="292" spans="1:9" x14ac:dyDescent="0.2">
      <c r="A292" s="18" t="s">
        <v>239</v>
      </c>
      <c r="B292" s="19" t="s">
        <v>40</v>
      </c>
      <c r="C292" s="19">
        <v>1</v>
      </c>
      <c r="D292" s="19" t="s">
        <v>350</v>
      </c>
      <c r="E292" s="19" t="s">
        <v>430</v>
      </c>
      <c r="F292" s="19"/>
      <c r="G292" s="20">
        <f>G293+G294</f>
        <v>2289.1999999999998</v>
      </c>
      <c r="H292" s="20">
        <f>H293+H294</f>
        <v>0</v>
      </c>
      <c r="I292" s="20">
        <f>I293+I294</f>
        <v>0</v>
      </c>
    </row>
    <row r="293" spans="1:9" ht="25.5" x14ac:dyDescent="0.2">
      <c r="A293" s="30" t="s">
        <v>353</v>
      </c>
      <c r="B293" s="24" t="s">
        <v>40</v>
      </c>
      <c r="C293" s="24">
        <v>1</v>
      </c>
      <c r="D293" s="24" t="s">
        <v>350</v>
      </c>
      <c r="E293" s="24" t="s">
        <v>430</v>
      </c>
      <c r="F293" s="24" t="s">
        <v>65</v>
      </c>
      <c r="G293" s="25">
        <f>'изм июнь вед стр-ра'!G506</f>
        <v>1474.1999999999998</v>
      </c>
      <c r="H293" s="25">
        <f>'изм июнь вед стр-ра'!H506</f>
        <v>0</v>
      </c>
      <c r="I293" s="25">
        <f>'изм июнь вед стр-ра'!I506</f>
        <v>0</v>
      </c>
    </row>
    <row r="294" spans="1:9" s="72" customFormat="1" x14ac:dyDescent="0.2">
      <c r="A294" s="80" t="s">
        <v>66</v>
      </c>
      <c r="B294" s="75" t="s">
        <v>40</v>
      </c>
      <c r="C294" s="75">
        <v>1</v>
      </c>
      <c r="D294" s="75" t="s">
        <v>350</v>
      </c>
      <c r="E294" s="75" t="s">
        <v>430</v>
      </c>
      <c r="F294" s="76" t="s">
        <v>67</v>
      </c>
      <c r="G294" s="25">
        <f>'изм июнь вед стр-ра'!G507</f>
        <v>815</v>
      </c>
      <c r="H294" s="25">
        <f>'изм июнь вед стр-ра'!H507</f>
        <v>0</v>
      </c>
      <c r="I294" s="25">
        <f>'изм июнь вед стр-ра'!I507</f>
        <v>0</v>
      </c>
    </row>
    <row r="295" spans="1:9" x14ac:dyDescent="0.2">
      <c r="A295" s="18" t="s">
        <v>241</v>
      </c>
      <c r="B295" s="19" t="s">
        <v>40</v>
      </c>
      <c r="C295" s="19">
        <v>1</v>
      </c>
      <c r="D295" s="19" t="s">
        <v>350</v>
      </c>
      <c r="E295" s="19" t="s">
        <v>429</v>
      </c>
      <c r="F295" s="19"/>
      <c r="G295" s="20">
        <f>G296</f>
        <v>968.2</v>
      </c>
      <c r="H295" s="20">
        <f>H296</f>
        <v>0</v>
      </c>
      <c r="I295" s="20">
        <f>I296</f>
        <v>0</v>
      </c>
    </row>
    <row r="296" spans="1:9" ht="25.5" x14ac:dyDescent="0.2">
      <c r="A296" s="28" t="s">
        <v>119</v>
      </c>
      <c r="B296" s="24" t="s">
        <v>40</v>
      </c>
      <c r="C296" s="24">
        <v>1</v>
      </c>
      <c r="D296" s="24" t="s">
        <v>350</v>
      </c>
      <c r="E296" s="24" t="s">
        <v>429</v>
      </c>
      <c r="F296" s="24" t="s">
        <v>62</v>
      </c>
      <c r="G296" s="25">
        <f>'изм июнь вед стр-ра'!G509</f>
        <v>968.2</v>
      </c>
      <c r="H296" s="25">
        <f>'изм июнь вед стр-ра'!H509</f>
        <v>0</v>
      </c>
      <c r="I296" s="25">
        <f>'изм июнь вед стр-ра'!I509</f>
        <v>0</v>
      </c>
    </row>
    <row r="297" spans="1:9" s="72" customFormat="1" x14ac:dyDescent="0.2">
      <c r="A297" s="68" t="s">
        <v>270</v>
      </c>
      <c r="B297" s="70" t="s">
        <v>40</v>
      </c>
      <c r="C297" s="70">
        <v>1</v>
      </c>
      <c r="D297" s="70" t="s">
        <v>350</v>
      </c>
      <c r="E297" s="70" t="s">
        <v>428</v>
      </c>
      <c r="F297" s="70"/>
      <c r="G297" s="71">
        <f>G299+G301+G300+G298</f>
        <v>1018.7000000000002</v>
      </c>
      <c r="H297" s="71">
        <f t="shared" ref="H297:I297" si="36">H299+H301+H300+H298</f>
        <v>0</v>
      </c>
      <c r="I297" s="71">
        <f t="shared" si="36"/>
        <v>0</v>
      </c>
    </row>
    <row r="298" spans="1:9" s="72" customFormat="1" ht="51" x14ac:dyDescent="0.2">
      <c r="A298" s="30" t="s">
        <v>63</v>
      </c>
      <c r="B298" s="24" t="s">
        <v>40</v>
      </c>
      <c r="C298" s="24">
        <v>1</v>
      </c>
      <c r="D298" s="24" t="s">
        <v>350</v>
      </c>
      <c r="E298" s="24" t="s">
        <v>428</v>
      </c>
      <c r="F298" s="70" t="s">
        <v>64</v>
      </c>
      <c r="G298" s="71">
        <f>'изм июнь вед стр-ра'!G133</f>
        <v>66.599999999999994</v>
      </c>
      <c r="H298" s="71">
        <f>'изм июнь вед стр-ра'!H133</f>
        <v>0</v>
      </c>
      <c r="I298" s="71">
        <f>'изм июнь вед стр-ра'!I133</f>
        <v>0</v>
      </c>
    </row>
    <row r="299" spans="1:9" x14ac:dyDescent="0.2">
      <c r="A299" s="28" t="s">
        <v>66</v>
      </c>
      <c r="B299" s="24" t="s">
        <v>40</v>
      </c>
      <c r="C299" s="24">
        <v>1</v>
      </c>
      <c r="D299" s="24" t="s">
        <v>350</v>
      </c>
      <c r="E299" s="24" t="s">
        <v>428</v>
      </c>
      <c r="F299" s="24" t="s">
        <v>67</v>
      </c>
      <c r="G299" s="25">
        <f>'изм июнь вед стр-ра'!G601</f>
        <v>718.7</v>
      </c>
      <c r="H299" s="25">
        <f>'изм июнь вед стр-ра'!H601</f>
        <v>0</v>
      </c>
      <c r="I299" s="25">
        <f>'изм июнь вед стр-ра'!I601</f>
        <v>0</v>
      </c>
    </row>
    <row r="300" spans="1:9" s="194" customFormat="1" ht="25.5" x14ac:dyDescent="0.2">
      <c r="A300" s="28" t="s">
        <v>119</v>
      </c>
      <c r="B300" s="24" t="s">
        <v>40</v>
      </c>
      <c r="C300" s="24">
        <v>1</v>
      </c>
      <c r="D300" s="24" t="s">
        <v>350</v>
      </c>
      <c r="E300" s="24" t="s">
        <v>428</v>
      </c>
      <c r="F300" s="24" t="s">
        <v>62</v>
      </c>
      <c r="G300" s="25">
        <f>+'изм июнь вед стр-ра'!G134+'изм июнь вед стр-ра'!G155</f>
        <v>112.7</v>
      </c>
      <c r="H300" s="25">
        <f>+'изм июнь вед стр-ра'!H134+'изм июнь вед стр-ра'!H155</f>
        <v>0</v>
      </c>
      <c r="I300" s="25">
        <f>+'изм июнь вед стр-ра'!I134+'изм июнь вед стр-ра'!I155</f>
        <v>0</v>
      </c>
    </row>
    <row r="301" spans="1:9" s="72" customFormat="1" x14ac:dyDescent="0.2">
      <c r="A301" s="28" t="s">
        <v>69</v>
      </c>
      <c r="B301" s="75" t="s">
        <v>40</v>
      </c>
      <c r="C301" s="75">
        <v>1</v>
      </c>
      <c r="D301" s="75" t="s">
        <v>350</v>
      </c>
      <c r="E301" s="75" t="s">
        <v>428</v>
      </c>
      <c r="F301" s="75" t="s">
        <v>70</v>
      </c>
      <c r="G301" s="55">
        <f>'изм июнь вед стр-ра'!G511</f>
        <v>120.7</v>
      </c>
      <c r="H301" s="55">
        <f>'изм июнь вед стр-ра'!H511</f>
        <v>0</v>
      </c>
      <c r="I301" s="55">
        <f>'изм июнь вед стр-ра'!I511</f>
        <v>0</v>
      </c>
    </row>
    <row r="302" spans="1:9" ht="25.5" x14ac:dyDescent="0.2">
      <c r="A302" s="18" t="s">
        <v>273</v>
      </c>
      <c r="B302" s="19" t="s">
        <v>40</v>
      </c>
      <c r="C302" s="19">
        <v>1</v>
      </c>
      <c r="D302" s="19" t="s">
        <v>350</v>
      </c>
      <c r="E302" s="19" t="s">
        <v>427</v>
      </c>
      <c r="F302" s="19"/>
      <c r="G302" s="20">
        <f>G303</f>
        <v>1290.0999999999999</v>
      </c>
      <c r="H302" s="20">
        <f>H303</f>
        <v>0</v>
      </c>
      <c r="I302" s="20">
        <f>I303</f>
        <v>0</v>
      </c>
    </row>
    <row r="303" spans="1:9" x14ac:dyDescent="0.2">
      <c r="A303" s="28" t="s">
        <v>66</v>
      </c>
      <c r="B303" s="24" t="s">
        <v>40</v>
      </c>
      <c r="C303" s="24">
        <v>1</v>
      </c>
      <c r="D303" s="24" t="s">
        <v>350</v>
      </c>
      <c r="E303" s="24" t="s">
        <v>427</v>
      </c>
      <c r="F303" s="24" t="s">
        <v>67</v>
      </c>
      <c r="G303" s="25">
        <f>'изм июнь вед стр-ра'!G603</f>
        <v>1290.0999999999999</v>
      </c>
      <c r="H303" s="25">
        <f>'изм июнь вед стр-ра'!H603</f>
        <v>0</v>
      </c>
      <c r="I303" s="25">
        <f>'изм июнь вед стр-ра'!I603</f>
        <v>0</v>
      </c>
    </row>
    <row r="304" spans="1:9" ht="63.75" x14ac:dyDescent="0.2">
      <c r="A304" s="54" t="s">
        <v>275</v>
      </c>
      <c r="B304" s="19" t="s">
        <v>40</v>
      </c>
      <c r="C304" s="19">
        <v>1</v>
      </c>
      <c r="D304" s="19" t="s">
        <v>350</v>
      </c>
      <c r="E304" s="19" t="s">
        <v>426</v>
      </c>
      <c r="F304" s="19"/>
      <c r="G304" s="20">
        <f>G305</f>
        <v>35.5</v>
      </c>
      <c r="H304" s="20">
        <f>H305</f>
        <v>0</v>
      </c>
      <c r="I304" s="20">
        <f>I305</f>
        <v>0</v>
      </c>
    </row>
    <row r="305" spans="1:9" x14ac:dyDescent="0.2">
      <c r="A305" s="28" t="s">
        <v>66</v>
      </c>
      <c r="B305" s="24" t="s">
        <v>40</v>
      </c>
      <c r="C305" s="24">
        <v>1</v>
      </c>
      <c r="D305" s="24" t="s">
        <v>350</v>
      </c>
      <c r="E305" s="24" t="s">
        <v>426</v>
      </c>
      <c r="F305" s="24" t="s">
        <v>67</v>
      </c>
      <c r="G305" s="25">
        <f>'изм июнь вед стр-ра'!G605</f>
        <v>35.5</v>
      </c>
      <c r="H305" s="25">
        <f>'изм июнь вед стр-ра'!H605</f>
        <v>0</v>
      </c>
      <c r="I305" s="25">
        <f>'изм июнь вед стр-ра'!I605</f>
        <v>0</v>
      </c>
    </row>
    <row r="306" spans="1:9" ht="25.5" x14ac:dyDescent="0.2">
      <c r="A306" s="68" t="s">
        <v>640</v>
      </c>
      <c r="B306" s="19" t="s">
        <v>40</v>
      </c>
      <c r="C306" s="19">
        <v>1</v>
      </c>
      <c r="D306" s="19" t="s">
        <v>350</v>
      </c>
      <c r="E306" s="19" t="s">
        <v>425</v>
      </c>
      <c r="F306" s="19"/>
      <c r="G306" s="20">
        <f>G307</f>
        <v>10</v>
      </c>
      <c r="H306" s="20">
        <f>H307</f>
        <v>0</v>
      </c>
      <c r="I306" s="20">
        <f>I307</f>
        <v>0</v>
      </c>
    </row>
    <row r="307" spans="1:9" ht="25.5" x14ac:dyDescent="0.2">
      <c r="A307" s="30" t="s">
        <v>353</v>
      </c>
      <c r="B307" s="24" t="s">
        <v>40</v>
      </c>
      <c r="C307" s="24">
        <v>1</v>
      </c>
      <c r="D307" s="24" t="s">
        <v>350</v>
      </c>
      <c r="E307" s="24" t="s">
        <v>425</v>
      </c>
      <c r="F307" s="24" t="s">
        <v>65</v>
      </c>
      <c r="G307" s="25">
        <f>'изм июнь вед стр-ра'!G513</f>
        <v>10</v>
      </c>
      <c r="H307" s="25">
        <f>'изм июнь вед стр-ра'!H513</f>
        <v>0</v>
      </c>
      <c r="I307" s="25">
        <f>'изм июнь вед стр-ра'!I513</f>
        <v>0</v>
      </c>
    </row>
    <row r="308" spans="1:9" s="72" customFormat="1" ht="51" x14ac:dyDescent="0.2">
      <c r="A308" s="132" t="s">
        <v>424</v>
      </c>
      <c r="B308" s="131" t="s">
        <v>40</v>
      </c>
      <c r="C308" s="130" t="s">
        <v>387</v>
      </c>
      <c r="D308" s="130"/>
      <c r="E308" s="130"/>
      <c r="F308" s="130"/>
      <c r="G308" s="129">
        <f>G309</f>
        <v>10230</v>
      </c>
      <c r="H308" s="129">
        <f>H309</f>
        <v>9482</v>
      </c>
      <c r="I308" s="129">
        <f>I309</f>
        <v>9482</v>
      </c>
    </row>
    <row r="309" spans="1:9" s="72" customFormat="1" ht="76.5" x14ac:dyDescent="0.2">
      <c r="A309" s="68" t="s">
        <v>231</v>
      </c>
      <c r="B309" s="70" t="s">
        <v>40</v>
      </c>
      <c r="C309" s="70">
        <v>2</v>
      </c>
      <c r="D309" s="70" t="s">
        <v>350</v>
      </c>
      <c r="E309" s="70" t="s">
        <v>423</v>
      </c>
      <c r="F309" s="70"/>
      <c r="G309" s="71">
        <f>G311+G310</f>
        <v>10230</v>
      </c>
      <c r="H309" s="71">
        <f>H311+H310</f>
        <v>9482</v>
      </c>
      <c r="I309" s="71">
        <f>I311+I310</f>
        <v>9482</v>
      </c>
    </row>
    <row r="310" spans="1:9" s="72" customFormat="1" ht="25.5" x14ac:dyDescent="0.2">
      <c r="A310" s="73" t="s">
        <v>353</v>
      </c>
      <c r="B310" s="75" t="s">
        <v>40</v>
      </c>
      <c r="C310" s="75">
        <v>2</v>
      </c>
      <c r="D310" s="75" t="s">
        <v>350</v>
      </c>
      <c r="E310" s="75" t="s">
        <v>423</v>
      </c>
      <c r="F310" s="76" t="s">
        <v>65</v>
      </c>
      <c r="G310" s="55">
        <f>'изм июнь вед стр-ра'!G455</f>
        <v>47.2</v>
      </c>
      <c r="H310" s="55">
        <f>'изм июнь вед стр-ра'!H455</f>
        <v>47.2</v>
      </c>
      <c r="I310" s="55">
        <f>'изм июнь вед стр-ра'!I455</f>
        <v>47.2</v>
      </c>
    </row>
    <row r="311" spans="1:9" s="72" customFormat="1" x14ac:dyDescent="0.2">
      <c r="A311" s="80" t="s">
        <v>66</v>
      </c>
      <c r="B311" s="75" t="s">
        <v>40</v>
      </c>
      <c r="C311" s="75">
        <v>2</v>
      </c>
      <c r="D311" s="75" t="s">
        <v>350</v>
      </c>
      <c r="E311" s="75" t="s">
        <v>423</v>
      </c>
      <c r="F311" s="75" t="s">
        <v>67</v>
      </c>
      <c r="G311" s="55">
        <f>'изм июнь вед стр-ра'!G456</f>
        <v>10182.799999999999</v>
      </c>
      <c r="H311" s="55">
        <f>'изм июнь вед стр-ра'!H456</f>
        <v>9434.7999999999993</v>
      </c>
      <c r="I311" s="55">
        <f>'изм июнь вед стр-ра'!I456</f>
        <v>9434.7999999999993</v>
      </c>
    </row>
    <row r="312" spans="1:9" s="72" customFormat="1" ht="38.25" x14ac:dyDescent="0.2">
      <c r="A312" s="132" t="s">
        <v>422</v>
      </c>
      <c r="B312" s="131" t="s">
        <v>40</v>
      </c>
      <c r="C312" s="130" t="s">
        <v>380</v>
      </c>
      <c r="D312" s="130"/>
      <c r="E312" s="130"/>
      <c r="F312" s="130"/>
      <c r="G312" s="129">
        <f>G313</f>
        <v>28219.9</v>
      </c>
      <c r="H312" s="129">
        <f>H313</f>
        <v>28219.9</v>
      </c>
      <c r="I312" s="129">
        <f>I313</f>
        <v>28219.9</v>
      </c>
    </row>
    <row r="313" spans="1:9" ht="25.5" x14ac:dyDescent="0.2">
      <c r="A313" s="18" t="s">
        <v>243</v>
      </c>
      <c r="B313" s="19" t="s">
        <v>40</v>
      </c>
      <c r="C313" s="19">
        <v>4</v>
      </c>
      <c r="D313" s="19" t="s">
        <v>350</v>
      </c>
      <c r="E313" s="19">
        <v>70280</v>
      </c>
      <c r="F313" s="19"/>
      <c r="G313" s="20">
        <f>G314+G315+G316</f>
        <v>28219.9</v>
      </c>
      <c r="H313" s="20">
        <f>H314+H315+H316</f>
        <v>28219.9</v>
      </c>
      <c r="I313" s="20">
        <f>I314+I315+I316</f>
        <v>28219.9</v>
      </c>
    </row>
    <row r="314" spans="1:9" ht="51" x14ac:dyDescent="0.2">
      <c r="A314" s="30" t="s">
        <v>63</v>
      </c>
      <c r="B314" s="24" t="s">
        <v>40</v>
      </c>
      <c r="C314" s="24">
        <v>4</v>
      </c>
      <c r="D314" s="24" t="s">
        <v>350</v>
      </c>
      <c r="E314" s="24">
        <v>70280</v>
      </c>
      <c r="F314" s="27" t="s">
        <v>64</v>
      </c>
      <c r="G314" s="25">
        <f>'изм июнь вед стр-ра'!G515</f>
        <v>26948.9</v>
      </c>
      <c r="H314" s="25">
        <f>'изм июнь вед стр-ра'!H515</f>
        <v>26948.9</v>
      </c>
      <c r="I314" s="25">
        <f>'изм июнь вед стр-ра'!I515</f>
        <v>26948.9</v>
      </c>
    </row>
    <row r="315" spans="1:9" ht="25.5" x14ac:dyDescent="0.2">
      <c r="A315" s="30" t="s">
        <v>353</v>
      </c>
      <c r="B315" s="24" t="s">
        <v>40</v>
      </c>
      <c r="C315" s="24">
        <v>4</v>
      </c>
      <c r="D315" s="24" t="s">
        <v>350</v>
      </c>
      <c r="E315" s="24">
        <v>70280</v>
      </c>
      <c r="F315" s="27" t="s">
        <v>65</v>
      </c>
      <c r="G315" s="25">
        <f>'изм июнь вед стр-ра'!G516</f>
        <v>1263.4000000000001</v>
      </c>
      <c r="H315" s="25">
        <f>'изм июнь вед стр-ра'!H516</f>
        <v>1263.4000000000001</v>
      </c>
      <c r="I315" s="25">
        <f>'изм июнь вед стр-ра'!I516</f>
        <v>1263.4000000000001</v>
      </c>
    </row>
    <row r="316" spans="1:9" s="72" customFormat="1" x14ac:dyDescent="0.2">
      <c r="A316" s="80" t="s">
        <v>69</v>
      </c>
      <c r="B316" s="75" t="s">
        <v>40</v>
      </c>
      <c r="C316" s="75">
        <v>4</v>
      </c>
      <c r="D316" s="75" t="s">
        <v>350</v>
      </c>
      <c r="E316" s="75">
        <v>70280</v>
      </c>
      <c r="F316" s="75" t="s">
        <v>70</v>
      </c>
      <c r="G316" s="25">
        <f>'изм июнь вед стр-ра'!G517</f>
        <v>7.6</v>
      </c>
      <c r="H316" s="25">
        <f>'изм июнь вед стр-ра'!H517</f>
        <v>7.6</v>
      </c>
      <c r="I316" s="25">
        <f>'изм июнь вед стр-ра'!I517</f>
        <v>7.6</v>
      </c>
    </row>
    <row r="317" spans="1:9" s="72" customFormat="1" ht="25.5" x14ac:dyDescent="0.2">
      <c r="A317" s="132" t="s">
        <v>421</v>
      </c>
      <c r="B317" s="131" t="s">
        <v>40</v>
      </c>
      <c r="C317" s="130" t="s">
        <v>377</v>
      </c>
      <c r="D317" s="130"/>
      <c r="E317" s="130"/>
      <c r="F317" s="130"/>
      <c r="G317" s="129">
        <f>SUM(G323,G325)+G318+G329+G321</f>
        <v>191107.43400000001</v>
      </c>
      <c r="H317" s="129">
        <f t="shared" ref="H317:I317" si="37">SUM(H323,H325)+H318+H329+H321</f>
        <v>188556.08599999998</v>
      </c>
      <c r="I317" s="129">
        <f t="shared" si="37"/>
        <v>186568.4</v>
      </c>
    </row>
    <row r="318" spans="1:9" s="194" customFormat="1" x14ac:dyDescent="0.2">
      <c r="A318" s="18" t="s">
        <v>534</v>
      </c>
      <c r="B318" s="19" t="s">
        <v>40</v>
      </c>
      <c r="C318" s="19" t="s">
        <v>377</v>
      </c>
      <c r="D318" s="19" t="s">
        <v>537</v>
      </c>
      <c r="E318" s="19"/>
      <c r="F318" s="8"/>
      <c r="G318" s="20">
        <f>G319</f>
        <v>3096</v>
      </c>
      <c r="H318" s="20">
        <f t="shared" ref="H318:I318" si="38">H319</f>
        <v>3096</v>
      </c>
      <c r="I318" s="20">
        <f t="shared" si="38"/>
        <v>1548</v>
      </c>
    </row>
    <row r="319" spans="1:9" s="194" customFormat="1" ht="25.5" x14ac:dyDescent="0.2">
      <c r="A319" s="18" t="s">
        <v>535</v>
      </c>
      <c r="B319" s="19" t="s">
        <v>40</v>
      </c>
      <c r="C319" s="19" t="s">
        <v>377</v>
      </c>
      <c r="D319" s="19" t="s">
        <v>537</v>
      </c>
      <c r="E319" s="19" t="s">
        <v>538</v>
      </c>
      <c r="F319" s="19"/>
      <c r="G319" s="20">
        <f>G320</f>
        <v>3096</v>
      </c>
      <c r="H319" s="20">
        <f t="shared" ref="H319:I319" si="39">H320</f>
        <v>3096</v>
      </c>
      <c r="I319" s="20">
        <f t="shared" si="39"/>
        <v>1548</v>
      </c>
    </row>
    <row r="320" spans="1:9" s="194" customFormat="1" ht="25.5" x14ac:dyDescent="0.2">
      <c r="A320" s="28" t="s">
        <v>119</v>
      </c>
      <c r="B320" s="19" t="s">
        <v>40</v>
      </c>
      <c r="C320" s="19" t="s">
        <v>377</v>
      </c>
      <c r="D320" s="19" t="s">
        <v>537</v>
      </c>
      <c r="E320" s="19" t="s">
        <v>538</v>
      </c>
      <c r="F320" s="19" t="s">
        <v>62</v>
      </c>
      <c r="G320" s="20">
        <f>'изм июнь вед стр-ра'!G519</f>
        <v>3096</v>
      </c>
      <c r="H320" s="20">
        <f>'изм июнь вед стр-ра'!H519</f>
        <v>3096</v>
      </c>
      <c r="I320" s="20">
        <f>'изм июнь вед стр-ра'!I519</f>
        <v>1548</v>
      </c>
    </row>
    <row r="321" spans="1:9" s="194" customFormat="1" ht="127.5" x14ac:dyDescent="0.2">
      <c r="A321" s="18" t="s">
        <v>698</v>
      </c>
      <c r="B321" s="19" t="s">
        <v>40</v>
      </c>
      <c r="C321" s="19" t="s">
        <v>377</v>
      </c>
      <c r="D321" s="19" t="s">
        <v>350</v>
      </c>
      <c r="E321" s="19" t="s">
        <v>700</v>
      </c>
      <c r="F321" s="19"/>
      <c r="G321" s="20">
        <f>G322</f>
        <v>1335</v>
      </c>
      <c r="H321" s="20">
        <f t="shared" ref="H321:I321" si="40">H322</f>
        <v>0</v>
      </c>
      <c r="I321" s="20">
        <f t="shared" si="40"/>
        <v>0</v>
      </c>
    </row>
    <row r="322" spans="1:9" s="194" customFormat="1" ht="51" x14ac:dyDescent="0.2">
      <c r="A322" s="73" t="s">
        <v>63</v>
      </c>
      <c r="B322" s="19" t="s">
        <v>40</v>
      </c>
      <c r="C322" s="19" t="s">
        <v>377</v>
      </c>
      <c r="D322" s="19" t="s">
        <v>350</v>
      </c>
      <c r="E322" s="19" t="s">
        <v>700</v>
      </c>
      <c r="F322" s="19" t="s">
        <v>64</v>
      </c>
      <c r="G322" s="20">
        <f>'изм июнь вед стр-ра'!G459</f>
        <v>1335</v>
      </c>
      <c r="H322" s="20">
        <f>'изм июнь вед стр-ра'!H459</f>
        <v>0</v>
      </c>
      <c r="I322" s="20">
        <f>'изм июнь вед стр-ра'!I459</f>
        <v>0</v>
      </c>
    </row>
    <row r="323" spans="1:9" s="72" customFormat="1" ht="76.5" customHeight="1" x14ac:dyDescent="0.2">
      <c r="A323" s="68" t="s">
        <v>616</v>
      </c>
      <c r="B323" s="70" t="s">
        <v>40</v>
      </c>
      <c r="C323" s="70">
        <v>5</v>
      </c>
      <c r="D323" s="70" t="s">
        <v>350</v>
      </c>
      <c r="E323" s="70" t="s">
        <v>617</v>
      </c>
      <c r="F323" s="70"/>
      <c r="G323" s="71">
        <f>G324</f>
        <v>133452.79999999999</v>
      </c>
      <c r="H323" s="71">
        <f>H324</f>
        <v>133452.79999999999</v>
      </c>
      <c r="I323" s="71">
        <f>I324</f>
        <v>133452.79999999999</v>
      </c>
    </row>
    <row r="324" spans="1:9" s="72" customFormat="1" ht="25.5" x14ac:dyDescent="0.2">
      <c r="A324" s="80" t="s">
        <v>119</v>
      </c>
      <c r="B324" s="75" t="s">
        <v>40</v>
      </c>
      <c r="C324" s="75">
        <v>5</v>
      </c>
      <c r="D324" s="75" t="s">
        <v>350</v>
      </c>
      <c r="E324" s="75" t="s">
        <v>617</v>
      </c>
      <c r="F324" s="75" t="s">
        <v>62</v>
      </c>
      <c r="G324" s="55">
        <f>'изм июнь вед стр-ра'!G461</f>
        <v>133452.79999999999</v>
      </c>
      <c r="H324" s="55">
        <f>'изм июнь вед стр-ра'!H461</f>
        <v>133452.79999999999</v>
      </c>
      <c r="I324" s="55">
        <f>'изм июнь вед стр-ра'!I461</f>
        <v>133452.79999999999</v>
      </c>
    </row>
    <row r="325" spans="1:9" s="72" customFormat="1" ht="63.75" x14ac:dyDescent="0.2">
      <c r="A325" s="68" t="s">
        <v>233</v>
      </c>
      <c r="B325" s="70" t="s">
        <v>40</v>
      </c>
      <c r="C325" s="70">
        <v>5</v>
      </c>
      <c r="D325" s="70" t="s">
        <v>350</v>
      </c>
      <c r="E325" s="70">
        <v>70170</v>
      </c>
      <c r="F325" s="70"/>
      <c r="G325" s="71">
        <f>G326+G328+G327</f>
        <v>51567.600000000006</v>
      </c>
      <c r="H325" s="71">
        <f>H326+H328+H327</f>
        <v>51567.600000000006</v>
      </c>
      <c r="I325" s="71">
        <f>I326+I328+I327</f>
        <v>51567.600000000006</v>
      </c>
    </row>
    <row r="326" spans="1:9" s="72" customFormat="1" ht="51" x14ac:dyDescent="0.2">
      <c r="A326" s="73" t="s">
        <v>63</v>
      </c>
      <c r="B326" s="75" t="s">
        <v>40</v>
      </c>
      <c r="C326" s="75">
        <v>5</v>
      </c>
      <c r="D326" s="75" t="s">
        <v>350</v>
      </c>
      <c r="E326" s="75">
        <v>70170</v>
      </c>
      <c r="F326" s="76" t="s">
        <v>64</v>
      </c>
      <c r="G326" s="55">
        <f>'изм июнь вед стр-ра'!G463</f>
        <v>44444.3</v>
      </c>
      <c r="H326" s="55">
        <f>'изм июнь вед стр-ра'!H463</f>
        <v>44444.3</v>
      </c>
      <c r="I326" s="55">
        <f>'изм июнь вед стр-ра'!I463</f>
        <v>44444.3</v>
      </c>
    </row>
    <row r="327" spans="1:9" s="72" customFormat="1" ht="25.5" x14ac:dyDescent="0.2">
      <c r="A327" s="73" t="s">
        <v>353</v>
      </c>
      <c r="B327" s="75" t="s">
        <v>40</v>
      </c>
      <c r="C327" s="75">
        <v>5</v>
      </c>
      <c r="D327" s="75" t="s">
        <v>350</v>
      </c>
      <c r="E327" s="75">
        <v>70170</v>
      </c>
      <c r="F327" s="76" t="s">
        <v>65</v>
      </c>
      <c r="G327" s="55">
        <f>'изм июнь вед стр-ра'!G464</f>
        <v>6828.3</v>
      </c>
      <c r="H327" s="55">
        <f>'изм июнь вед стр-ра'!H464</f>
        <v>6828.3</v>
      </c>
      <c r="I327" s="55">
        <f>'изм июнь вед стр-ра'!I464</f>
        <v>6828.3</v>
      </c>
    </row>
    <row r="328" spans="1:9" s="72" customFormat="1" x14ac:dyDescent="0.2">
      <c r="A328" s="80" t="s">
        <v>69</v>
      </c>
      <c r="B328" s="75" t="s">
        <v>40</v>
      </c>
      <c r="C328" s="75">
        <v>5</v>
      </c>
      <c r="D328" s="75" t="s">
        <v>350</v>
      </c>
      <c r="E328" s="75">
        <v>70170</v>
      </c>
      <c r="F328" s="75" t="s">
        <v>70</v>
      </c>
      <c r="G328" s="55">
        <f>'изм июнь вед стр-ра'!G465</f>
        <v>295</v>
      </c>
      <c r="H328" s="55">
        <f>'изм июнь вед стр-ра'!H465</f>
        <v>295</v>
      </c>
      <c r="I328" s="55">
        <f>'изм июнь вед стр-ра'!I465</f>
        <v>295</v>
      </c>
    </row>
    <row r="329" spans="1:9" s="72" customFormat="1" ht="25.5" x14ac:dyDescent="0.2">
      <c r="A329" s="80" t="s">
        <v>234</v>
      </c>
      <c r="B329" s="70" t="s">
        <v>40</v>
      </c>
      <c r="C329" s="70">
        <v>5</v>
      </c>
      <c r="D329" s="70" t="s">
        <v>350</v>
      </c>
      <c r="E329" s="70" t="s">
        <v>556</v>
      </c>
      <c r="F329" s="75"/>
      <c r="G329" s="55">
        <f>G331+G330</f>
        <v>1656.0340000000001</v>
      </c>
      <c r="H329" s="55">
        <f t="shared" ref="H329:I329" si="41">H331+H330</f>
        <v>439.68599999999998</v>
      </c>
      <c r="I329" s="55">
        <f t="shared" si="41"/>
        <v>0</v>
      </c>
    </row>
    <row r="330" spans="1:9" s="72" customFormat="1" ht="51" x14ac:dyDescent="0.2">
      <c r="A330" s="73" t="s">
        <v>63</v>
      </c>
      <c r="B330" s="70" t="s">
        <v>40</v>
      </c>
      <c r="C330" s="70">
        <v>5</v>
      </c>
      <c r="D330" s="70" t="s">
        <v>350</v>
      </c>
      <c r="E330" s="70" t="s">
        <v>556</v>
      </c>
      <c r="F330" s="75" t="s">
        <v>64</v>
      </c>
      <c r="G330" s="55">
        <f>'изм июнь вед стр-ра'!G467</f>
        <v>20.399999999999999</v>
      </c>
      <c r="H330" s="55">
        <f>'изм июнь вед стр-ра'!H467</f>
        <v>0</v>
      </c>
      <c r="I330" s="55">
        <f>'изм июнь вед стр-ра'!I467</f>
        <v>0</v>
      </c>
    </row>
    <row r="331" spans="1:9" s="72" customFormat="1" ht="25.5" x14ac:dyDescent="0.2">
      <c r="A331" s="73" t="s">
        <v>353</v>
      </c>
      <c r="B331" s="70" t="s">
        <v>40</v>
      </c>
      <c r="C331" s="70">
        <v>5</v>
      </c>
      <c r="D331" s="70" t="s">
        <v>350</v>
      </c>
      <c r="E331" s="70" t="s">
        <v>556</v>
      </c>
      <c r="F331" s="75" t="s">
        <v>65</v>
      </c>
      <c r="G331" s="55">
        <f>'изм июнь вед стр-ра'!G468</f>
        <v>1635.634</v>
      </c>
      <c r="H331" s="55">
        <f>'изм июнь вед стр-ра'!H468</f>
        <v>439.68599999999998</v>
      </c>
      <c r="I331" s="55">
        <f>'изм июнь вед стр-ра'!I468</f>
        <v>0</v>
      </c>
    </row>
    <row r="332" spans="1:9" s="72" customFormat="1" ht="25.5" x14ac:dyDescent="0.2">
      <c r="A332" s="132" t="s">
        <v>420</v>
      </c>
      <c r="B332" s="131" t="s">
        <v>40</v>
      </c>
      <c r="C332" s="130" t="s">
        <v>373</v>
      </c>
      <c r="D332" s="130"/>
      <c r="E332" s="130"/>
      <c r="F332" s="130"/>
      <c r="G332" s="129">
        <f>SUM(G339,G341,G344,G346,G348,G352,G354,G356,G359,G361,G364)+G350+G333</f>
        <v>136882.9</v>
      </c>
      <c r="H332" s="129">
        <f t="shared" ref="H332:I332" si="42">SUM(H339,H341,H344,H346,H348,H352,H354,H356,H359,H361,H364)+H350+H333</f>
        <v>140572.5</v>
      </c>
      <c r="I332" s="129">
        <f t="shared" si="42"/>
        <v>144812.5</v>
      </c>
    </row>
    <row r="333" spans="1:9" s="72" customFormat="1" ht="25.5" x14ac:dyDescent="0.2">
      <c r="A333" s="68" t="s">
        <v>636</v>
      </c>
      <c r="B333" s="70" t="s">
        <v>40</v>
      </c>
      <c r="C333" s="70" t="s">
        <v>373</v>
      </c>
      <c r="D333" s="70" t="s">
        <v>418</v>
      </c>
      <c r="E333" s="70"/>
      <c r="F333" s="70"/>
      <c r="G333" s="71">
        <f>SUM(G334)+G336</f>
        <v>80167</v>
      </c>
      <c r="H333" s="71">
        <f t="shared" ref="H333:I333" si="43">SUM(H334)+H336</f>
        <v>82365</v>
      </c>
      <c r="I333" s="71">
        <f t="shared" si="43"/>
        <v>84626</v>
      </c>
    </row>
    <row r="334" spans="1:9" s="72" customFormat="1" ht="25.5" x14ac:dyDescent="0.2">
      <c r="A334" s="68" t="s">
        <v>338</v>
      </c>
      <c r="B334" s="70" t="s">
        <v>40</v>
      </c>
      <c r="C334" s="70">
        <v>6</v>
      </c>
      <c r="D334" s="70" t="s">
        <v>418</v>
      </c>
      <c r="E334" s="70" t="s">
        <v>419</v>
      </c>
      <c r="F334" s="70"/>
      <c r="G334" s="71">
        <f>G335</f>
        <v>73264</v>
      </c>
      <c r="H334" s="71">
        <f t="shared" ref="H334:I334" si="44">H335</f>
        <v>75462</v>
      </c>
      <c r="I334" s="71">
        <f t="shared" si="44"/>
        <v>77723</v>
      </c>
    </row>
    <row r="335" spans="1:9" s="72" customFormat="1" x14ac:dyDescent="0.2">
      <c r="A335" s="80" t="s">
        <v>66</v>
      </c>
      <c r="B335" s="75" t="s">
        <v>40</v>
      </c>
      <c r="C335" s="75">
        <v>6</v>
      </c>
      <c r="D335" s="75" t="s">
        <v>418</v>
      </c>
      <c r="E335" s="75" t="s">
        <v>419</v>
      </c>
      <c r="F335" s="75" t="s">
        <v>67</v>
      </c>
      <c r="G335" s="55">
        <f>'изм июнь вед стр-ра'!G499</f>
        <v>73264</v>
      </c>
      <c r="H335" s="55">
        <f>'изм июнь вед стр-ра'!H499</f>
        <v>75462</v>
      </c>
      <c r="I335" s="55">
        <f>'изм июнь вед стр-ра'!I499</f>
        <v>77723</v>
      </c>
    </row>
    <row r="336" spans="1:9" ht="51" x14ac:dyDescent="0.2">
      <c r="A336" s="18" t="s">
        <v>220</v>
      </c>
      <c r="B336" s="19" t="s">
        <v>40</v>
      </c>
      <c r="C336" s="19">
        <v>6</v>
      </c>
      <c r="D336" s="19" t="s">
        <v>418</v>
      </c>
      <c r="E336" s="19">
        <v>70050</v>
      </c>
      <c r="F336" s="19"/>
      <c r="G336" s="20">
        <f>G337+G338</f>
        <v>6903</v>
      </c>
      <c r="H336" s="20">
        <f t="shared" ref="H336:I336" si="45">H337+H338</f>
        <v>6903</v>
      </c>
      <c r="I336" s="20">
        <f t="shared" si="45"/>
        <v>6903</v>
      </c>
    </row>
    <row r="337" spans="1:9" x14ac:dyDescent="0.2">
      <c r="A337" s="28" t="s">
        <v>66</v>
      </c>
      <c r="B337" s="24" t="s">
        <v>40</v>
      </c>
      <c r="C337" s="24">
        <v>6</v>
      </c>
      <c r="D337" s="24" t="s">
        <v>418</v>
      </c>
      <c r="E337" s="24">
        <v>70050</v>
      </c>
      <c r="F337" s="24" t="s">
        <v>67</v>
      </c>
      <c r="G337" s="25">
        <f>'изм июнь вед стр-ра'!G473</f>
        <v>42.5</v>
      </c>
      <c r="H337" s="25">
        <f>'изм июнь вед стр-ра'!H473</f>
        <v>42.5</v>
      </c>
      <c r="I337" s="25">
        <f>'изм июнь вед стр-ра'!I473</f>
        <v>42.5</v>
      </c>
    </row>
    <row r="338" spans="1:9" ht="25.5" x14ac:dyDescent="0.2">
      <c r="A338" s="28" t="s">
        <v>119</v>
      </c>
      <c r="B338" s="24" t="s">
        <v>40</v>
      </c>
      <c r="C338" s="24">
        <v>6</v>
      </c>
      <c r="D338" s="24" t="s">
        <v>418</v>
      </c>
      <c r="E338" s="24">
        <v>70050</v>
      </c>
      <c r="F338" s="24" t="s">
        <v>62</v>
      </c>
      <c r="G338" s="25">
        <f>'изм июнь вед стр-ра'!G358</f>
        <v>6860.5</v>
      </c>
      <c r="H338" s="25">
        <f>'изм июнь вед стр-ра'!H358</f>
        <v>6860.5</v>
      </c>
      <c r="I338" s="25">
        <f>'изм июнь вед стр-ра'!I358</f>
        <v>6860.5</v>
      </c>
    </row>
    <row r="339" spans="1:9" ht="76.5" x14ac:dyDescent="0.2">
      <c r="A339" s="18" t="s">
        <v>237</v>
      </c>
      <c r="B339" s="19" t="s">
        <v>40</v>
      </c>
      <c r="C339" s="19">
        <v>6</v>
      </c>
      <c r="D339" s="19" t="s">
        <v>350</v>
      </c>
      <c r="E339" s="19">
        <v>52700</v>
      </c>
      <c r="F339" s="19"/>
      <c r="G339" s="20">
        <f>G340</f>
        <v>615</v>
      </c>
      <c r="H339" s="20">
        <f>H340</f>
        <v>634</v>
      </c>
      <c r="I339" s="20">
        <f>I340</f>
        <v>659</v>
      </c>
    </row>
    <row r="340" spans="1:9" s="72" customFormat="1" x14ac:dyDescent="0.2">
      <c r="A340" s="80" t="s">
        <v>66</v>
      </c>
      <c r="B340" s="75" t="s">
        <v>40</v>
      </c>
      <c r="C340" s="75">
        <v>6</v>
      </c>
      <c r="D340" s="75" t="s">
        <v>350</v>
      </c>
      <c r="E340" s="75">
        <v>52700</v>
      </c>
      <c r="F340" s="75" t="s">
        <v>67</v>
      </c>
      <c r="G340" s="55">
        <f>'изм июнь вед стр-ра'!G501</f>
        <v>615</v>
      </c>
      <c r="H340" s="55">
        <f>'изм июнь вед стр-ра'!H501</f>
        <v>634</v>
      </c>
      <c r="I340" s="55">
        <f>'изм июнь вед стр-ра'!I501</f>
        <v>659</v>
      </c>
    </row>
    <row r="341" spans="1:9" ht="76.5" x14ac:dyDescent="0.2">
      <c r="A341" s="18" t="s">
        <v>235</v>
      </c>
      <c r="B341" s="19" t="s">
        <v>40</v>
      </c>
      <c r="C341" s="19">
        <v>6</v>
      </c>
      <c r="D341" s="19" t="s">
        <v>350</v>
      </c>
      <c r="E341" s="19">
        <v>52800</v>
      </c>
      <c r="F341" s="19"/>
      <c r="G341" s="20">
        <f>G342+G343</f>
        <v>11.4</v>
      </c>
      <c r="H341" s="20">
        <f>H342+H343</f>
        <v>0</v>
      </c>
      <c r="I341" s="20">
        <f>I342+I343</f>
        <v>0</v>
      </c>
    </row>
    <row r="342" spans="1:9" s="72" customFormat="1" ht="25.5" x14ac:dyDescent="0.2">
      <c r="A342" s="73" t="s">
        <v>353</v>
      </c>
      <c r="B342" s="75" t="s">
        <v>40</v>
      </c>
      <c r="C342" s="75">
        <v>6</v>
      </c>
      <c r="D342" s="75" t="s">
        <v>350</v>
      </c>
      <c r="E342" s="75">
        <v>52800</v>
      </c>
      <c r="F342" s="76" t="s">
        <v>65</v>
      </c>
      <c r="G342" s="55">
        <f>'изм июнь вед стр-ра'!G475</f>
        <v>8.4970000000000004E-2</v>
      </c>
      <c r="H342" s="55">
        <f>'изм июнь вед стр-ра'!H475</f>
        <v>0</v>
      </c>
      <c r="I342" s="55">
        <f>'изм июнь вед стр-ра'!I475</f>
        <v>0</v>
      </c>
    </row>
    <row r="343" spans="1:9" s="72" customFormat="1" x14ac:dyDescent="0.2">
      <c r="A343" s="80" t="s">
        <v>66</v>
      </c>
      <c r="B343" s="75" t="s">
        <v>40</v>
      </c>
      <c r="C343" s="75">
        <v>6</v>
      </c>
      <c r="D343" s="75" t="s">
        <v>350</v>
      </c>
      <c r="E343" s="75">
        <v>52800</v>
      </c>
      <c r="F343" s="75" t="s">
        <v>67</v>
      </c>
      <c r="G343" s="55">
        <f>'изм июнь вед стр-ра'!G476</f>
        <v>11.31503</v>
      </c>
      <c r="H343" s="55">
        <f>'изм июнь вед стр-ра'!H476</f>
        <v>0</v>
      </c>
      <c r="I343" s="55">
        <f>'изм июнь вед стр-ра'!I476</f>
        <v>0</v>
      </c>
    </row>
    <row r="344" spans="1:9" ht="89.25" x14ac:dyDescent="0.2">
      <c r="A344" s="18" t="s">
        <v>238</v>
      </c>
      <c r="B344" s="19" t="s">
        <v>40</v>
      </c>
      <c r="C344" s="19">
        <v>6</v>
      </c>
      <c r="D344" s="19" t="s">
        <v>350</v>
      </c>
      <c r="E344" s="19">
        <v>53800</v>
      </c>
      <c r="F344" s="19"/>
      <c r="G344" s="20">
        <f>G345</f>
        <v>48414</v>
      </c>
      <c r="H344" s="20">
        <f t="shared" ref="H344:I344" si="46">H345</f>
        <v>49898</v>
      </c>
      <c r="I344" s="20">
        <f t="shared" si="46"/>
        <v>51852</v>
      </c>
    </row>
    <row r="345" spans="1:9" s="72" customFormat="1" x14ac:dyDescent="0.2">
      <c r="A345" s="80" t="s">
        <v>66</v>
      </c>
      <c r="B345" s="70" t="s">
        <v>40</v>
      </c>
      <c r="C345" s="70">
        <v>6</v>
      </c>
      <c r="D345" s="70" t="s">
        <v>350</v>
      </c>
      <c r="E345" s="70">
        <v>53800</v>
      </c>
      <c r="F345" s="75" t="s">
        <v>67</v>
      </c>
      <c r="G345" s="25">
        <f>'изм июнь вед стр-ра'!G503</f>
        <v>48414</v>
      </c>
      <c r="H345" s="25">
        <f>'изм июнь вед стр-ра'!H503</f>
        <v>49898</v>
      </c>
      <c r="I345" s="25">
        <f>'изм июнь вед стр-ра'!I503</f>
        <v>51852</v>
      </c>
    </row>
    <row r="346" spans="1:9" ht="63.75" x14ac:dyDescent="0.2">
      <c r="A346" s="18" t="s">
        <v>153</v>
      </c>
      <c r="B346" s="19" t="s">
        <v>40</v>
      </c>
      <c r="C346" s="19">
        <v>6</v>
      </c>
      <c r="D346" s="19" t="s">
        <v>350</v>
      </c>
      <c r="E346" s="19">
        <v>70010</v>
      </c>
      <c r="F346" s="19"/>
      <c r="G346" s="20">
        <f>G347</f>
        <v>2070</v>
      </c>
      <c r="H346" s="20">
        <f t="shared" ref="H346:I346" si="47">H347</f>
        <v>2070</v>
      </c>
      <c r="I346" s="20">
        <f t="shared" si="47"/>
        <v>2070</v>
      </c>
    </row>
    <row r="347" spans="1:9" x14ac:dyDescent="0.2">
      <c r="A347" s="28" t="s">
        <v>66</v>
      </c>
      <c r="B347" s="24" t="s">
        <v>40</v>
      </c>
      <c r="C347" s="24">
        <v>6</v>
      </c>
      <c r="D347" s="24" t="s">
        <v>350</v>
      </c>
      <c r="E347" s="24">
        <v>70010</v>
      </c>
      <c r="F347" s="24" t="s">
        <v>67</v>
      </c>
      <c r="G347" s="25">
        <f>'изм июнь вед стр-ра'!G478</f>
        <v>2070</v>
      </c>
      <c r="H347" s="25">
        <f>'изм июнь вед стр-ра'!H478</f>
        <v>2070</v>
      </c>
      <c r="I347" s="25">
        <f>'изм июнь вед стр-ра'!I478</f>
        <v>2070</v>
      </c>
    </row>
    <row r="348" spans="1:9" ht="127.5" x14ac:dyDescent="0.2">
      <c r="A348" s="18" t="s">
        <v>278</v>
      </c>
      <c r="B348" s="19" t="s">
        <v>40</v>
      </c>
      <c r="C348" s="19">
        <v>6</v>
      </c>
      <c r="D348" s="19" t="s">
        <v>350</v>
      </c>
      <c r="E348" s="19">
        <v>70020</v>
      </c>
      <c r="F348" s="19"/>
      <c r="G348" s="20">
        <f>G349</f>
        <v>36</v>
      </c>
      <c r="H348" s="20">
        <f t="shared" ref="H348:I348" si="48">H349</f>
        <v>36</v>
      </c>
      <c r="I348" s="20">
        <f t="shared" si="48"/>
        <v>36</v>
      </c>
    </row>
    <row r="349" spans="1:9" s="72" customFormat="1" x14ac:dyDescent="0.2">
      <c r="A349" s="80" t="s">
        <v>66</v>
      </c>
      <c r="B349" s="75" t="s">
        <v>40</v>
      </c>
      <c r="C349" s="75">
        <v>6</v>
      </c>
      <c r="D349" s="75" t="s">
        <v>350</v>
      </c>
      <c r="E349" s="75">
        <v>70020</v>
      </c>
      <c r="F349" s="75" t="s">
        <v>67</v>
      </c>
      <c r="G349" s="25">
        <f>'изм июнь вед стр-ра'!G480</f>
        <v>36</v>
      </c>
      <c r="H349" s="25">
        <f>'изм июнь вед стр-ра'!H480</f>
        <v>36</v>
      </c>
      <c r="I349" s="25">
        <f>'изм июнь вед стр-ра'!I480</f>
        <v>36</v>
      </c>
    </row>
    <row r="350" spans="1:9" ht="63" customHeight="1" x14ac:dyDescent="0.2">
      <c r="A350" s="18" t="s">
        <v>345</v>
      </c>
      <c r="B350" s="19" t="s">
        <v>40</v>
      </c>
      <c r="C350" s="19">
        <v>6</v>
      </c>
      <c r="D350" s="19" t="s">
        <v>350</v>
      </c>
      <c r="E350" s="19">
        <v>70030</v>
      </c>
      <c r="F350" s="19"/>
      <c r="G350" s="55">
        <f>G351</f>
        <v>260</v>
      </c>
      <c r="H350" s="55">
        <f t="shared" ref="H350:I350" si="49">H351</f>
        <v>260</v>
      </c>
      <c r="I350" s="55">
        <f t="shared" si="49"/>
        <v>260</v>
      </c>
    </row>
    <row r="351" spans="1:9" s="72" customFormat="1" x14ac:dyDescent="0.2">
      <c r="A351" s="80" t="s">
        <v>66</v>
      </c>
      <c r="B351" s="75" t="s">
        <v>40</v>
      </c>
      <c r="C351" s="75">
        <v>6</v>
      </c>
      <c r="D351" s="75" t="s">
        <v>350</v>
      </c>
      <c r="E351" s="75">
        <v>70030</v>
      </c>
      <c r="F351" s="75" t="s">
        <v>67</v>
      </c>
      <c r="G351" s="25">
        <f>'изм июнь вед стр-ра'!G482</f>
        <v>260</v>
      </c>
      <c r="H351" s="25">
        <f>'изм июнь вед стр-ра'!H482</f>
        <v>260</v>
      </c>
      <c r="I351" s="25">
        <f>'изм июнь вед стр-ра'!I482</f>
        <v>260</v>
      </c>
    </row>
    <row r="352" spans="1:9" ht="51" x14ac:dyDescent="0.2">
      <c r="A352" s="18" t="s">
        <v>154</v>
      </c>
      <c r="B352" s="19" t="s">
        <v>40</v>
      </c>
      <c r="C352" s="19">
        <v>6</v>
      </c>
      <c r="D352" s="19" t="s">
        <v>350</v>
      </c>
      <c r="E352" s="19">
        <v>70060</v>
      </c>
      <c r="F352" s="19"/>
      <c r="G352" s="20">
        <f>G353</f>
        <v>29.1</v>
      </c>
      <c r="H352" s="20">
        <f t="shared" ref="H352:I352" si="50">H353</f>
        <v>29.1</v>
      </c>
      <c r="I352" s="20">
        <f t="shared" si="50"/>
        <v>29.1</v>
      </c>
    </row>
    <row r="353" spans="1:9" x14ac:dyDescent="0.2">
      <c r="A353" s="28" t="s">
        <v>66</v>
      </c>
      <c r="B353" s="24" t="s">
        <v>40</v>
      </c>
      <c r="C353" s="24">
        <v>6</v>
      </c>
      <c r="D353" s="24" t="s">
        <v>350</v>
      </c>
      <c r="E353" s="24">
        <v>70060</v>
      </c>
      <c r="F353" s="24" t="s">
        <v>67</v>
      </c>
      <c r="G353" s="25">
        <f>'изм июнь вед стр-ра'!G484</f>
        <v>29.1</v>
      </c>
      <c r="H353" s="25">
        <f>'изм июнь вед стр-ра'!H484</f>
        <v>29.1</v>
      </c>
      <c r="I353" s="25">
        <f>'изм июнь вед стр-ра'!I484</f>
        <v>29.1</v>
      </c>
    </row>
    <row r="354" spans="1:9" ht="51" x14ac:dyDescent="0.2">
      <c r="A354" s="18" t="s">
        <v>155</v>
      </c>
      <c r="B354" s="19" t="s">
        <v>40</v>
      </c>
      <c r="C354" s="19">
        <v>6</v>
      </c>
      <c r="D354" s="19" t="s">
        <v>350</v>
      </c>
      <c r="E354" s="19">
        <v>70080</v>
      </c>
      <c r="F354" s="19"/>
      <c r="G354" s="20">
        <f>G355</f>
        <v>60</v>
      </c>
      <c r="H354" s="20">
        <f t="shared" ref="H354:I354" si="51">H355</f>
        <v>60</v>
      </c>
      <c r="I354" s="20">
        <f t="shared" si="51"/>
        <v>60</v>
      </c>
    </row>
    <row r="355" spans="1:9" s="72" customFormat="1" x14ac:dyDescent="0.2">
      <c r="A355" s="80" t="s">
        <v>66</v>
      </c>
      <c r="B355" s="75" t="s">
        <v>40</v>
      </c>
      <c r="C355" s="75">
        <v>6</v>
      </c>
      <c r="D355" s="75" t="s">
        <v>350</v>
      </c>
      <c r="E355" s="75">
        <v>70080</v>
      </c>
      <c r="F355" s="75" t="s">
        <v>67</v>
      </c>
      <c r="G355" s="25">
        <f>'изм июнь вед стр-ра'!G486</f>
        <v>60</v>
      </c>
      <c r="H355" s="25">
        <f>'изм июнь вед стр-ра'!H486</f>
        <v>60</v>
      </c>
      <c r="I355" s="25">
        <f>'изм июнь вед стр-ра'!I486</f>
        <v>60</v>
      </c>
    </row>
    <row r="356" spans="1:9" ht="89.25" x14ac:dyDescent="0.2">
      <c r="A356" s="18" t="s">
        <v>638</v>
      </c>
      <c r="B356" s="19" t="s">
        <v>40</v>
      </c>
      <c r="C356" s="19">
        <v>6</v>
      </c>
      <c r="D356" s="19" t="s">
        <v>350</v>
      </c>
      <c r="E356" s="19" t="s">
        <v>619</v>
      </c>
      <c r="F356" s="19"/>
      <c r="G356" s="20">
        <f>G358+G357</f>
        <v>2523.4</v>
      </c>
      <c r="H356" s="20">
        <f>H358+H357</f>
        <v>2523.4</v>
      </c>
      <c r="I356" s="20">
        <f>I358+I357</f>
        <v>2523.4</v>
      </c>
    </row>
    <row r="357" spans="1:9" ht="25.5" x14ac:dyDescent="0.2">
      <c r="A357" s="30" t="s">
        <v>353</v>
      </c>
      <c r="B357" s="24" t="s">
        <v>40</v>
      </c>
      <c r="C357" s="24">
        <v>6</v>
      </c>
      <c r="D357" s="24" t="s">
        <v>350</v>
      </c>
      <c r="E357" s="24" t="s">
        <v>619</v>
      </c>
      <c r="F357" s="27" t="s">
        <v>65</v>
      </c>
      <c r="G357" s="25">
        <f>'изм июнь вед стр-ра'!G488</f>
        <v>33.1</v>
      </c>
      <c r="H357" s="25">
        <f>'изм июнь вед стр-ра'!H488</f>
        <v>33.1</v>
      </c>
      <c r="I357" s="25">
        <f>'изм июнь вед стр-ра'!I488</f>
        <v>33.1</v>
      </c>
    </row>
    <row r="358" spans="1:9" s="72" customFormat="1" x14ac:dyDescent="0.2">
      <c r="A358" s="80" t="s">
        <v>66</v>
      </c>
      <c r="B358" s="75" t="s">
        <v>40</v>
      </c>
      <c r="C358" s="75">
        <v>6</v>
      </c>
      <c r="D358" s="75" t="s">
        <v>350</v>
      </c>
      <c r="E358" s="75" t="s">
        <v>619</v>
      </c>
      <c r="F358" s="75" t="s">
        <v>67</v>
      </c>
      <c r="G358" s="25">
        <f>'изм июнь вед стр-ра'!G489</f>
        <v>2490.3000000000002</v>
      </c>
      <c r="H358" s="25">
        <f>'изм июнь вед стр-ра'!H489</f>
        <v>2490.3000000000002</v>
      </c>
      <c r="I358" s="25">
        <f>'изм июнь вед стр-ра'!I489</f>
        <v>2490.3000000000002</v>
      </c>
    </row>
    <row r="359" spans="1:9" ht="63" customHeight="1" x14ac:dyDescent="0.2">
      <c r="A359" s="18" t="s">
        <v>236</v>
      </c>
      <c r="B359" s="19" t="s">
        <v>40</v>
      </c>
      <c r="C359" s="19">
        <v>6</v>
      </c>
      <c r="D359" s="19" t="s">
        <v>350</v>
      </c>
      <c r="E359" s="19">
        <v>70190</v>
      </c>
      <c r="F359" s="19"/>
      <c r="G359" s="20">
        <f>G360</f>
        <v>10</v>
      </c>
      <c r="H359" s="20">
        <f>H360</f>
        <v>10</v>
      </c>
      <c r="I359" s="20">
        <f>I360</f>
        <v>10</v>
      </c>
    </row>
    <row r="360" spans="1:9" s="72" customFormat="1" ht="51" x14ac:dyDescent="0.2">
      <c r="A360" s="73" t="s">
        <v>63</v>
      </c>
      <c r="B360" s="75" t="s">
        <v>40</v>
      </c>
      <c r="C360" s="75">
        <v>6</v>
      </c>
      <c r="D360" s="75" t="s">
        <v>350</v>
      </c>
      <c r="E360" s="75">
        <v>70190</v>
      </c>
      <c r="F360" s="75" t="s">
        <v>64</v>
      </c>
      <c r="G360" s="55">
        <f>'изм июнь вед стр-ра'!G470</f>
        <v>10</v>
      </c>
      <c r="H360" s="55">
        <f>'изм июнь вед стр-ра'!H470</f>
        <v>10</v>
      </c>
      <c r="I360" s="55">
        <f>'изм июнь вед стр-ра'!I470</f>
        <v>10</v>
      </c>
    </row>
    <row r="361" spans="1:9" ht="63.75" x14ac:dyDescent="0.2">
      <c r="A361" s="18" t="s">
        <v>281</v>
      </c>
      <c r="B361" s="19" t="s">
        <v>40</v>
      </c>
      <c r="C361" s="19">
        <v>6</v>
      </c>
      <c r="D361" s="19" t="s">
        <v>350</v>
      </c>
      <c r="E361" s="19">
        <v>80080</v>
      </c>
      <c r="F361" s="19"/>
      <c r="G361" s="20">
        <f>G363+G362</f>
        <v>1216</v>
      </c>
      <c r="H361" s="20">
        <f>H363+H362</f>
        <v>1216</v>
      </c>
      <c r="I361" s="20">
        <f>I363+I362</f>
        <v>1216</v>
      </c>
    </row>
    <row r="362" spans="1:9" ht="25.5" x14ac:dyDescent="0.2">
      <c r="A362" s="30" t="s">
        <v>353</v>
      </c>
      <c r="B362" s="24" t="s">
        <v>40</v>
      </c>
      <c r="C362" s="24">
        <v>6</v>
      </c>
      <c r="D362" s="24" t="s">
        <v>350</v>
      </c>
      <c r="E362" s="24">
        <v>80080</v>
      </c>
      <c r="F362" s="27" t="s">
        <v>65</v>
      </c>
      <c r="G362" s="25">
        <f>'изм июнь вед стр-ра'!G491</f>
        <v>6</v>
      </c>
      <c r="H362" s="25">
        <f>'изм июнь вед стр-ра'!H491</f>
        <v>6</v>
      </c>
      <c r="I362" s="25">
        <f>'изм июнь вед стр-ра'!I491</f>
        <v>6</v>
      </c>
    </row>
    <row r="363" spans="1:9" x14ac:dyDescent="0.2">
      <c r="A363" s="28" t="s">
        <v>66</v>
      </c>
      <c r="B363" s="24" t="s">
        <v>40</v>
      </c>
      <c r="C363" s="24">
        <v>6</v>
      </c>
      <c r="D363" s="24" t="s">
        <v>350</v>
      </c>
      <c r="E363" s="24">
        <v>80080</v>
      </c>
      <c r="F363" s="24" t="s">
        <v>67</v>
      </c>
      <c r="G363" s="25">
        <f>'изм июнь вед стр-ра'!G492</f>
        <v>1210</v>
      </c>
      <c r="H363" s="25">
        <f>'изм июнь вед стр-ра'!H492</f>
        <v>1210</v>
      </c>
      <c r="I363" s="25">
        <f>'изм июнь вед стр-ра'!I492</f>
        <v>1210</v>
      </c>
    </row>
    <row r="364" spans="1:9" s="72" customFormat="1" ht="63.75" x14ac:dyDescent="0.2">
      <c r="A364" s="68" t="s">
        <v>639</v>
      </c>
      <c r="B364" s="70" t="s">
        <v>40</v>
      </c>
      <c r="C364" s="70">
        <v>6</v>
      </c>
      <c r="D364" s="70" t="s">
        <v>350</v>
      </c>
      <c r="E364" s="70">
        <v>80110</v>
      </c>
      <c r="F364" s="70"/>
      <c r="G364" s="71">
        <f>G365+G367+G366</f>
        <v>1471</v>
      </c>
      <c r="H364" s="71">
        <f>H365+H367+H366</f>
        <v>1471</v>
      </c>
      <c r="I364" s="71">
        <f>I365+I367+I366</f>
        <v>1471</v>
      </c>
    </row>
    <row r="365" spans="1:9" s="72" customFormat="1" ht="25.5" x14ac:dyDescent="0.2">
      <c r="A365" s="73" t="s">
        <v>353</v>
      </c>
      <c r="B365" s="75" t="s">
        <v>40</v>
      </c>
      <c r="C365" s="75">
        <v>6</v>
      </c>
      <c r="D365" s="75" t="s">
        <v>350</v>
      </c>
      <c r="E365" s="75">
        <v>80110</v>
      </c>
      <c r="F365" s="76" t="s">
        <v>65</v>
      </c>
      <c r="G365" s="55">
        <f>'изм июнь вед стр-ра'!G494</f>
        <v>25</v>
      </c>
      <c r="H365" s="55">
        <f>'изм июнь вед стр-ра'!H494</f>
        <v>25</v>
      </c>
      <c r="I365" s="55">
        <f>'изм июнь вед стр-ра'!I494</f>
        <v>25</v>
      </c>
    </row>
    <row r="366" spans="1:9" s="72" customFormat="1" x14ac:dyDescent="0.2">
      <c r="A366" s="80" t="s">
        <v>66</v>
      </c>
      <c r="B366" s="75" t="s">
        <v>40</v>
      </c>
      <c r="C366" s="75">
        <v>6</v>
      </c>
      <c r="D366" s="75" t="s">
        <v>350</v>
      </c>
      <c r="E366" s="75">
        <v>80110</v>
      </c>
      <c r="F366" s="75" t="s">
        <v>67</v>
      </c>
      <c r="G366" s="55">
        <f>'изм июнь вед стр-ра'!G495</f>
        <v>1276</v>
      </c>
      <c r="H366" s="55">
        <f>'изм июнь вед стр-ра'!H495</f>
        <v>1276</v>
      </c>
      <c r="I366" s="55">
        <f>'изм июнь вед стр-ра'!I495</f>
        <v>1276</v>
      </c>
    </row>
    <row r="367" spans="1:9" s="72" customFormat="1" x14ac:dyDescent="0.2">
      <c r="A367" s="80" t="s">
        <v>69</v>
      </c>
      <c r="B367" s="75" t="s">
        <v>40</v>
      </c>
      <c r="C367" s="75">
        <v>6</v>
      </c>
      <c r="D367" s="75" t="s">
        <v>350</v>
      </c>
      <c r="E367" s="75">
        <v>80110</v>
      </c>
      <c r="F367" s="75" t="s">
        <v>70</v>
      </c>
      <c r="G367" s="55">
        <f>'изм июнь вед стр-ра'!G496</f>
        <v>170</v>
      </c>
      <c r="H367" s="55">
        <f>'изм июнь вед стр-ра'!H496</f>
        <v>170</v>
      </c>
      <c r="I367" s="55">
        <f>'изм июнь вед стр-ра'!I496</f>
        <v>170</v>
      </c>
    </row>
    <row r="368" spans="1:9" s="72" customFormat="1" x14ac:dyDescent="0.2">
      <c r="A368" s="132" t="s">
        <v>417</v>
      </c>
      <c r="B368" s="131" t="s">
        <v>40</v>
      </c>
      <c r="C368" s="130" t="s">
        <v>415</v>
      </c>
      <c r="D368" s="130"/>
      <c r="E368" s="130"/>
      <c r="F368" s="130"/>
      <c r="G368" s="129">
        <f>SUM(G369)</f>
        <v>2468.3000000000002</v>
      </c>
      <c r="H368" s="129">
        <f t="shared" ref="H368:I368" si="52">SUM(H369)</f>
        <v>0</v>
      </c>
      <c r="I368" s="129">
        <f t="shared" si="52"/>
        <v>0</v>
      </c>
    </row>
    <row r="369" spans="1:9" x14ac:dyDescent="0.2">
      <c r="A369" s="18" t="s">
        <v>150</v>
      </c>
      <c r="B369" s="19" t="s">
        <v>40</v>
      </c>
      <c r="C369" s="19" t="s">
        <v>415</v>
      </c>
      <c r="D369" s="19" t="s">
        <v>350</v>
      </c>
      <c r="E369" s="19" t="s">
        <v>416</v>
      </c>
      <c r="F369" s="19"/>
      <c r="G369" s="20">
        <f>G370+G371+G372</f>
        <v>2468.3000000000002</v>
      </c>
      <c r="H369" s="20">
        <f t="shared" ref="H369:I369" si="53">H370+H371+H372</f>
        <v>0</v>
      </c>
      <c r="I369" s="20">
        <f t="shared" si="53"/>
        <v>0</v>
      </c>
    </row>
    <row r="370" spans="1:9" ht="25.5" x14ac:dyDescent="0.2">
      <c r="A370" s="30" t="s">
        <v>353</v>
      </c>
      <c r="B370" s="24" t="s">
        <v>40</v>
      </c>
      <c r="C370" s="24" t="s">
        <v>415</v>
      </c>
      <c r="D370" s="24" t="s">
        <v>350</v>
      </c>
      <c r="E370" s="24" t="s">
        <v>416</v>
      </c>
      <c r="F370" s="27" t="s">
        <v>65</v>
      </c>
      <c r="G370" s="20">
        <f>'изм июнь вед стр-ра'!G521</f>
        <v>78.3</v>
      </c>
      <c r="H370" s="20">
        <f>'изм июнь вед стр-ра'!H521</f>
        <v>0</v>
      </c>
      <c r="I370" s="20">
        <f>'изм июнь вед стр-ра'!I521</f>
        <v>0</v>
      </c>
    </row>
    <row r="371" spans="1:9" s="72" customFormat="1" x14ac:dyDescent="0.2">
      <c r="A371" s="80" t="s">
        <v>66</v>
      </c>
      <c r="B371" s="75" t="s">
        <v>40</v>
      </c>
      <c r="C371" s="75" t="s">
        <v>415</v>
      </c>
      <c r="D371" s="75" t="s">
        <v>350</v>
      </c>
      <c r="E371" s="75" t="s">
        <v>416</v>
      </c>
      <c r="F371" s="76" t="s">
        <v>67</v>
      </c>
      <c r="G371" s="20">
        <f>'изм июнь вед стр-ра'!G522</f>
        <v>690</v>
      </c>
      <c r="H371" s="20">
        <f>'изм июнь вед стр-ра'!H522</f>
        <v>0</v>
      </c>
      <c r="I371" s="20">
        <f>'изм июнь вед стр-ра'!I522</f>
        <v>0</v>
      </c>
    </row>
    <row r="372" spans="1:9" s="72" customFormat="1" ht="25.5" x14ac:dyDescent="0.2">
      <c r="A372" s="28" t="s">
        <v>79</v>
      </c>
      <c r="B372" s="75" t="s">
        <v>40</v>
      </c>
      <c r="C372" s="75" t="s">
        <v>415</v>
      </c>
      <c r="D372" s="75" t="s">
        <v>350</v>
      </c>
      <c r="E372" s="75" t="s">
        <v>416</v>
      </c>
      <c r="F372" s="76" t="s">
        <v>68</v>
      </c>
      <c r="G372" s="20">
        <f>'изм июнь вед стр-ра'!G523</f>
        <v>1700</v>
      </c>
      <c r="H372" s="20"/>
      <c r="I372" s="20"/>
    </row>
    <row r="373" spans="1:9" ht="38.25" x14ac:dyDescent="0.2">
      <c r="A373" s="39" t="s">
        <v>414</v>
      </c>
      <c r="B373" s="40" t="s">
        <v>24</v>
      </c>
      <c r="C373" s="40"/>
      <c r="D373" s="40"/>
      <c r="E373" s="40"/>
      <c r="F373" s="40"/>
      <c r="G373" s="38">
        <f>SUM(G374,G376,G381,G386)+G384+G379+G392+G388+G390</f>
        <v>91605.004000000015</v>
      </c>
      <c r="H373" s="38">
        <f t="shared" ref="H373:I373" si="54">SUM(H374,H376,H381,H386)+H384+H379+H392+H388+H390</f>
        <v>79903.5</v>
      </c>
      <c r="I373" s="38">
        <f t="shared" si="54"/>
        <v>78948.600000000006</v>
      </c>
    </row>
    <row r="374" spans="1:9" s="72" customFormat="1" ht="25.5" x14ac:dyDescent="0.2">
      <c r="A374" s="68" t="s">
        <v>163</v>
      </c>
      <c r="B374" s="70" t="s">
        <v>24</v>
      </c>
      <c r="C374" s="70">
        <v>0</v>
      </c>
      <c r="D374" s="70" t="s">
        <v>350</v>
      </c>
      <c r="E374" s="70" t="s">
        <v>413</v>
      </c>
      <c r="F374" s="70"/>
      <c r="G374" s="71">
        <f>G375</f>
        <v>15801</v>
      </c>
      <c r="H374" s="71">
        <f>H375</f>
        <v>14556.2</v>
      </c>
      <c r="I374" s="71">
        <f>I375</f>
        <v>14078.7</v>
      </c>
    </row>
    <row r="375" spans="1:9" s="72" customFormat="1" ht="25.5" x14ac:dyDescent="0.2">
      <c r="A375" s="80" t="s">
        <v>119</v>
      </c>
      <c r="B375" s="75" t="s">
        <v>24</v>
      </c>
      <c r="C375" s="75">
        <v>0</v>
      </c>
      <c r="D375" s="75" t="s">
        <v>350</v>
      </c>
      <c r="E375" s="75" t="s">
        <v>413</v>
      </c>
      <c r="F375" s="75" t="s">
        <v>62</v>
      </c>
      <c r="G375" s="55">
        <f>'изм июнь вед стр-ра'!G164</f>
        <v>15801</v>
      </c>
      <c r="H375" s="55">
        <f>'изм июнь вед стр-ра'!H164</f>
        <v>14556.2</v>
      </c>
      <c r="I375" s="55">
        <f>'изм июнь вед стр-ра'!I164</f>
        <v>14078.7</v>
      </c>
    </row>
    <row r="376" spans="1:9" s="9" customFormat="1" ht="25.5" x14ac:dyDescent="0.2">
      <c r="A376" s="18" t="s">
        <v>163</v>
      </c>
      <c r="B376" s="19" t="s">
        <v>24</v>
      </c>
      <c r="C376" s="19">
        <v>0</v>
      </c>
      <c r="D376" s="19" t="s">
        <v>350</v>
      </c>
      <c r="E376" s="19" t="s">
        <v>412</v>
      </c>
      <c r="F376" s="19"/>
      <c r="G376" s="20">
        <f>G377+G378</f>
        <v>1749.4</v>
      </c>
      <c r="H376" s="20">
        <f>H377+H378</f>
        <v>2328.5</v>
      </c>
      <c r="I376" s="20">
        <f>I377+I378</f>
        <v>2328.5</v>
      </c>
    </row>
    <row r="377" spans="1:9" ht="51" x14ac:dyDescent="0.2">
      <c r="A377" s="30" t="s">
        <v>63</v>
      </c>
      <c r="B377" s="24" t="s">
        <v>24</v>
      </c>
      <c r="C377" s="24">
        <v>0</v>
      </c>
      <c r="D377" s="24" t="s">
        <v>350</v>
      </c>
      <c r="E377" s="24" t="s">
        <v>412</v>
      </c>
      <c r="F377" s="27" t="s">
        <v>64</v>
      </c>
      <c r="G377" s="25">
        <f>'изм июнь вед стр-ра'!G179</f>
        <v>1689.9</v>
      </c>
      <c r="H377" s="25">
        <f>'изм июнь вед стр-ра'!H179</f>
        <v>2257</v>
      </c>
      <c r="I377" s="25">
        <f>'изм июнь вед стр-ра'!I179</f>
        <v>2257</v>
      </c>
    </row>
    <row r="378" spans="1:9" ht="25.5" x14ac:dyDescent="0.2">
      <c r="A378" s="30" t="s">
        <v>353</v>
      </c>
      <c r="B378" s="24" t="s">
        <v>24</v>
      </c>
      <c r="C378" s="24">
        <v>0</v>
      </c>
      <c r="D378" s="24" t="s">
        <v>350</v>
      </c>
      <c r="E378" s="24" t="s">
        <v>412</v>
      </c>
      <c r="F378" s="27" t="s">
        <v>65</v>
      </c>
      <c r="G378" s="25">
        <f>'изм июнь вед стр-ра'!G180</f>
        <v>59.5</v>
      </c>
      <c r="H378" s="25">
        <f>'изм июнь вед стр-ра'!H180</f>
        <v>71.5</v>
      </c>
      <c r="I378" s="25">
        <f>'изм июнь вед стр-ра'!I180</f>
        <v>71.5</v>
      </c>
    </row>
    <row r="379" spans="1:9" s="9" customFormat="1" ht="25.5" x14ac:dyDescent="0.2">
      <c r="A379" s="18" t="s">
        <v>163</v>
      </c>
      <c r="B379" s="19" t="s">
        <v>24</v>
      </c>
      <c r="C379" s="19">
        <v>0</v>
      </c>
      <c r="D379" s="19" t="s">
        <v>350</v>
      </c>
      <c r="E379" s="19" t="s">
        <v>411</v>
      </c>
      <c r="F379" s="19"/>
      <c r="G379" s="20">
        <f>G380</f>
        <v>3423.3</v>
      </c>
      <c r="H379" s="20">
        <f>H380</f>
        <v>3323.3</v>
      </c>
      <c r="I379" s="20">
        <f>I380</f>
        <v>3323.3</v>
      </c>
    </row>
    <row r="380" spans="1:9" ht="25.5" x14ac:dyDescent="0.2">
      <c r="A380" s="80" t="s">
        <v>119</v>
      </c>
      <c r="B380" s="24" t="s">
        <v>24</v>
      </c>
      <c r="C380" s="24">
        <v>0</v>
      </c>
      <c r="D380" s="24" t="s">
        <v>350</v>
      </c>
      <c r="E380" s="24" t="s">
        <v>411</v>
      </c>
      <c r="F380" s="27" t="s">
        <v>62</v>
      </c>
      <c r="G380" s="25">
        <f>'изм июнь вед стр-ра'!G182</f>
        <v>3423.3</v>
      </c>
      <c r="H380" s="25">
        <f>'изм июнь вед стр-ра'!H182</f>
        <v>3323.3</v>
      </c>
      <c r="I380" s="25">
        <f>'изм июнь вед стр-ра'!I182</f>
        <v>3323.3</v>
      </c>
    </row>
    <row r="381" spans="1:9" ht="25.5" x14ac:dyDescent="0.2">
      <c r="A381" s="18" t="s">
        <v>167</v>
      </c>
      <c r="B381" s="19" t="s">
        <v>24</v>
      </c>
      <c r="C381" s="19">
        <v>0</v>
      </c>
      <c r="D381" s="19" t="s">
        <v>350</v>
      </c>
      <c r="E381" s="19" t="s">
        <v>410</v>
      </c>
      <c r="F381" s="19"/>
      <c r="G381" s="20">
        <f>'изм июнь вед стр-ра'!G174</f>
        <v>360</v>
      </c>
      <c r="H381" s="20">
        <f>'изм июнь вед стр-ра'!H174</f>
        <v>0</v>
      </c>
      <c r="I381" s="20">
        <f>'изм июнь вед стр-ра'!I174</f>
        <v>0</v>
      </c>
    </row>
    <row r="382" spans="1:9" ht="51" x14ac:dyDescent="0.2">
      <c r="A382" s="30" t="s">
        <v>63</v>
      </c>
      <c r="B382" s="24" t="s">
        <v>24</v>
      </c>
      <c r="C382" s="24">
        <v>0</v>
      </c>
      <c r="D382" s="24" t="s">
        <v>350</v>
      </c>
      <c r="E382" s="24" t="s">
        <v>410</v>
      </c>
      <c r="F382" s="27" t="s">
        <v>64</v>
      </c>
      <c r="G382" s="20">
        <f>'изм июнь вед стр-ра'!G175</f>
        <v>50</v>
      </c>
      <c r="H382" s="20">
        <f>'изм июнь вед стр-ра'!H175</f>
        <v>0</v>
      </c>
      <c r="I382" s="20">
        <f>'изм июнь вед стр-ра'!I175</f>
        <v>0</v>
      </c>
    </row>
    <row r="383" spans="1:9" s="9" customFormat="1" ht="25.5" x14ac:dyDescent="0.2">
      <c r="A383" s="30" t="s">
        <v>353</v>
      </c>
      <c r="B383" s="24" t="s">
        <v>24</v>
      </c>
      <c r="C383" s="24">
        <v>0</v>
      </c>
      <c r="D383" s="24" t="s">
        <v>350</v>
      </c>
      <c r="E383" s="24" t="s">
        <v>410</v>
      </c>
      <c r="F383" s="27" t="s">
        <v>65</v>
      </c>
      <c r="G383" s="25">
        <f>'изм июнь вед стр-ра'!G176</f>
        <v>310</v>
      </c>
      <c r="H383" s="25">
        <f>'изм июнь вед стр-ра'!H176</f>
        <v>0</v>
      </c>
      <c r="I383" s="25">
        <f>'изм июнь вед стр-ра'!I176</f>
        <v>0</v>
      </c>
    </row>
    <row r="384" spans="1:9" ht="38.25" x14ac:dyDescent="0.2">
      <c r="A384" s="18" t="s">
        <v>165</v>
      </c>
      <c r="B384" s="19" t="s">
        <v>24</v>
      </c>
      <c r="C384" s="19">
        <v>0</v>
      </c>
      <c r="D384" s="19" t="s">
        <v>350</v>
      </c>
      <c r="E384" s="19" t="s">
        <v>409</v>
      </c>
      <c r="F384" s="19"/>
      <c r="G384" s="20">
        <f>G385</f>
        <v>150</v>
      </c>
      <c r="H384" s="20">
        <f>H385</f>
        <v>0</v>
      </c>
      <c r="I384" s="20">
        <f>I385</f>
        <v>0</v>
      </c>
    </row>
    <row r="385" spans="1:9" ht="25.5" x14ac:dyDescent="0.2">
      <c r="A385" s="30" t="s">
        <v>353</v>
      </c>
      <c r="B385" s="24" t="s">
        <v>24</v>
      </c>
      <c r="C385" s="24">
        <v>0</v>
      </c>
      <c r="D385" s="24" t="s">
        <v>350</v>
      </c>
      <c r="E385" s="24" t="s">
        <v>409</v>
      </c>
      <c r="F385" s="27" t="s">
        <v>65</v>
      </c>
      <c r="G385" s="25">
        <f>'изм июнь вед стр-ра'!G166</f>
        <v>150</v>
      </c>
      <c r="H385" s="25">
        <f>'изм июнь вед стр-ра'!H166</f>
        <v>0</v>
      </c>
      <c r="I385" s="25">
        <f>'изм июнь вед стр-ра'!I166</f>
        <v>0</v>
      </c>
    </row>
    <row r="386" spans="1:9" ht="25.5" x14ac:dyDescent="0.2">
      <c r="A386" s="18" t="s">
        <v>294</v>
      </c>
      <c r="B386" s="19" t="s">
        <v>24</v>
      </c>
      <c r="C386" s="19">
        <v>0</v>
      </c>
      <c r="D386" s="19" t="s">
        <v>350</v>
      </c>
      <c r="E386" s="19" t="s">
        <v>408</v>
      </c>
      <c r="F386" s="19"/>
      <c r="G386" s="20">
        <f>G387</f>
        <v>47772.9</v>
      </c>
      <c r="H386" s="20">
        <f>H387</f>
        <v>46327.7</v>
      </c>
      <c r="I386" s="20">
        <f>I387</f>
        <v>45850.3</v>
      </c>
    </row>
    <row r="387" spans="1:9" s="72" customFormat="1" ht="25.5" x14ac:dyDescent="0.2">
      <c r="A387" s="80" t="s">
        <v>119</v>
      </c>
      <c r="B387" s="75" t="s">
        <v>24</v>
      </c>
      <c r="C387" s="75">
        <v>0</v>
      </c>
      <c r="D387" s="75" t="s">
        <v>350</v>
      </c>
      <c r="E387" s="75" t="s">
        <v>408</v>
      </c>
      <c r="F387" s="76" t="s">
        <v>62</v>
      </c>
      <c r="G387" s="55">
        <f>'изм июнь вед стр-ра'!G168</f>
        <v>47772.9</v>
      </c>
      <c r="H387" s="55">
        <f>'изм июнь вед стр-ра'!H168</f>
        <v>46327.7</v>
      </c>
      <c r="I387" s="55">
        <f>'изм июнь вед стр-ра'!I168</f>
        <v>45850.3</v>
      </c>
    </row>
    <row r="388" spans="1:9" s="72" customFormat="1" ht="25.5" x14ac:dyDescent="0.2">
      <c r="A388" s="18" t="s">
        <v>294</v>
      </c>
      <c r="B388" s="19" t="s">
        <v>24</v>
      </c>
      <c r="C388" s="19">
        <v>0</v>
      </c>
      <c r="D388" s="19" t="s">
        <v>350</v>
      </c>
      <c r="E388" s="19" t="s">
        <v>566</v>
      </c>
      <c r="F388" s="19"/>
      <c r="G388" s="55">
        <f>G389</f>
        <v>15640.6</v>
      </c>
      <c r="H388" s="55">
        <f t="shared" ref="H388:I388" si="55">H389</f>
        <v>13367.8</v>
      </c>
      <c r="I388" s="55">
        <f t="shared" si="55"/>
        <v>13367.8</v>
      </c>
    </row>
    <row r="389" spans="1:9" s="72" customFormat="1" ht="25.5" x14ac:dyDescent="0.2">
      <c r="A389" s="80" t="s">
        <v>119</v>
      </c>
      <c r="B389" s="75" t="s">
        <v>24</v>
      </c>
      <c r="C389" s="75">
        <v>0</v>
      </c>
      <c r="D389" s="75" t="s">
        <v>350</v>
      </c>
      <c r="E389" s="75" t="s">
        <v>566</v>
      </c>
      <c r="F389" s="76" t="s">
        <v>62</v>
      </c>
      <c r="G389" s="55">
        <f>'изм июнь вед стр-ра'!G380</f>
        <v>15640.6</v>
      </c>
      <c r="H389" s="55">
        <f>'изм июнь вед стр-ра'!H380</f>
        <v>13367.8</v>
      </c>
      <c r="I389" s="55">
        <f>'изм июнь вед стр-ра'!I380</f>
        <v>13367.8</v>
      </c>
    </row>
    <row r="390" spans="1:9" s="72" customFormat="1" x14ac:dyDescent="0.2">
      <c r="A390" s="18" t="s">
        <v>685</v>
      </c>
      <c r="B390" s="19" t="s">
        <v>24</v>
      </c>
      <c r="C390" s="19">
        <v>0</v>
      </c>
      <c r="D390" s="19" t="s">
        <v>350</v>
      </c>
      <c r="E390" s="75" t="s">
        <v>687</v>
      </c>
      <c r="F390" s="75"/>
      <c r="G390" s="55">
        <f>G391</f>
        <v>4708.0839999999998</v>
      </c>
      <c r="H390" s="55">
        <f t="shared" ref="H390:I390" si="56">H391</f>
        <v>0</v>
      </c>
      <c r="I390" s="55">
        <f t="shared" si="56"/>
        <v>0</v>
      </c>
    </row>
    <row r="391" spans="1:9" s="72" customFormat="1" ht="25.5" x14ac:dyDescent="0.2">
      <c r="A391" s="28" t="s">
        <v>119</v>
      </c>
      <c r="B391" s="75" t="s">
        <v>24</v>
      </c>
      <c r="C391" s="75">
        <v>0</v>
      </c>
      <c r="D391" s="75" t="s">
        <v>350</v>
      </c>
      <c r="E391" s="75" t="s">
        <v>687</v>
      </c>
      <c r="F391" s="75" t="s">
        <v>62</v>
      </c>
      <c r="G391" s="55">
        <f>'изм июнь вед стр-ра'!G170</f>
        <v>4708.0839999999998</v>
      </c>
      <c r="H391" s="55">
        <f>'изм июнь вед стр-ра'!H170</f>
        <v>0</v>
      </c>
      <c r="I391" s="55">
        <f>'изм июнь вед стр-ра'!I170</f>
        <v>0</v>
      </c>
    </row>
    <row r="392" spans="1:9" s="72" customFormat="1" x14ac:dyDescent="0.2">
      <c r="A392" s="18" t="s">
        <v>659</v>
      </c>
      <c r="B392" s="19" t="s">
        <v>24</v>
      </c>
      <c r="C392" s="19">
        <v>0</v>
      </c>
      <c r="D392" s="19" t="s">
        <v>350</v>
      </c>
      <c r="E392" s="75" t="s">
        <v>660</v>
      </c>
      <c r="F392" s="75"/>
      <c r="G392" s="55">
        <f>G393</f>
        <v>1999.7199999999998</v>
      </c>
      <c r="H392" s="55">
        <f t="shared" ref="H392:I392" si="57">H393</f>
        <v>0</v>
      </c>
      <c r="I392" s="55">
        <f t="shared" si="57"/>
        <v>0</v>
      </c>
    </row>
    <row r="393" spans="1:9" s="72" customFormat="1" ht="25.5" x14ac:dyDescent="0.2">
      <c r="A393" s="28" t="s">
        <v>119</v>
      </c>
      <c r="B393" s="75" t="s">
        <v>24</v>
      </c>
      <c r="C393" s="75">
        <v>0</v>
      </c>
      <c r="D393" s="75" t="s">
        <v>350</v>
      </c>
      <c r="E393" s="75" t="s">
        <v>660</v>
      </c>
      <c r="F393" s="75" t="s">
        <v>62</v>
      </c>
      <c r="G393" s="55">
        <f>'изм июнь вед стр-ра'!G172</f>
        <v>1999.7199999999998</v>
      </c>
      <c r="H393" s="55">
        <f>'изм июнь вед стр-ра'!H172</f>
        <v>0</v>
      </c>
      <c r="I393" s="55">
        <f>'изм июнь вед стр-ра'!I172</f>
        <v>0</v>
      </c>
    </row>
    <row r="394" spans="1:9" ht="51" x14ac:dyDescent="0.2">
      <c r="A394" s="134" t="s">
        <v>407</v>
      </c>
      <c r="B394" s="40" t="s">
        <v>48</v>
      </c>
      <c r="C394" s="40"/>
      <c r="D394" s="40"/>
      <c r="E394" s="40"/>
      <c r="F394" s="138"/>
      <c r="G394" s="38">
        <f>SUM(G395,G402,G413)</f>
        <v>367609.59999999998</v>
      </c>
      <c r="H394" s="38">
        <f t="shared" ref="H394:I394" si="58">SUM(H395,H402,H413)</f>
        <v>4942.5</v>
      </c>
      <c r="I394" s="38">
        <f t="shared" si="58"/>
        <v>4942.5</v>
      </c>
    </row>
    <row r="395" spans="1:9" s="72" customFormat="1" ht="25.5" x14ac:dyDescent="0.2">
      <c r="A395" s="137" t="s">
        <v>406</v>
      </c>
      <c r="B395" s="130" t="s">
        <v>48</v>
      </c>
      <c r="C395" s="130" t="s">
        <v>391</v>
      </c>
      <c r="D395" s="130"/>
      <c r="E395" s="130"/>
      <c r="F395" s="136"/>
      <c r="G395" s="129">
        <f>SUM(G396)+G398+G400</f>
        <v>16413</v>
      </c>
      <c r="H395" s="129">
        <f t="shared" ref="H395:I395" si="59">SUM(H396)+H398+H400</f>
        <v>0</v>
      </c>
      <c r="I395" s="129">
        <f t="shared" si="59"/>
        <v>0</v>
      </c>
    </row>
    <row r="396" spans="1:9" s="67" customFormat="1" ht="25.5" x14ac:dyDescent="0.2">
      <c r="A396" s="68" t="s">
        <v>253</v>
      </c>
      <c r="B396" s="70">
        <v>10</v>
      </c>
      <c r="C396" s="70">
        <v>1</v>
      </c>
      <c r="D396" s="70" t="s">
        <v>350</v>
      </c>
      <c r="E396" s="70" t="s">
        <v>405</v>
      </c>
      <c r="F396" s="70"/>
      <c r="G396" s="71">
        <f>G397</f>
        <v>1263.9000000000001</v>
      </c>
      <c r="H396" s="71">
        <f>H397</f>
        <v>0</v>
      </c>
      <c r="I396" s="71">
        <f>I397</f>
        <v>0</v>
      </c>
    </row>
    <row r="397" spans="1:9" s="12" customFormat="1" ht="25.5" x14ac:dyDescent="0.2">
      <c r="A397" s="30" t="s">
        <v>353</v>
      </c>
      <c r="B397" s="24">
        <v>10</v>
      </c>
      <c r="C397" s="24">
        <v>1</v>
      </c>
      <c r="D397" s="24" t="s">
        <v>350</v>
      </c>
      <c r="E397" s="24" t="s">
        <v>405</v>
      </c>
      <c r="F397" s="24" t="s">
        <v>65</v>
      </c>
      <c r="G397" s="25">
        <f>'изм июнь вед стр-ра'!G551</f>
        <v>1263.9000000000001</v>
      </c>
      <c r="H397" s="25">
        <f>'изм июнь вед стр-ра'!H551</f>
        <v>0</v>
      </c>
      <c r="I397" s="25">
        <f>'изм июнь вед стр-ра'!I551</f>
        <v>0</v>
      </c>
    </row>
    <row r="398" spans="1:9" s="72" customFormat="1" x14ac:dyDescent="0.2">
      <c r="A398" s="82" t="s">
        <v>293</v>
      </c>
      <c r="B398" s="70">
        <v>10</v>
      </c>
      <c r="C398" s="70">
        <v>1</v>
      </c>
      <c r="D398" s="70" t="s">
        <v>350</v>
      </c>
      <c r="E398" s="70" t="s">
        <v>404</v>
      </c>
      <c r="F398" s="70"/>
      <c r="G398" s="71">
        <f>G399</f>
        <v>14349.1</v>
      </c>
      <c r="H398" s="71">
        <f>H399</f>
        <v>0</v>
      </c>
      <c r="I398" s="71">
        <f>I399</f>
        <v>0</v>
      </c>
    </row>
    <row r="399" spans="1:9" s="72" customFormat="1" ht="25.5" x14ac:dyDescent="0.2">
      <c r="A399" s="73" t="s">
        <v>353</v>
      </c>
      <c r="B399" s="75">
        <v>10</v>
      </c>
      <c r="C399" s="75">
        <v>1</v>
      </c>
      <c r="D399" s="75" t="s">
        <v>350</v>
      </c>
      <c r="E399" s="75" t="s">
        <v>404</v>
      </c>
      <c r="F399" s="75" t="s">
        <v>65</v>
      </c>
      <c r="G399" s="55">
        <f>'изм июнь вед стр-ра'!G555</f>
        <v>14349.1</v>
      </c>
      <c r="H399" s="55">
        <f>'изм июнь вед стр-ра'!H555</f>
        <v>0</v>
      </c>
      <c r="I399" s="55">
        <f>'изм июнь вед стр-ра'!I555</f>
        <v>0</v>
      </c>
    </row>
    <row r="400" spans="1:9" s="72" customFormat="1" ht="25.5" x14ac:dyDescent="0.2">
      <c r="A400" s="18" t="s">
        <v>584</v>
      </c>
      <c r="B400" s="19" t="s">
        <v>48</v>
      </c>
      <c r="C400" s="19" t="s">
        <v>391</v>
      </c>
      <c r="D400" s="19" t="s">
        <v>350</v>
      </c>
      <c r="E400" s="19" t="s">
        <v>586</v>
      </c>
      <c r="F400" s="196"/>
      <c r="G400" s="55">
        <f>G401</f>
        <v>800</v>
      </c>
      <c r="H400" s="55">
        <f t="shared" ref="H400:I400" si="60">H401</f>
        <v>0</v>
      </c>
      <c r="I400" s="55">
        <f t="shared" si="60"/>
        <v>0</v>
      </c>
    </row>
    <row r="401" spans="1:9" s="72" customFormat="1" ht="25.5" x14ac:dyDescent="0.2">
      <c r="A401" s="28" t="s">
        <v>73</v>
      </c>
      <c r="B401" s="24" t="s">
        <v>48</v>
      </c>
      <c r="C401" s="24" t="s">
        <v>391</v>
      </c>
      <c r="D401" s="24" t="s">
        <v>350</v>
      </c>
      <c r="E401" s="24" t="s">
        <v>586</v>
      </c>
      <c r="F401" s="27" t="s">
        <v>65</v>
      </c>
      <c r="G401" s="55">
        <f>'изм июнь вед стр-ра'!G553</f>
        <v>800</v>
      </c>
      <c r="H401" s="55">
        <f>'изм июнь вед стр-ра'!H553</f>
        <v>0</v>
      </c>
      <c r="I401" s="55">
        <f>'изм июнь вед стр-ра'!I553</f>
        <v>0</v>
      </c>
    </row>
    <row r="402" spans="1:9" s="135" customFormat="1" ht="39" x14ac:dyDescent="0.25">
      <c r="A402" s="128" t="s">
        <v>403</v>
      </c>
      <c r="B402" s="127" t="s">
        <v>48</v>
      </c>
      <c r="C402" s="127" t="s">
        <v>383</v>
      </c>
      <c r="D402" s="127"/>
      <c r="E402" s="127"/>
      <c r="F402" s="127"/>
      <c r="G402" s="126">
        <f>SUM(G403,G405,G407)+G409+G411</f>
        <v>345716</v>
      </c>
      <c r="H402" s="126">
        <f t="shared" ref="H402:I402" si="61">SUM(H403,H405,H407)+H409+H411</f>
        <v>0</v>
      </c>
      <c r="I402" s="126">
        <f t="shared" si="61"/>
        <v>0</v>
      </c>
    </row>
    <row r="403" spans="1:9" ht="52.5" customHeight="1" x14ac:dyDescent="0.2">
      <c r="A403" s="18" t="s">
        <v>402</v>
      </c>
      <c r="B403" s="19">
        <v>10</v>
      </c>
      <c r="C403" s="19">
        <v>3</v>
      </c>
      <c r="D403" s="19" t="s">
        <v>350</v>
      </c>
      <c r="E403" s="19" t="s">
        <v>401</v>
      </c>
      <c r="F403" s="19"/>
      <c r="G403" s="20">
        <f>G404</f>
        <v>275653.39999999997</v>
      </c>
      <c r="H403" s="20">
        <f>H404</f>
        <v>0</v>
      </c>
      <c r="I403" s="20">
        <f>I404</f>
        <v>0</v>
      </c>
    </row>
    <row r="404" spans="1:9" s="72" customFormat="1" x14ac:dyDescent="0.2">
      <c r="A404" s="80" t="s">
        <v>69</v>
      </c>
      <c r="B404" s="75">
        <v>10</v>
      </c>
      <c r="C404" s="75">
        <v>3</v>
      </c>
      <c r="D404" s="75" t="s">
        <v>350</v>
      </c>
      <c r="E404" s="75" t="s">
        <v>401</v>
      </c>
      <c r="F404" s="75" t="s">
        <v>70</v>
      </c>
      <c r="G404" s="55">
        <f>'изм июнь вед стр-ра'!G557</f>
        <v>275653.39999999997</v>
      </c>
      <c r="H404" s="55">
        <f>'изм июнь вед стр-ра'!H557</f>
        <v>0</v>
      </c>
      <c r="I404" s="55">
        <f>'изм июнь вед стр-ра'!I557</f>
        <v>0</v>
      </c>
    </row>
    <row r="405" spans="1:9" ht="63.75" x14ac:dyDescent="0.2">
      <c r="A405" s="18" t="s">
        <v>400</v>
      </c>
      <c r="B405" s="19">
        <v>10</v>
      </c>
      <c r="C405" s="19">
        <v>3</v>
      </c>
      <c r="D405" s="19" t="s">
        <v>350</v>
      </c>
      <c r="E405" s="19" t="s">
        <v>399</v>
      </c>
      <c r="F405" s="19"/>
      <c r="G405" s="20">
        <f>G406</f>
        <v>13355.2</v>
      </c>
      <c r="H405" s="20">
        <f>H406</f>
        <v>0</v>
      </c>
      <c r="I405" s="20">
        <f>I406</f>
        <v>0</v>
      </c>
    </row>
    <row r="406" spans="1:9" x14ac:dyDescent="0.2">
      <c r="A406" s="28" t="s">
        <v>69</v>
      </c>
      <c r="B406" s="24">
        <v>10</v>
      </c>
      <c r="C406" s="24">
        <v>3</v>
      </c>
      <c r="D406" s="24" t="s">
        <v>350</v>
      </c>
      <c r="E406" s="24" t="s">
        <v>399</v>
      </c>
      <c r="F406" s="24" t="s">
        <v>70</v>
      </c>
      <c r="G406" s="25">
        <f>'изм июнь вед стр-ра'!G559</f>
        <v>13355.2</v>
      </c>
      <c r="H406" s="25">
        <f>'изм июнь вед стр-ра'!H559</f>
        <v>0</v>
      </c>
      <c r="I406" s="25">
        <f>'изм июнь вед стр-ра'!I559</f>
        <v>0</v>
      </c>
    </row>
    <row r="407" spans="1:9" ht="38.25" x14ac:dyDescent="0.2">
      <c r="A407" s="18" t="s">
        <v>257</v>
      </c>
      <c r="B407" s="19">
        <v>10</v>
      </c>
      <c r="C407" s="19">
        <v>3</v>
      </c>
      <c r="D407" s="19" t="s">
        <v>350</v>
      </c>
      <c r="E407" s="19" t="s">
        <v>398</v>
      </c>
      <c r="F407" s="19"/>
      <c r="G407" s="20">
        <f>G408</f>
        <v>4904.5</v>
      </c>
      <c r="H407" s="20">
        <f>H408</f>
        <v>0</v>
      </c>
      <c r="I407" s="20">
        <f>I408</f>
        <v>0</v>
      </c>
    </row>
    <row r="408" spans="1:9" x14ac:dyDescent="0.2">
      <c r="A408" s="28" t="s">
        <v>69</v>
      </c>
      <c r="B408" s="24">
        <v>10</v>
      </c>
      <c r="C408" s="24">
        <v>3</v>
      </c>
      <c r="D408" s="24" t="s">
        <v>350</v>
      </c>
      <c r="E408" s="24" t="s">
        <v>398</v>
      </c>
      <c r="F408" s="24" t="s">
        <v>70</v>
      </c>
      <c r="G408" s="25">
        <f>'изм июнь вед стр-ра'!G561</f>
        <v>4904.5</v>
      </c>
      <c r="H408" s="25">
        <f>'изм июнь вед стр-ра'!H561</f>
        <v>0</v>
      </c>
      <c r="I408" s="25">
        <f>'изм июнь вед стр-ра'!I561</f>
        <v>0</v>
      </c>
    </row>
    <row r="409" spans="1:9" s="72" customFormat="1" ht="63.75" x14ac:dyDescent="0.2">
      <c r="A409" s="18" t="s">
        <v>570</v>
      </c>
      <c r="B409" s="19">
        <v>10</v>
      </c>
      <c r="C409" s="19">
        <v>3</v>
      </c>
      <c r="D409" s="19" t="s">
        <v>350</v>
      </c>
      <c r="E409" s="19" t="s">
        <v>564</v>
      </c>
      <c r="F409" s="19"/>
      <c r="G409" s="20">
        <f>G410</f>
        <v>44670</v>
      </c>
      <c r="H409" s="20">
        <f>H410</f>
        <v>0</v>
      </c>
      <c r="I409" s="20">
        <f>I410</f>
        <v>0</v>
      </c>
    </row>
    <row r="410" spans="1:9" s="72" customFormat="1" x14ac:dyDescent="0.2">
      <c r="A410" s="80" t="s">
        <v>69</v>
      </c>
      <c r="B410" s="75">
        <v>10</v>
      </c>
      <c r="C410" s="75">
        <v>3</v>
      </c>
      <c r="D410" s="75" t="s">
        <v>350</v>
      </c>
      <c r="E410" s="75" t="s">
        <v>564</v>
      </c>
      <c r="F410" s="75" t="s">
        <v>70</v>
      </c>
      <c r="G410" s="55">
        <f>'изм июнь вед стр-ра'!G563</f>
        <v>44670</v>
      </c>
      <c r="H410" s="55">
        <f>'изм июнь вед стр-ра'!H563</f>
        <v>0</v>
      </c>
      <c r="I410" s="55">
        <f>'изм июнь вед стр-ра'!I563</f>
        <v>0</v>
      </c>
    </row>
    <row r="411" spans="1:9" s="72" customFormat="1" ht="25.5" x14ac:dyDescent="0.2">
      <c r="A411" s="18" t="s">
        <v>568</v>
      </c>
      <c r="B411" s="19">
        <v>10</v>
      </c>
      <c r="C411" s="19">
        <v>3</v>
      </c>
      <c r="D411" s="19" t="s">
        <v>350</v>
      </c>
      <c r="E411" s="19" t="s">
        <v>569</v>
      </c>
      <c r="F411" s="19"/>
      <c r="G411" s="55">
        <f>G412</f>
        <v>7132.9</v>
      </c>
      <c r="H411" s="55">
        <f t="shared" ref="H411:I411" si="62">H412</f>
        <v>0</v>
      </c>
      <c r="I411" s="55">
        <f t="shared" si="62"/>
        <v>0</v>
      </c>
    </row>
    <row r="412" spans="1:9" s="72" customFormat="1" x14ac:dyDescent="0.2">
      <c r="A412" s="80" t="s">
        <v>69</v>
      </c>
      <c r="B412" s="75">
        <v>10</v>
      </c>
      <c r="C412" s="75">
        <v>3</v>
      </c>
      <c r="D412" s="75" t="s">
        <v>350</v>
      </c>
      <c r="E412" s="75" t="s">
        <v>569</v>
      </c>
      <c r="F412" s="75" t="s">
        <v>70</v>
      </c>
      <c r="G412" s="55">
        <f>'изм июнь вед стр-ра'!G565</f>
        <v>7132.9</v>
      </c>
      <c r="H412" s="55">
        <f>'изм июнь вед стр-ра'!H565</f>
        <v>0</v>
      </c>
      <c r="I412" s="55">
        <f>'изм июнь вед стр-ра'!I565</f>
        <v>0</v>
      </c>
    </row>
    <row r="413" spans="1:9" s="72" customFormat="1" ht="25.5" x14ac:dyDescent="0.2">
      <c r="A413" s="132" t="s">
        <v>397</v>
      </c>
      <c r="B413" s="130" t="s">
        <v>48</v>
      </c>
      <c r="C413" s="130" t="s">
        <v>380</v>
      </c>
      <c r="D413" s="130"/>
      <c r="E413" s="130"/>
      <c r="F413" s="130"/>
      <c r="G413" s="129">
        <f>SUM(G414)</f>
        <v>5480.6</v>
      </c>
      <c r="H413" s="129">
        <f>SUM(H414)</f>
        <v>4942.5</v>
      </c>
      <c r="I413" s="129">
        <f>SUM(I414)</f>
        <v>4942.5</v>
      </c>
    </row>
    <row r="414" spans="1:9" ht="25.5" x14ac:dyDescent="0.2">
      <c r="A414" s="18" t="s">
        <v>267</v>
      </c>
      <c r="B414" s="19">
        <v>10</v>
      </c>
      <c r="C414" s="19">
        <v>4</v>
      </c>
      <c r="D414" s="19" t="s">
        <v>350</v>
      </c>
      <c r="E414" s="19" t="s">
        <v>396</v>
      </c>
      <c r="F414" s="19"/>
      <c r="G414" s="20">
        <f>G415+G416</f>
        <v>5480.6</v>
      </c>
      <c r="H414" s="20">
        <f>H415+H416</f>
        <v>4942.5</v>
      </c>
      <c r="I414" s="20">
        <f>I415+I416</f>
        <v>4942.5</v>
      </c>
    </row>
    <row r="415" spans="1:9" ht="51" x14ac:dyDescent="0.2">
      <c r="A415" s="30" t="s">
        <v>63</v>
      </c>
      <c r="B415" s="24">
        <v>10</v>
      </c>
      <c r="C415" s="24">
        <v>4</v>
      </c>
      <c r="D415" s="24" t="s">
        <v>350</v>
      </c>
      <c r="E415" s="24" t="s">
        <v>396</v>
      </c>
      <c r="F415" s="24" t="s">
        <v>64</v>
      </c>
      <c r="G415" s="25">
        <f>'изм июнь вед стр-ра'!G594</f>
        <v>5040.2000000000007</v>
      </c>
      <c r="H415" s="25">
        <f>'изм июнь вед стр-ра'!H594</f>
        <v>4896.1000000000004</v>
      </c>
      <c r="I415" s="25">
        <f>'изм июнь вед стр-ра'!I594</f>
        <v>4896.1000000000004</v>
      </c>
    </row>
    <row r="416" spans="1:9" ht="25.5" x14ac:dyDescent="0.2">
      <c r="A416" s="30" t="s">
        <v>353</v>
      </c>
      <c r="B416" s="24">
        <v>10</v>
      </c>
      <c r="C416" s="24">
        <v>4</v>
      </c>
      <c r="D416" s="24" t="s">
        <v>350</v>
      </c>
      <c r="E416" s="24" t="s">
        <v>396</v>
      </c>
      <c r="F416" s="24" t="s">
        <v>65</v>
      </c>
      <c r="G416" s="25">
        <f>'изм июнь вед стр-ра'!G595</f>
        <v>440.4</v>
      </c>
      <c r="H416" s="25">
        <f>'изм июнь вед стр-ра'!H595</f>
        <v>46.4</v>
      </c>
      <c r="I416" s="25">
        <f>'изм июнь вед стр-ра'!I595</f>
        <v>46.4</v>
      </c>
    </row>
    <row r="417" spans="1:9" ht="38.25" x14ac:dyDescent="0.2">
      <c r="A417" s="134" t="s">
        <v>393</v>
      </c>
      <c r="B417" s="40" t="s">
        <v>19</v>
      </c>
      <c r="C417" s="40"/>
      <c r="D417" s="40"/>
      <c r="E417" s="40"/>
      <c r="F417" s="40"/>
      <c r="G417" s="38">
        <f>SUM(G418,G423,G428,G431,G434,G438)+G441+G447+G444</f>
        <v>163269</v>
      </c>
      <c r="H417" s="38">
        <f>SUM(H418,H423,H428,H431,H434,H438)+H441+H447+H444</f>
        <v>160645.30000000002</v>
      </c>
      <c r="I417" s="38">
        <f>SUM(I418,I423,I428,I431,I434,I438)+I441+I447+I444</f>
        <v>133556.70000000001</v>
      </c>
    </row>
    <row r="418" spans="1:9" ht="25.5" x14ac:dyDescent="0.2">
      <c r="A418" s="133" t="s">
        <v>392</v>
      </c>
      <c r="B418" s="127" t="s">
        <v>19</v>
      </c>
      <c r="C418" s="127" t="s">
        <v>391</v>
      </c>
      <c r="D418" s="127"/>
      <c r="E418" s="127"/>
      <c r="F418" s="127"/>
      <c r="G418" s="126">
        <f>G421+G419</f>
        <v>114344</v>
      </c>
      <c r="H418" s="126">
        <f t="shared" ref="H418:I418" si="63">H421+H419</f>
        <v>119779.5</v>
      </c>
      <c r="I418" s="126">
        <f t="shared" si="63"/>
        <v>99769</v>
      </c>
    </row>
    <row r="419" spans="1:9" ht="63.75" x14ac:dyDescent="0.2">
      <c r="A419" s="18" t="s">
        <v>312</v>
      </c>
      <c r="B419" s="19">
        <v>11</v>
      </c>
      <c r="C419" s="19">
        <v>1</v>
      </c>
      <c r="D419" s="19" t="s">
        <v>350</v>
      </c>
      <c r="E419" s="19" t="s">
        <v>390</v>
      </c>
      <c r="F419" s="19"/>
      <c r="G419" s="20">
        <f>G420</f>
        <v>31500</v>
      </c>
      <c r="H419" s="20">
        <f>H420</f>
        <v>30000</v>
      </c>
      <c r="I419" s="20">
        <f>I420</f>
        <v>35000</v>
      </c>
    </row>
    <row r="420" spans="1:9" ht="25.5" x14ac:dyDescent="0.2">
      <c r="A420" s="28" t="s">
        <v>119</v>
      </c>
      <c r="B420" s="24">
        <v>11</v>
      </c>
      <c r="C420" s="24">
        <v>1</v>
      </c>
      <c r="D420" s="24" t="s">
        <v>350</v>
      </c>
      <c r="E420" s="24" t="s">
        <v>390</v>
      </c>
      <c r="F420" s="24" t="s">
        <v>62</v>
      </c>
      <c r="G420" s="25">
        <f>'изм июнь вед стр-ра'!G532</f>
        <v>31500</v>
      </c>
      <c r="H420" s="25">
        <f>'изм июнь вед стр-ра'!H532</f>
        <v>30000</v>
      </c>
      <c r="I420" s="25">
        <f>'изм июнь вед стр-ра'!I532</f>
        <v>35000</v>
      </c>
    </row>
    <row r="421" spans="1:9" s="72" customFormat="1" ht="25.5" x14ac:dyDescent="0.2">
      <c r="A421" s="68" t="s">
        <v>249</v>
      </c>
      <c r="B421" s="70">
        <v>11</v>
      </c>
      <c r="C421" s="70">
        <v>1</v>
      </c>
      <c r="D421" s="70" t="s">
        <v>350</v>
      </c>
      <c r="E421" s="70" t="s">
        <v>389</v>
      </c>
      <c r="F421" s="70"/>
      <c r="G421" s="71">
        <f>G422</f>
        <v>82844</v>
      </c>
      <c r="H421" s="71">
        <f>H422</f>
        <v>89779.5</v>
      </c>
      <c r="I421" s="71">
        <f>I422</f>
        <v>64769</v>
      </c>
    </row>
    <row r="422" spans="1:9" s="72" customFormat="1" ht="25.5" x14ac:dyDescent="0.2">
      <c r="A422" s="80" t="s">
        <v>119</v>
      </c>
      <c r="B422" s="75">
        <v>11</v>
      </c>
      <c r="C422" s="75">
        <v>1</v>
      </c>
      <c r="D422" s="75" t="s">
        <v>350</v>
      </c>
      <c r="E422" s="75" t="s">
        <v>389</v>
      </c>
      <c r="F422" s="75" t="s">
        <v>62</v>
      </c>
      <c r="G422" s="55">
        <f>'изм июнь вед стр-ра'!G534</f>
        <v>82844</v>
      </c>
      <c r="H422" s="55">
        <f>'изм июнь вед стр-ра'!H534</f>
        <v>89779.5</v>
      </c>
      <c r="I422" s="55">
        <f>'изм июнь вед стр-ра'!I534</f>
        <v>64769</v>
      </c>
    </row>
    <row r="423" spans="1:9" s="72" customFormat="1" ht="25.5" x14ac:dyDescent="0.2">
      <c r="A423" s="132" t="s">
        <v>388</v>
      </c>
      <c r="B423" s="130" t="s">
        <v>19</v>
      </c>
      <c r="C423" s="130" t="s">
        <v>387</v>
      </c>
      <c r="D423" s="130"/>
      <c r="E423" s="130"/>
      <c r="F423" s="130"/>
      <c r="G423" s="129">
        <f>SUM(G424,G426)</f>
        <v>14980</v>
      </c>
      <c r="H423" s="129">
        <f>SUM(H424,H426)</f>
        <v>14980</v>
      </c>
      <c r="I423" s="129">
        <f>SUM(I424,I426)</f>
        <v>13380</v>
      </c>
    </row>
    <row r="424" spans="1:9" s="72" customFormat="1" ht="25.5" x14ac:dyDescent="0.2">
      <c r="A424" s="68" t="s">
        <v>251</v>
      </c>
      <c r="B424" s="70">
        <v>11</v>
      </c>
      <c r="C424" s="70">
        <v>2</v>
      </c>
      <c r="D424" s="70" t="s">
        <v>350</v>
      </c>
      <c r="E424" s="70" t="s">
        <v>386</v>
      </c>
      <c r="F424" s="70"/>
      <c r="G424" s="71">
        <f>G425</f>
        <v>14330</v>
      </c>
      <c r="H424" s="71">
        <f>H425</f>
        <v>14330</v>
      </c>
      <c r="I424" s="71">
        <f>I425</f>
        <v>12730</v>
      </c>
    </row>
    <row r="425" spans="1:9" s="72" customFormat="1" ht="25.5" x14ac:dyDescent="0.2">
      <c r="A425" s="80" t="s">
        <v>119</v>
      </c>
      <c r="B425" s="75">
        <v>11</v>
      </c>
      <c r="C425" s="75">
        <v>2</v>
      </c>
      <c r="D425" s="75" t="s">
        <v>350</v>
      </c>
      <c r="E425" s="75" t="s">
        <v>386</v>
      </c>
      <c r="F425" s="75" t="s">
        <v>62</v>
      </c>
      <c r="G425" s="55">
        <f>'изм июнь вед стр-ра'!G536</f>
        <v>14330</v>
      </c>
      <c r="H425" s="55">
        <f>'изм июнь вед стр-ра'!H536</f>
        <v>14330</v>
      </c>
      <c r="I425" s="55">
        <f>'изм июнь вед стр-ра'!I536</f>
        <v>12730</v>
      </c>
    </row>
    <row r="426" spans="1:9" s="72" customFormat="1" x14ac:dyDescent="0.2">
      <c r="A426" s="68" t="s">
        <v>259</v>
      </c>
      <c r="B426" s="70">
        <v>11</v>
      </c>
      <c r="C426" s="70">
        <v>2</v>
      </c>
      <c r="D426" s="70" t="s">
        <v>350</v>
      </c>
      <c r="E426" s="70" t="s">
        <v>385</v>
      </c>
      <c r="F426" s="70"/>
      <c r="G426" s="71">
        <f>G427</f>
        <v>650</v>
      </c>
      <c r="H426" s="71">
        <f>H427</f>
        <v>650</v>
      </c>
      <c r="I426" s="71">
        <f>I427</f>
        <v>650</v>
      </c>
    </row>
    <row r="427" spans="1:9" s="72" customFormat="1" ht="25.5" x14ac:dyDescent="0.2">
      <c r="A427" s="80" t="s">
        <v>119</v>
      </c>
      <c r="B427" s="75">
        <v>11</v>
      </c>
      <c r="C427" s="75">
        <v>2</v>
      </c>
      <c r="D427" s="75" t="s">
        <v>350</v>
      </c>
      <c r="E427" s="75" t="s">
        <v>385</v>
      </c>
      <c r="F427" s="75" t="s">
        <v>62</v>
      </c>
      <c r="G427" s="55">
        <f>'изм июнь вед стр-ра'!G576</f>
        <v>650</v>
      </c>
      <c r="H427" s="55">
        <f>'изм июнь вед стр-ра'!H576</f>
        <v>650</v>
      </c>
      <c r="I427" s="55">
        <f>'изм июнь вед стр-ра'!I576</f>
        <v>650</v>
      </c>
    </row>
    <row r="428" spans="1:9" ht="25.5" x14ac:dyDescent="0.2">
      <c r="A428" s="128" t="s">
        <v>384</v>
      </c>
      <c r="B428" s="127" t="s">
        <v>19</v>
      </c>
      <c r="C428" s="127" t="s">
        <v>383</v>
      </c>
      <c r="D428" s="127"/>
      <c r="E428" s="127"/>
      <c r="F428" s="127"/>
      <c r="G428" s="126">
        <f t="shared" ref="G428:I429" si="64">G429</f>
        <v>3500</v>
      </c>
      <c r="H428" s="126">
        <f t="shared" si="64"/>
        <v>3500</v>
      </c>
      <c r="I428" s="126">
        <f t="shared" si="64"/>
        <v>2000</v>
      </c>
    </row>
    <row r="429" spans="1:9" ht="25.5" x14ac:dyDescent="0.2">
      <c r="A429" s="18" t="s">
        <v>260</v>
      </c>
      <c r="B429" s="19">
        <v>11</v>
      </c>
      <c r="C429" s="19">
        <v>3</v>
      </c>
      <c r="D429" s="19" t="s">
        <v>350</v>
      </c>
      <c r="E429" s="19" t="s">
        <v>382</v>
      </c>
      <c r="F429" s="19"/>
      <c r="G429" s="20">
        <f t="shared" si="64"/>
        <v>3500</v>
      </c>
      <c r="H429" s="20">
        <f t="shared" si="64"/>
        <v>3500</v>
      </c>
      <c r="I429" s="20">
        <f t="shared" si="64"/>
        <v>2000</v>
      </c>
    </row>
    <row r="430" spans="1:9" ht="25.5" x14ac:dyDescent="0.2">
      <c r="A430" s="28" t="s">
        <v>119</v>
      </c>
      <c r="B430" s="24">
        <v>11</v>
      </c>
      <c r="C430" s="24">
        <v>3</v>
      </c>
      <c r="D430" s="24" t="s">
        <v>350</v>
      </c>
      <c r="E430" s="24" t="s">
        <v>382</v>
      </c>
      <c r="F430" s="24" t="s">
        <v>62</v>
      </c>
      <c r="G430" s="25">
        <f>'изм июнь вед стр-ра'!G578</f>
        <v>3500</v>
      </c>
      <c r="H430" s="25">
        <f>'изм июнь вед стр-ра'!H578</f>
        <v>3500</v>
      </c>
      <c r="I430" s="25">
        <f>'изм июнь вед стр-ра'!I578</f>
        <v>2000</v>
      </c>
    </row>
    <row r="431" spans="1:9" x14ac:dyDescent="0.2">
      <c r="A431" s="128" t="s">
        <v>381</v>
      </c>
      <c r="B431" s="127" t="s">
        <v>19</v>
      </c>
      <c r="C431" s="127" t="s">
        <v>380</v>
      </c>
      <c r="D431" s="127"/>
      <c r="E431" s="127"/>
      <c r="F431" s="127"/>
      <c r="G431" s="126">
        <f t="shared" ref="G431:I432" si="65">G432</f>
        <v>582.6</v>
      </c>
      <c r="H431" s="126">
        <f t="shared" si="65"/>
        <v>500</v>
      </c>
      <c r="I431" s="126">
        <f t="shared" si="65"/>
        <v>354.3</v>
      </c>
    </row>
    <row r="432" spans="1:9" x14ac:dyDescent="0.2">
      <c r="A432" s="18" t="s">
        <v>263</v>
      </c>
      <c r="B432" s="19">
        <v>11</v>
      </c>
      <c r="C432" s="19">
        <v>4</v>
      </c>
      <c r="D432" s="19" t="s">
        <v>350</v>
      </c>
      <c r="E432" s="19" t="s">
        <v>379</v>
      </c>
      <c r="F432" s="24"/>
      <c r="G432" s="25">
        <f t="shared" si="65"/>
        <v>582.6</v>
      </c>
      <c r="H432" s="25">
        <f t="shared" si="65"/>
        <v>500</v>
      </c>
      <c r="I432" s="25">
        <f t="shared" si="65"/>
        <v>354.3</v>
      </c>
    </row>
    <row r="433" spans="1:9" ht="25.5" x14ac:dyDescent="0.2">
      <c r="A433" s="28" t="s">
        <v>119</v>
      </c>
      <c r="B433" s="24">
        <v>11</v>
      </c>
      <c r="C433" s="24">
        <v>4</v>
      </c>
      <c r="D433" s="24" t="s">
        <v>350</v>
      </c>
      <c r="E433" s="24" t="s">
        <v>379</v>
      </c>
      <c r="F433" s="24" t="s">
        <v>62</v>
      </c>
      <c r="G433" s="25">
        <f>'изм июнь вед стр-ра'!G580</f>
        <v>582.6</v>
      </c>
      <c r="H433" s="25">
        <f>'изм июнь вед стр-ра'!H580</f>
        <v>500</v>
      </c>
      <c r="I433" s="25">
        <f>'изм июнь вед стр-ра'!I580</f>
        <v>354.3</v>
      </c>
    </row>
    <row r="434" spans="1:9" ht="25.5" x14ac:dyDescent="0.2">
      <c r="A434" s="128" t="s">
        <v>378</v>
      </c>
      <c r="B434" s="127" t="s">
        <v>19</v>
      </c>
      <c r="C434" s="127" t="s">
        <v>377</v>
      </c>
      <c r="D434" s="127"/>
      <c r="E434" s="127"/>
      <c r="F434" s="127"/>
      <c r="G434" s="126">
        <f>G435</f>
        <v>9492.1</v>
      </c>
      <c r="H434" s="126">
        <f t="shared" ref="H434:I434" si="66">H435</f>
        <v>6155.6</v>
      </c>
      <c r="I434" s="126">
        <f t="shared" si="66"/>
        <v>2790.2</v>
      </c>
    </row>
    <row r="435" spans="1:9" s="72" customFormat="1" ht="25.5" x14ac:dyDescent="0.2">
      <c r="A435" s="68" t="s">
        <v>265</v>
      </c>
      <c r="B435" s="98">
        <v>11</v>
      </c>
      <c r="C435" s="98">
        <v>5</v>
      </c>
      <c r="D435" s="98" t="s">
        <v>350</v>
      </c>
      <c r="E435" s="98" t="s">
        <v>376</v>
      </c>
      <c r="F435" s="70"/>
      <c r="G435" s="71">
        <f>G437+G436</f>
        <v>9492.1</v>
      </c>
      <c r="H435" s="71">
        <f t="shared" ref="H435:I435" si="67">H437+H436</f>
        <v>6155.6</v>
      </c>
      <c r="I435" s="71">
        <f t="shared" si="67"/>
        <v>2790.2</v>
      </c>
    </row>
    <row r="436" spans="1:9" s="72" customFormat="1" ht="25.5" x14ac:dyDescent="0.2">
      <c r="A436" s="30" t="s">
        <v>353</v>
      </c>
      <c r="B436" s="16">
        <v>11</v>
      </c>
      <c r="C436" s="16">
        <v>5</v>
      </c>
      <c r="D436" s="16" t="s">
        <v>350</v>
      </c>
      <c r="E436" s="16" t="s">
        <v>376</v>
      </c>
      <c r="F436" s="70" t="s">
        <v>65</v>
      </c>
      <c r="G436" s="71">
        <f>'изм июнь вед стр-ра'!G582</f>
        <v>286</v>
      </c>
      <c r="H436" s="71">
        <f>'изм июнь вед стр-ра'!H582</f>
        <v>0</v>
      </c>
      <c r="I436" s="71">
        <f>'изм июнь вед стр-ра'!I582</f>
        <v>0</v>
      </c>
    </row>
    <row r="437" spans="1:9" ht="25.5" x14ac:dyDescent="0.2">
      <c r="A437" s="28" t="s">
        <v>119</v>
      </c>
      <c r="B437" s="16">
        <v>11</v>
      </c>
      <c r="C437" s="16">
        <v>5</v>
      </c>
      <c r="D437" s="16" t="s">
        <v>350</v>
      </c>
      <c r="E437" s="16" t="s">
        <v>376</v>
      </c>
      <c r="F437" s="24" t="s">
        <v>62</v>
      </c>
      <c r="G437" s="25">
        <f>'изм июнь вед стр-ра'!G583</f>
        <v>9206.1</v>
      </c>
      <c r="H437" s="25">
        <f>'изм июнь вед стр-ра'!H583</f>
        <v>6155.6</v>
      </c>
      <c r="I437" s="25">
        <f>'изм июнь вед стр-ра'!I583</f>
        <v>2790.2</v>
      </c>
    </row>
    <row r="438" spans="1:9" s="72" customFormat="1" ht="38.25" x14ac:dyDescent="0.2">
      <c r="A438" s="132" t="s">
        <v>374</v>
      </c>
      <c r="B438" s="131" t="s">
        <v>19</v>
      </c>
      <c r="C438" s="131" t="s">
        <v>373</v>
      </c>
      <c r="D438" s="131"/>
      <c r="E438" s="131"/>
      <c r="F438" s="130"/>
      <c r="G438" s="129">
        <f t="shared" ref="G438:I439" si="68">G439</f>
        <v>15302.3</v>
      </c>
      <c r="H438" s="129">
        <f t="shared" si="68"/>
        <v>14412.2</v>
      </c>
      <c r="I438" s="129">
        <f t="shared" si="68"/>
        <v>14195.2</v>
      </c>
    </row>
    <row r="439" spans="1:9" ht="38.25" x14ac:dyDescent="0.2">
      <c r="A439" s="18" t="s">
        <v>269</v>
      </c>
      <c r="B439" s="19">
        <v>11</v>
      </c>
      <c r="C439" s="19">
        <v>6</v>
      </c>
      <c r="D439" s="19" t="s">
        <v>350</v>
      </c>
      <c r="E439" s="19" t="s">
        <v>372</v>
      </c>
      <c r="F439" s="5"/>
      <c r="G439" s="6">
        <f t="shared" si="68"/>
        <v>15302.3</v>
      </c>
      <c r="H439" s="6">
        <f t="shared" si="68"/>
        <v>14412.2</v>
      </c>
      <c r="I439" s="6">
        <f t="shared" si="68"/>
        <v>14195.2</v>
      </c>
    </row>
    <row r="440" spans="1:9" ht="25.5" x14ac:dyDescent="0.2">
      <c r="A440" s="28" t="s">
        <v>119</v>
      </c>
      <c r="B440" s="24">
        <v>11</v>
      </c>
      <c r="C440" s="24">
        <v>6</v>
      </c>
      <c r="D440" s="24" t="s">
        <v>350</v>
      </c>
      <c r="E440" s="24" t="s">
        <v>372</v>
      </c>
      <c r="F440" s="24" t="s">
        <v>62</v>
      </c>
      <c r="G440" s="25">
        <f>'изм июнь вед стр-ра'!G597</f>
        <v>15302.3</v>
      </c>
      <c r="H440" s="25">
        <f>'изм июнь вед стр-ра'!H597</f>
        <v>14412.2</v>
      </c>
      <c r="I440" s="25">
        <f>'изм июнь вед стр-ра'!I597</f>
        <v>14195.2</v>
      </c>
    </row>
    <row r="441" spans="1:9" ht="25.5" x14ac:dyDescent="0.2">
      <c r="A441" s="128" t="s">
        <v>644</v>
      </c>
      <c r="B441" s="104" t="s">
        <v>19</v>
      </c>
      <c r="C441" s="104" t="s">
        <v>371</v>
      </c>
      <c r="D441" s="104"/>
      <c r="E441" s="104"/>
      <c r="F441" s="127"/>
      <c r="G441" s="126">
        <f t="shared" ref="G441:I448" si="69">G442</f>
        <v>4000</v>
      </c>
      <c r="H441" s="126">
        <f t="shared" si="69"/>
        <v>0</v>
      </c>
      <c r="I441" s="126">
        <f t="shared" si="69"/>
        <v>0</v>
      </c>
    </row>
    <row r="442" spans="1:9" x14ac:dyDescent="0.2">
      <c r="A442" s="18" t="s">
        <v>316</v>
      </c>
      <c r="B442" s="123">
        <v>11</v>
      </c>
      <c r="C442" s="19" t="s">
        <v>371</v>
      </c>
      <c r="D442" s="19" t="s">
        <v>350</v>
      </c>
      <c r="E442" s="16" t="s">
        <v>370</v>
      </c>
      <c r="F442" s="19"/>
      <c r="G442" s="20">
        <f t="shared" si="69"/>
        <v>4000</v>
      </c>
      <c r="H442" s="20">
        <f t="shared" si="69"/>
        <v>0</v>
      </c>
      <c r="I442" s="20">
        <f t="shared" si="69"/>
        <v>0</v>
      </c>
    </row>
    <row r="443" spans="1:9" ht="25.5" x14ac:dyDescent="0.2">
      <c r="A443" s="28" t="s">
        <v>119</v>
      </c>
      <c r="B443" s="123">
        <v>11</v>
      </c>
      <c r="C443" s="19" t="s">
        <v>371</v>
      </c>
      <c r="D443" s="19" t="s">
        <v>350</v>
      </c>
      <c r="E443" s="16" t="s">
        <v>370</v>
      </c>
      <c r="F443" s="24" t="s">
        <v>62</v>
      </c>
      <c r="G443" s="25">
        <f>'изм июнь вед стр-ра'!G585</f>
        <v>4000</v>
      </c>
      <c r="H443" s="25">
        <f>'изм июнь вед стр-ра'!H585</f>
        <v>0</v>
      </c>
      <c r="I443" s="25">
        <f>'изм июнь вед стр-ра'!I585</f>
        <v>0</v>
      </c>
    </row>
    <row r="444" spans="1:9" s="194" customFormat="1" ht="25.5" x14ac:dyDescent="0.2">
      <c r="A444" s="128" t="s">
        <v>395</v>
      </c>
      <c r="B444" s="104" t="s">
        <v>19</v>
      </c>
      <c r="C444" s="104" t="s">
        <v>626</v>
      </c>
      <c r="D444" s="104"/>
      <c r="E444" s="104"/>
      <c r="F444" s="127"/>
      <c r="G444" s="126">
        <f t="shared" si="69"/>
        <v>0</v>
      </c>
      <c r="H444" s="126">
        <f t="shared" si="69"/>
        <v>250</v>
      </c>
      <c r="I444" s="126">
        <f t="shared" si="69"/>
        <v>0</v>
      </c>
    </row>
    <row r="445" spans="1:9" s="194" customFormat="1" ht="25.5" x14ac:dyDescent="0.2">
      <c r="A445" s="18" t="s">
        <v>305</v>
      </c>
      <c r="B445" s="123">
        <v>11</v>
      </c>
      <c r="C445" s="19" t="s">
        <v>626</v>
      </c>
      <c r="D445" s="19" t="s">
        <v>350</v>
      </c>
      <c r="E445" s="16" t="s">
        <v>394</v>
      </c>
      <c r="F445" s="19"/>
      <c r="G445" s="20">
        <f t="shared" si="69"/>
        <v>0</v>
      </c>
      <c r="H445" s="20">
        <f t="shared" si="69"/>
        <v>250</v>
      </c>
      <c r="I445" s="20">
        <f t="shared" si="69"/>
        <v>0</v>
      </c>
    </row>
    <row r="446" spans="1:9" s="194" customFormat="1" ht="25.5" x14ac:dyDescent="0.2">
      <c r="A446" s="30" t="s">
        <v>353</v>
      </c>
      <c r="B446" s="123">
        <v>11</v>
      </c>
      <c r="C446" s="19" t="s">
        <v>626</v>
      </c>
      <c r="D446" s="19" t="s">
        <v>350</v>
      </c>
      <c r="E446" s="16" t="s">
        <v>394</v>
      </c>
      <c r="F446" s="24" t="s">
        <v>65</v>
      </c>
      <c r="G446" s="25">
        <f>'изм июнь вед стр-ра'!G572</f>
        <v>0</v>
      </c>
      <c r="H446" s="25">
        <f>'изм июнь вед стр-ра'!H572</f>
        <v>250</v>
      </c>
      <c r="I446" s="25">
        <f>'изм июнь вед стр-ра'!I572</f>
        <v>0</v>
      </c>
    </row>
    <row r="447" spans="1:9" s="194" customFormat="1" ht="25.5" x14ac:dyDescent="0.2">
      <c r="A447" s="128" t="s">
        <v>622</v>
      </c>
      <c r="B447" s="104" t="s">
        <v>19</v>
      </c>
      <c r="C447" s="104" t="s">
        <v>623</v>
      </c>
      <c r="D447" s="104"/>
      <c r="E447" s="104"/>
      <c r="F447" s="127"/>
      <c r="G447" s="126">
        <f t="shared" si="69"/>
        <v>1068</v>
      </c>
      <c r="H447" s="126">
        <f t="shared" si="69"/>
        <v>1068</v>
      </c>
      <c r="I447" s="126">
        <f t="shared" si="69"/>
        <v>1068</v>
      </c>
    </row>
    <row r="448" spans="1:9" s="194" customFormat="1" ht="25.5" x14ac:dyDescent="0.2">
      <c r="A448" s="18" t="s">
        <v>620</v>
      </c>
      <c r="B448" s="123">
        <v>11</v>
      </c>
      <c r="C448" s="19" t="s">
        <v>623</v>
      </c>
      <c r="D448" s="19" t="s">
        <v>350</v>
      </c>
      <c r="E448" s="16" t="s">
        <v>624</v>
      </c>
      <c r="F448" s="19"/>
      <c r="G448" s="20">
        <f t="shared" si="69"/>
        <v>1068</v>
      </c>
      <c r="H448" s="20">
        <f t="shared" si="69"/>
        <v>1068</v>
      </c>
      <c r="I448" s="20">
        <f t="shared" si="69"/>
        <v>1068</v>
      </c>
    </row>
    <row r="449" spans="1:9" s="194" customFormat="1" ht="25.5" x14ac:dyDescent="0.2">
      <c r="A449" s="30" t="s">
        <v>353</v>
      </c>
      <c r="B449" s="123">
        <v>11</v>
      </c>
      <c r="C449" s="19" t="s">
        <v>623</v>
      </c>
      <c r="D449" s="19" t="s">
        <v>350</v>
      </c>
      <c r="E449" s="16" t="s">
        <v>624</v>
      </c>
      <c r="F449" s="24" t="s">
        <v>65</v>
      </c>
      <c r="G449" s="25">
        <f>'изм июнь вед стр-ра'!G587</f>
        <v>1068</v>
      </c>
      <c r="H449" s="25">
        <f>'изм июнь вед стр-ра'!H587</f>
        <v>1068</v>
      </c>
      <c r="I449" s="25">
        <f>'изм июнь вед стр-ра'!I587</f>
        <v>1068</v>
      </c>
    </row>
    <row r="450" spans="1:9" ht="25.5" x14ac:dyDescent="0.2">
      <c r="A450" s="39" t="s">
        <v>369</v>
      </c>
      <c r="B450" s="40" t="s">
        <v>21</v>
      </c>
      <c r="C450" s="40"/>
      <c r="D450" s="40"/>
      <c r="E450" s="40"/>
      <c r="F450" s="40"/>
      <c r="G450" s="38">
        <f t="shared" ref="G450:I451" si="70">G451</f>
        <v>2136.1</v>
      </c>
      <c r="H450" s="38">
        <f t="shared" si="70"/>
        <v>2123</v>
      </c>
      <c r="I450" s="38">
        <f t="shared" si="70"/>
        <v>2105</v>
      </c>
    </row>
    <row r="451" spans="1:9" ht="25.5" x14ac:dyDescent="0.2">
      <c r="A451" s="18" t="s">
        <v>159</v>
      </c>
      <c r="B451" s="19">
        <v>12</v>
      </c>
      <c r="C451" s="19">
        <v>0</v>
      </c>
      <c r="D451" s="19" t="s">
        <v>350</v>
      </c>
      <c r="E451" s="19" t="s">
        <v>368</v>
      </c>
      <c r="F451" s="19"/>
      <c r="G451" s="20">
        <f t="shared" si="70"/>
        <v>2136.1</v>
      </c>
      <c r="H451" s="20">
        <f t="shared" si="70"/>
        <v>2123</v>
      </c>
      <c r="I451" s="20">
        <f t="shared" si="70"/>
        <v>2105</v>
      </c>
    </row>
    <row r="452" spans="1:9" x14ac:dyDescent="0.2">
      <c r="A452" s="28" t="s">
        <v>71</v>
      </c>
      <c r="B452" s="24">
        <v>12</v>
      </c>
      <c r="C452" s="24">
        <v>0</v>
      </c>
      <c r="D452" s="24" t="s">
        <v>350</v>
      </c>
      <c r="E452" s="24" t="s">
        <v>368</v>
      </c>
      <c r="F452" s="24" t="s">
        <v>72</v>
      </c>
      <c r="G452" s="25">
        <f>'изм июнь вед стр-ра'!G142</f>
        <v>2136.1</v>
      </c>
      <c r="H452" s="25">
        <f>'изм июнь вед стр-ра'!H142</f>
        <v>2123</v>
      </c>
      <c r="I452" s="25">
        <f>'изм июнь вед стр-ра'!I142</f>
        <v>2105</v>
      </c>
    </row>
    <row r="453" spans="1:9" ht="25.5" x14ac:dyDescent="0.2">
      <c r="A453" s="39" t="s">
        <v>367</v>
      </c>
      <c r="B453" s="40" t="s">
        <v>58</v>
      </c>
      <c r="C453" s="40"/>
      <c r="D453" s="40"/>
      <c r="E453" s="40"/>
      <c r="F453" s="40"/>
      <c r="G453" s="38">
        <f t="shared" ref="G453:I454" si="71">G454</f>
        <v>1556.5151600000002</v>
      </c>
      <c r="H453" s="38">
        <f t="shared" si="71"/>
        <v>0</v>
      </c>
      <c r="I453" s="38">
        <f t="shared" si="71"/>
        <v>0</v>
      </c>
    </row>
    <row r="454" spans="1:9" s="72" customFormat="1" x14ac:dyDescent="0.2">
      <c r="A454" s="68" t="s">
        <v>125</v>
      </c>
      <c r="B454" s="70">
        <v>13</v>
      </c>
      <c r="C454" s="70">
        <v>0</v>
      </c>
      <c r="D454" s="70" t="s">
        <v>350</v>
      </c>
      <c r="E454" s="70" t="s">
        <v>366</v>
      </c>
      <c r="F454" s="70"/>
      <c r="G454" s="71">
        <f t="shared" si="71"/>
        <v>1556.5151600000002</v>
      </c>
      <c r="H454" s="71">
        <f t="shared" si="71"/>
        <v>0</v>
      </c>
      <c r="I454" s="71">
        <f t="shared" si="71"/>
        <v>0</v>
      </c>
    </row>
    <row r="455" spans="1:9" s="72" customFormat="1" ht="25.5" x14ac:dyDescent="0.2">
      <c r="A455" s="80" t="s">
        <v>119</v>
      </c>
      <c r="B455" s="75">
        <v>13</v>
      </c>
      <c r="C455" s="75">
        <v>0</v>
      </c>
      <c r="D455" s="75" t="s">
        <v>350</v>
      </c>
      <c r="E455" s="75" t="s">
        <v>366</v>
      </c>
      <c r="F455" s="75" t="s">
        <v>62</v>
      </c>
      <c r="G455" s="55">
        <f>'изм июнь вед стр-ра'!G49</f>
        <v>1556.5151600000002</v>
      </c>
      <c r="H455" s="55">
        <f>'изм июнь вед стр-ра'!H49</f>
        <v>0</v>
      </c>
      <c r="I455" s="55">
        <f>'изм июнь вед стр-ра'!I49</f>
        <v>0</v>
      </c>
    </row>
    <row r="456" spans="1:9" ht="38.25" x14ac:dyDescent="0.2">
      <c r="A456" s="39" t="s">
        <v>365</v>
      </c>
      <c r="B456" s="40" t="s">
        <v>364</v>
      </c>
      <c r="C456" s="40"/>
      <c r="D456" s="40"/>
      <c r="E456" s="40"/>
      <c r="F456" s="40"/>
      <c r="G456" s="38">
        <f>SUM(G457,G459)</f>
        <v>655</v>
      </c>
      <c r="H456" s="38">
        <f t="shared" ref="H456:I456" si="72">SUM(H457,H459)</f>
        <v>0</v>
      </c>
      <c r="I456" s="38">
        <f t="shared" si="72"/>
        <v>0</v>
      </c>
    </row>
    <row r="457" spans="1:9" ht="25.5" x14ac:dyDescent="0.2">
      <c r="A457" s="18" t="s">
        <v>141</v>
      </c>
      <c r="B457" s="19">
        <v>14</v>
      </c>
      <c r="C457" s="19">
        <v>0</v>
      </c>
      <c r="D457" s="19" t="s">
        <v>350</v>
      </c>
      <c r="E457" s="19" t="s">
        <v>363</v>
      </c>
      <c r="F457" s="19"/>
      <c r="G457" s="20">
        <f>G458</f>
        <v>203</v>
      </c>
      <c r="H457" s="20">
        <f>H458</f>
        <v>0</v>
      </c>
      <c r="I457" s="20">
        <f>I458</f>
        <v>0</v>
      </c>
    </row>
    <row r="458" spans="1:9" ht="25.5" x14ac:dyDescent="0.2">
      <c r="A458" s="30" t="s">
        <v>353</v>
      </c>
      <c r="B458" s="24">
        <v>14</v>
      </c>
      <c r="C458" s="24">
        <v>0</v>
      </c>
      <c r="D458" s="24" t="s">
        <v>350</v>
      </c>
      <c r="E458" s="24" t="s">
        <v>363</v>
      </c>
      <c r="F458" s="27" t="s">
        <v>65</v>
      </c>
      <c r="G458" s="25">
        <f>'изм июнь вед стр-ра'!G88</f>
        <v>203</v>
      </c>
      <c r="H458" s="25">
        <f>'изм июнь вед стр-ра'!H88</f>
        <v>0</v>
      </c>
      <c r="I458" s="25">
        <f>'изм июнь вед стр-ра'!I88</f>
        <v>0</v>
      </c>
    </row>
    <row r="459" spans="1:9" s="194" customFormat="1" ht="25.5" x14ac:dyDescent="0.2">
      <c r="A459" s="18" t="s">
        <v>553</v>
      </c>
      <c r="B459" s="24" t="s">
        <v>364</v>
      </c>
      <c r="C459" s="24" t="s">
        <v>351</v>
      </c>
      <c r="D459" s="24" t="s">
        <v>350</v>
      </c>
      <c r="E459" s="24" t="s">
        <v>555</v>
      </c>
      <c r="F459" s="27"/>
      <c r="G459" s="25">
        <f>G460</f>
        <v>452</v>
      </c>
      <c r="H459" s="25">
        <f t="shared" ref="H459:I459" si="73">H460</f>
        <v>0</v>
      </c>
      <c r="I459" s="25">
        <f t="shared" si="73"/>
        <v>0</v>
      </c>
    </row>
    <row r="460" spans="1:9" s="194" customFormat="1" x14ac:dyDescent="0.2">
      <c r="A460" s="30" t="s">
        <v>69</v>
      </c>
      <c r="B460" s="24" t="s">
        <v>364</v>
      </c>
      <c r="C460" s="24" t="s">
        <v>351</v>
      </c>
      <c r="D460" s="24" t="s">
        <v>350</v>
      </c>
      <c r="E460" s="24" t="s">
        <v>555</v>
      </c>
      <c r="F460" s="27" t="s">
        <v>70</v>
      </c>
      <c r="G460" s="25">
        <f>'изм июнь вед стр-ра'!G90</f>
        <v>452</v>
      </c>
      <c r="H460" s="25">
        <f>'изм июнь вед стр-ра'!H90</f>
        <v>0</v>
      </c>
      <c r="I460" s="25">
        <f>'изм июнь вед стр-ра'!I90</f>
        <v>0</v>
      </c>
    </row>
    <row r="461" spans="1:9" ht="38.25" x14ac:dyDescent="0.2">
      <c r="A461" s="39" t="s">
        <v>362</v>
      </c>
      <c r="B461" s="40" t="s">
        <v>361</v>
      </c>
      <c r="C461" s="40"/>
      <c r="D461" s="40"/>
      <c r="E461" s="40"/>
      <c r="F461" s="40"/>
      <c r="G461" s="38">
        <f>SUM(G462)+G467+G469+G471</f>
        <v>53968.806849999994</v>
      </c>
      <c r="H461" s="38">
        <f>SUM(H462)+H467</f>
        <v>29063.599999999999</v>
      </c>
      <c r="I461" s="38">
        <f>SUM(I462)+I467</f>
        <v>30278.899999999998</v>
      </c>
    </row>
    <row r="462" spans="1:9" s="72" customFormat="1" ht="25.5" x14ac:dyDescent="0.2">
      <c r="A462" s="68" t="s">
        <v>539</v>
      </c>
      <c r="B462" s="125">
        <v>15</v>
      </c>
      <c r="C462" s="70" t="s">
        <v>351</v>
      </c>
      <c r="D462" s="70" t="s">
        <v>360</v>
      </c>
      <c r="E462" s="70"/>
      <c r="F462" s="70"/>
      <c r="G462" s="71">
        <f>G463+G465</f>
        <v>27885.399999999998</v>
      </c>
      <c r="H462" s="71">
        <f t="shared" ref="H462:I462" si="74">H463+H465</f>
        <v>27943.8</v>
      </c>
      <c r="I462" s="71">
        <f t="shared" si="74"/>
        <v>29098.3</v>
      </c>
    </row>
    <row r="463" spans="1:9" ht="38.25" x14ac:dyDescent="0.2">
      <c r="A463" s="17" t="s">
        <v>646</v>
      </c>
      <c r="B463" s="123">
        <v>15</v>
      </c>
      <c r="C463" s="19" t="s">
        <v>351</v>
      </c>
      <c r="D463" s="70" t="s">
        <v>360</v>
      </c>
      <c r="E463" s="16" t="s">
        <v>647</v>
      </c>
      <c r="F463" s="19"/>
      <c r="G463" s="20">
        <f>SUM(G464:G464)</f>
        <v>14054.102999999999</v>
      </c>
      <c r="H463" s="20">
        <f>SUM(H464:H464)</f>
        <v>21277.1</v>
      </c>
      <c r="I463" s="20">
        <f>SUM(I464:I464)</f>
        <v>22431.599999999999</v>
      </c>
    </row>
    <row r="464" spans="1:9" ht="25.5" x14ac:dyDescent="0.2">
      <c r="A464" s="30" t="s">
        <v>353</v>
      </c>
      <c r="B464" s="124">
        <v>15</v>
      </c>
      <c r="C464" s="24" t="s">
        <v>351</v>
      </c>
      <c r="D464" s="70" t="s">
        <v>360</v>
      </c>
      <c r="E464" s="16" t="s">
        <v>647</v>
      </c>
      <c r="F464" s="24" t="s">
        <v>65</v>
      </c>
      <c r="G464" s="55">
        <f>'изм июнь вед стр-ра'!G540+'изм июнь вед стр-ра'!G568</f>
        <v>14054.102999999999</v>
      </c>
      <c r="H464" s="55">
        <f>'изм июнь вед стр-ра'!H540+'изм июнь вед стр-ра'!H568</f>
        <v>21277.1</v>
      </c>
      <c r="I464" s="55">
        <f>'изм июнь вед стр-ра'!I540+'изм июнь вед стр-ра'!I568</f>
        <v>22431.599999999999</v>
      </c>
    </row>
    <row r="465" spans="1:9" s="194" customFormat="1" ht="38.25" x14ac:dyDescent="0.2">
      <c r="A465" s="17" t="s">
        <v>649</v>
      </c>
      <c r="B465" s="123">
        <v>15</v>
      </c>
      <c r="C465" s="19" t="s">
        <v>351</v>
      </c>
      <c r="D465" s="70" t="s">
        <v>360</v>
      </c>
      <c r="E465" s="16" t="s">
        <v>650</v>
      </c>
      <c r="F465" s="19"/>
      <c r="G465" s="20">
        <f>SUM(G466:G466)</f>
        <v>13831.296999999999</v>
      </c>
      <c r="H465" s="20">
        <f>SUM(H466:H466)</f>
        <v>6666.7</v>
      </c>
      <c r="I465" s="20">
        <f>SUM(I466:I466)</f>
        <v>6666.7</v>
      </c>
    </row>
    <row r="466" spans="1:9" s="194" customFormat="1" ht="25.5" x14ac:dyDescent="0.2">
      <c r="A466" s="28" t="s">
        <v>119</v>
      </c>
      <c r="B466" s="124">
        <v>15</v>
      </c>
      <c r="C466" s="24" t="s">
        <v>351</v>
      </c>
      <c r="D466" s="70" t="s">
        <v>360</v>
      </c>
      <c r="E466" s="16" t="s">
        <v>650</v>
      </c>
      <c r="F466" s="24" t="s">
        <v>62</v>
      </c>
      <c r="G466" s="55">
        <f>'изм июнь вед стр-ра'!G570</f>
        <v>13831.296999999999</v>
      </c>
      <c r="H466" s="55">
        <f>'изм июнь вед стр-ра'!H570</f>
        <v>6666.7</v>
      </c>
      <c r="I466" s="55">
        <f>'изм июнь вед стр-ра'!I570</f>
        <v>6666.7</v>
      </c>
    </row>
    <row r="467" spans="1:9" ht="25.5" x14ac:dyDescent="0.2">
      <c r="A467" s="17" t="s">
        <v>323</v>
      </c>
      <c r="B467" s="123">
        <v>15</v>
      </c>
      <c r="C467" s="19" t="s">
        <v>351</v>
      </c>
      <c r="D467" s="19" t="s">
        <v>350</v>
      </c>
      <c r="E467" s="16" t="s">
        <v>359</v>
      </c>
      <c r="F467" s="19"/>
      <c r="G467" s="20">
        <f>G468</f>
        <v>799.70685000000003</v>
      </c>
      <c r="H467" s="20">
        <f>H468</f>
        <v>1119.8</v>
      </c>
      <c r="I467" s="20">
        <f>I468</f>
        <v>1180.5999999999999</v>
      </c>
    </row>
    <row r="468" spans="1:9" ht="25.5" x14ac:dyDescent="0.2">
      <c r="A468" s="30" t="s">
        <v>353</v>
      </c>
      <c r="B468" s="124">
        <v>15</v>
      </c>
      <c r="C468" s="24" t="s">
        <v>351</v>
      </c>
      <c r="D468" s="24" t="s">
        <v>350</v>
      </c>
      <c r="E468" s="16" t="s">
        <v>359</v>
      </c>
      <c r="F468" s="24" t="s">
        <v>65</v>
      </c>
      <c r="G468" s="25">
        <f>'изм июнь вед стр-ра'!G574+'изм июнь вед стр-ра'!G538</f>
        <v>799.70685000000003</v>
      </c>
      <c r="H468" s="25">
        <f>'изм июнь вед стр-ра'!H574+'изм июнь вед стр-ра'!H538</f>
        <v>1119.8</v>
      </c>
      <c r="I468" s="25">
        <f>'изм июнь вед стр-ра'!I574+'изм июнь вед стр-ра'!I538</f>
        <v>1180.5999999999999</v>
      </c>
    </row>
    <row r="469" spans="1:9" s="194" customFormat="1" ht="41.25" customHeight="1" x14ac:dyDescent="0.2">
      <c r="A469" s="51" t="s">
        <v>693</v>
      </c>
      <c r="B469" s="124">
        <v>15</v>
      </c>
      <c r="C469" s="24" t="s">
        <v>351</v>
      </c>
      <c r="D469" s="24" t="s">
        <v>350</v>
      </c>
      <c r="E469" s="16" t="s">
        <v>694</v>
      </c>
      <c r="F469" s="24"/>
      <c r="G469" s="25">
        <f>G470</f>
        <v>283.7</v>
      </c>
      <c r="H469" s="25"/>
      <c r="I469" s="25"/>
    </row>
    <row r="470" spans="1:9" s="194" customFormat="1" ht="25.5" x14ac:dyDescent="0.2">
      <c r="A470" s="30" t="s">
        <v>353</v>
      </c>
      <c r="B470" s="124">
        <v>15</v>
      </c>
      <c r="C470" s="24" t="s">
        <v>351</v>
      </c>
      <c r="D470" s="24" t="s">
        <v>350</v>
      </c>
      <c r="E470" s="16" t="s">
        <v>694</v>
      </c>
      <c r="F470" s="24" t="s">
        <v>65</v>
      </c>
      <c r="G470" s="25">
        <f>'изм июнь вед стр-ра'!G589</f>
        <v>283.7</v>
      </c>
      <c r="H470" s="25"/>
      <c r="I470" s="25"/>
    </row>
    <row r="471" spans="1:9" s="194" customFormat="1" ht="51" x14ac:dyDescent="0.2">
      <c r="A471" s="51" t="s">
        <v>669</v>
      </c>
      <c r="B471" s="123">
        <v>15</v>
      </c>
      <c r="C471" s="19" t="s">
        <v>351</v>
      </c>
      <c r="D471" s="19" t="s">
        <v>350</v>
      </c>
      <c r="E471" s="19" t="s">
        <v>670</v>
      </c>
      <c r="F471" s="19"/>
      <c r="G471" s="20">
        <f>G472</f>
        <v>25000</v>
      </c>
      <c r="H471" s="20"/>
      <c r="I471" s="20"/>
    </row>
    <row r="472" spans="1:9" s="194" customFormat="1" ht="25.5" x14ac:dyDescent="0.2">
      <c r="A472" s="30" t="s">
        <v>119</v>
      </c>
      <c r="B472" s="124">
        <v>15</v>
      </c>
      <c r="C472" s="24" t="s">
        <v>351</v>
      </c>
      <c r="D472" s="24" t="s">
        <v>350</v>
      </c>
      <c r="E472" s="16" t="s">
        <v>670</v>
      </c>
      <c r="F472" s="24" t="s">
        <v>62</v>
      </c>
      <c r="G472" s="25">
        <v>25000</v>
      </c>
      <c r="H472" s="25"/>
      <c r="I472" s="25"/>
    </row>
    <row r="473" spans="1:9" s="194" customFormat="1" ht="25.5" x14ac:dyDescent="0.2">
      <c r="A473" s="39" t="s">
        <v>605</v>
      </c>
      <c r="B473" s="40" t="s">
        <v>606</v>
      </c>
      <c r="C473" s="40"/>
      <c r="D473" s="40"/>
      <c r="E473" s="40"/>
      <c r="F473" s="40"/>
      <c r="G473" s="38">
        <f>SUM(G474,G476,G478,G480,G482,G484)</f>
        <v>250</v>
      </c>
      <c r="H473" s="38">
        <f t="shared" ref="H473:I473" si="75">SUM(H474,H476,H478,H480,H482,H484)</f>
        <v>0</v>
      </c>
      <c r="I473" s="38">
        <f t="shared" si="75"/>
        <v>0</v>
      </c>
    </row>
    <row r="474" spans="1:9" s="194" customFormat="1" ht="30.75" customHeight="1" x14ac:dyDescent="0.2">
      <c r="A474" s="18" t="s">
        <v>593</v>
      </c>
      <c r="B474" s="123">
        <v>16</v>
      </c>
      <c r="C474" s="24" t="s">
        <v>351</v>
      </c>
      <c r="D474" s="24" t="s">
        <v>350</v>
      </c>
      <c r="E474" s="19" t="s">
        <v>607</v>
      </c>
      <c r="F474" s="19"/>
      <c r="G474" s="20">
        <f>G475</f>
        <v>10</v>
      </c>
      <c r="H474" s="20">
        <f t="shared" ref="H474:I474" si="76">H475</f>
        <v>0</v>
      </c>
      <c r="I474" s="20">
        <f t="shared" si="76"/>
        <v>0</v>
      </c>
    </row>
    <row r="475" spans="1:9" s="26" customFormat="1" ht="30.75" customHeight="1" x14ac:dyDescent="0.2">
      <c r="A475" s="28" t="s">
        <v>119</v>
      </c>
      <c r="B475" s="124">
        <v>16</v>
      </c>
      <c r="C475" s="24" t="s">
        <v>351</v>
      </c>
      <c r="D475" s="24" t="s">
        <v>350</v>
      </c>
      <c r="E475" s="24" t="s">
        <v>607</v>
      </c>
      <c r="F475" s="24" t="s">
        <v>62</v>
      </c>
      <c r="G475" s="25">
        <f>'изм июнь вед стр-ра'!G385</f>
        <v>10</v>
      </c>
      <c r="H475" s="25">
        <f>'изм июнь вед стр-ра'!H385</f>
        <v>0</v>
      </c>
      <c r="I475" s="25">
        <f>'изм июнь вед стр-ра'!I385</f>
        <v>0</v>
      </c>
    </row>
    <row r="476" spans="1:9" s="194" customFormat="1" ht="30.75" customHeight="1" x14ac:dyDescent="0.2">
      <c r="A476" s="18" t="s">
        <v>596</v>
      </c>
      <c r="B476" s="123">
        <v>16</v>
      </c>
      <c r="C476" s="24" t="s">
        <v>351</v>
      </c>
      <c r="D476" s="24" t="s">
        <v>350</v>
      </c>
      <c r="E476" s="19" t="s">
        <v>608</v>
      </c>
      <c r="F476" s="19"/>
      <c r="G476" s="20">
        <f>G477</f>
        <v>10</v>
      </c>
      <c r="H476" s="20">
        <f t="shared" ref="H476:I476" si="77">H477</f>
        <v>0</v>
      </c>
      <c r="I476" s="20">
        <f t="shared" si="77"/>
        <v>0</v>
      </c>
    </row>
    <row r="477" spans="1:9" s="26" customFormat="1" ht="30.75" customHeight="1" x14ac:dyDescent="0.2">
      <c r="A477" s="28" t="s">
        <v>119</v>
      </c>
      <c r="B477" s="124">
        <v>16</v>
      </c>
      <c r="C477" s="24" t="s">
        <v>351</v>
      </c>
      <c r="D477" s="24" t="s">
        <v>350</v>
      </c>
      <c r="E477" s="24" t="s">
        <v>609</v>
      </c>
      <c r="F477" s="24" t="s">
        <v>62</v>
      </c>
      <c r="G477" s="25">
        <f>'изм июнь вед стр-ра'!G387</f>
        <v>10</v>
      </c>
      <c r="H477" s="25">
        <f>'изм июнь вед стр-ра'!H387</f>
        <v>0</v>
      </c>
      <c r="I477" s="25">
        <f>'изм июнь вед стр-ра'!I387</f>
        <v>0</v>
      </c>
    </row>
    <row r="478" spans="1:9" s="194" customFormat="1" ht="30.75" customHeight="1" x14ac:dyDescent="0.2">
      <c r="A478" s="18" t="s">
        <v>598</v>
      </c>
      <c r="B478" s="123">
        <v>16</v>
      </c>
      <c r="C478" s="24" t="s">
        <v>351</v>
      </c>
      <c r="D478" s="24" t="s">
        <v>350</v>
      </c>
      <c r="E478" s="19" t="s">
        <v>610</v>
      </c>
      <c r="F478" s="19"/>
      <c r="G478" s="20">
        <f>G479</f>
        <v>110</v>
      </c>
      <c r="H478" s="20">
        <f t="shared" ref="H478:I478" si="78">H479</f>
        <v>0</v>
      </c>
      <c r="I478" s="20">
        <f t="shared" si="78"/>
        <v>0</v>
      </c>
    </row>
    <row r="479" spans="1:9" s="26" customFormat="1" ht="30.75" customHeight="1" x14ac:dyDescent="0.2">
      <c r="A479" s="28" t="s">
        <v>119</v>
      </c>
      <c r="B479" s="124">
        <v>16</v>
      </c>
      <c r="C479" s="24" t="s">
        <v>351</v>
      </c>
      <c r="D479" s="24" t="s">
        <v>350</v>
      </c>
      <c r="E479" s="24" t="s">
        <v>610</v>
      </c>
      <c r="F479" s="24" t="s">
        <v>62</v>
      </c>
      <c r="G479" s="25">
        <f>'изм июнь вед стр-ра'!G389</f>
        <v>110</v>
      </c>
      <c r="H479" s="25">
        <f>'изм июнь вед стр-ра'!H389</f>
        <v>0</v>
      </c>
      <c r="I479" s="25">
        <f>'изм июнь вед стр-ра'!I389</f>
        <v>0</v>
      </c>
    </row>
    <row r="480" spans="1:9" s="194" customFormat="1" ht="30.75" customHeight="1" x14ac:dyDescent="0.2">
      <c r="A480" s="18" t="s">
        <v>600</v>
      </c>
      <c r="B480" s="123">
        <v>16</v>
      </c>
      <c r="C480" s="24" t="s">
        <v>351</v>
      </c>
      <c r="D480" s="24" t="s">
        <v>350</v>
      </c>
      <c r="E480" s="19" t="s">
        <v>611</v>
      </c>
      <c r="F480" s="19"/>
      <c r="G480" s="20">
        <f>G481</f>
        <v>106</v>
      </c>
      <c r="H480" s="20">
        <f t="shared" ref="H480:I480" si="79">H481</f>
        <v>0</v>
      </c>
      <c r="I480" s="20">
        <f t="shared" si="79"/>
        <v>0</v>
      </c>
    </row>
    <row r="481" spans="1:9" s="26" customFormat="1" ht="30.75" customHeight="1" x14ac:dyDescent="0.2">
      <c r="A481" s="28" t="s">
        <v>119</v>
      </c>
      <c r="B481" s="124">
        <v>16</v>
      </c>
      <c r="C481" s="24" t="s">
        <v>351</v>
      </c>
      <c r="D481" s="24" t="s">
        <v>350</v>
      </c>
      <c r="E481" s="24" t="s">
        <v>611</v>
      </c>
      <c r="F481" s="24" t="s">
        <v>62</v>
      </c>
      <c r="G481" s="25">
        <f>'изм июнь вед стр-ра'!G391</f>
        <v>106</v>
      </c>
      <c r="H481" s="25">
        <f>'изм июнь вед стр-ра'!H391</f>
        <v>0</v>
      </c>
      <c r="I481" s="25">
        <f>'изм июнь вед стр-ра'!I391</f>
        <v>0</v>
      </c>
    </row>
    <row r="482" spans="1:9" s="194" customFormat="1" ht="30.75" customHeight="1" x14ac:dyDescent="0.2">
      <c r="A482" s="18" t="s">
        <v>601</v>
      </c>
      <c r="B482" s="123">
        <v>16</v>
      </c>
      <c r="C482" s="24" t="s">
        <v>351</v>
      </c>
      <c r="D482" s="24" t="s">
        <v>350</v>
      </c>
      <c r="E482" s="19" t="s">
        <v>614</v>
      </c>
      <c r="F482" s="19"/>
      <c r="G482" s="20">
        <f>G483</f>
        <v>4</v>
      </c>
      <c r="H482" s="20">
        <f t="shared" ref="H482:I482" si="80">H483</f>
        <v>0</v>
      </c>
      <c r="I482" s="20">
        <f t="shared" si="80"/>
        <v>0</v>
      </c>
    </row>
    <row r="483" spans="1:9" s="26" customFormat="1" ht="30.75" customHeight="1" x14ac:dyDescent="0.2">
      <c r="A483" s="28" t="s">
        <v>119</v>
      </c>
      <c r="B483" s="124">
        <v>16</v>
      </c>
      <c r="C483" s="24" t="s">
        <v>351</v>
      </c>
      <c r="D483" s="24" t="s">
        <v>350</v>
      </c>
      <c r="E483" s="24" t="s">
        <v>612</v>
      </c>
      <c r="F483" s="24" t="s">
        <v>62</v>
      </c>
      <c r="G483" s="25">
        <f>'изм июнь вед стр-ра'!G393</f>
        <v>4</v>
      </c>
      <c r="H483" s="25">
        <f>'изм июнь вед стр-ра'!H393</f>
        <v>0</v>
      </c>
      <c r="I483" s="25">
        <f>'изм июнь вед стр-ра'!I393</f>
        <v>0</v>
      </c>
    </row>
    <row r="484" spans="1:9" s="194" customFormat="1" ht="30.75" customHeight="1" x14ac:dyDescent="0.2">
      <c r="A484" s="18" t="s">
        <v>604</v>
      </c>
      <c r="B484" s="123">
        <v>16</v>
      </c>
      <c r="C484" s="24" t="s">
        <v>351</v>
      </c>
      <c r="D484" s="24" t="s">
        <v>350</v>
      </c>
      <c r="E484" s="19" t="s">
        <v>613</v>
      </c>
      <c r="F484" s="19"/>
      <c r="G484" s="20">
        <f>G485</f>
        <v>10</v>
      </c>
      <c r="H484" s="20">
        <f t="shared" ref="H484:I484" si="81">H485</f>
        <v>0</v>
      </c>
      <c r="I484" s="20">
        <f t="shared" si="81"/>
        <v>0</v>
      </c>
    </row>
    <row r="485" spans="1:9" s="26" customFormat="1" ht="30.75" customHeight="1" x14ac:dyDescent="0.2">
      <c r="A485" s="28" t="s">
        <v>119</v>
      </c>
      <c r="B485" s="124">
        <v>16</v>
      </c>
      <c r="C485" s="24" t="s">
        <v>351</v>
      </c>
      <c r="D485" s="24" t="s">
        <v>350</v>
      </c>
      <c r="E485" s="24" t="s">
        <v>613</v>
      </c>
      <c r="F485" s="24" t="s">
        <v>62</v>
      </c>
      <c r="G485" s="25">
        <f>'изм июнь вед стр-ра'!G395</f>
        <v>10</v>
      </c>
      <c r="H485" s="25">
        <f>'изм июнь вед стр-ра'!H395</f>
        <v>0</v>
      </c>
      <c r="I485" s="25">
        <f>'изм июнь вед стр-ра'!I395</f>
        <v>0</v>
      </c>
    </row>
    <row r="486" spans="1:9" x14ac:dyDescent="0.2">
      <c r="A486" s="39" t="s">
        <v>358</v>
      </c>
      <c r="B486" s="40" t="s">
        <v>301</v>
      </c>
      <c r="C486" s="40"/>
      <c r="D486" s="40"/>
      <c r="E486" s="40"/>
      <c r="F486" s="40"/>
      <c r="G486" s="38">
        <f>SUM(G487,G490,G492,G494)+G500+G498+G502</f>
        <v>15069.399999999998</v>
      </c>
      <c r="H486" s="38">
        <f>SUM(H487,H490,H492,H494)+H500+H498+H505</f>
        <v>37985.199999999997</v>
      </c>
      <c r="I486" s="38">
        <f>SUM(I487,I490,I492,I494)+I500+I498+I505</f>
        <v>56427.399999999994</v>
      </c>
    </row>
    <row r="487" spans="1:9" ht="25.5" x14ac:dyDescent="0.2">
      <c r="A487" s="18" t="s">
        <v>194</v>
      </c>
      <c r="B487" s="19">
        <v>99</v>
      </c>
      <c r="C487" s="19">
        <v>0</v>
      </c>
      <c r="D487" s="19" t="s">
        <v>350</v>
      </c>
      <c r="E487" s="19" t="s">
        <v>357</v>
      </c>
      <c r="F487" s="19"/>
      <c r="G487" s="20">
        <f>G488+G489</f>
        <v>1905</v>
      </c>
      <c r="H487" s="20">
        <f t="shared" ref="H487:I487" si="82">H488+H489</f>
        <v>1895</v>
      </c>
      <c r="I487" s="20">
        <f t="shared" si="82"/>
        <v>1895</v>
      </c>
    </row>
    <row r="488" spans="1:9" ht="51" x14ac:dyDescent="0.2">
      <c r="A488" s="30" t="s">
        <v>63</v>
      </c>
      <c r="B488" s="24">
        <v>99</v>
      </c>
      <c r="C488" s="24">
        <v>0</v>
      </c>
      <c r="D488" s="24" t="s">
        <v>350</v>
      </c>
      <c r="E488" s="24" t="s">
        <v>357</v>
      </c>
      <c r="F488" s="27" t="s">
        <v>64</v>
      </c>
      <c r="G488" s="25">
        <f>'изм июнь вед стр-ра'!G236</f>
        <v>1890</v>
      </c>
      <c r="H488" s="25">
        <f>'изм июнь вед стр-ра'!H236</f>
        <v>1880</v>
      </c>
      <c r="I488" s="25">
        <f>'изм июнь вед стр-ра'!I236</f>
        <v>1880</v>
      </c>
    </row>
    <row r="489" spans="1:9" s="194" customFormat="1" ht="25.5" x14ac:dyDescent="0.2">
      <c r="A489" s="30" t="s">
        <v>353</v>
      </c>
      <c r="B489" s="24">
        <v>99</v>
      </c>
      <c r="C489" s="24">
        <v>0</v>
      </c>
      <c r="D489" s="24" t="s">
        <v>350</v>
      </c>
      <c r="E489" s="24" t="s">
        <v>357</v>
      </c>
      <c r="F489" s="27" t="s">
        <v>65</v>
      </c>
      <c r="G489" s="25">
        <f>'изм июнь вед стр-ра'!G237</f>
        <v>15</v>
      </c>
      <c r="H489" s="25">
        <f>'изм июнь вед стр-ра'!H237</f>
        <v>15</v>
      </c>
      <c r="I489" s="25">
        <f>'изм июнь вед стр-ра'!I237</f>
        <v>15</v>
      </c>
    </row>
    <row r="490" spans="1:9" x14ac:dyDescent="0.2">
      <c r="A490" s="18" t="s">
        <v>195</v>
      </c>
      <c r="B490" s="19">
        <v>99</v>
      </c>
      <c r="C490" s="19">
        <v>0</v>
      </c>
      <c r="D490" s="19" t="s">
        <v>350</v>
      </c>
      <c r="E490" s="19" t="s">
        <v>356</v>
      </c>
      <c r="F490" s="19"/>
      <c r="G490" s="20">
        <f>G491</f>
        <v>3193.8999999999996</v>
      </c>
      <c r="H490" s="20">
        <f>H491</f>
        <v>3116.7</v>
      </c>
      <c r="I490" s="20">
        <f>I491</f>
        <v>3116.7</v>
      </c>
    </row>
    <row r="491" spans="1:9" ht="51" x14ac:dyDescent="0.2">
      <c r="A491" s="30" t="s">
        <v>63</v>
      </c>
      <c r="B491" s="24">
        <v>99</v>
      </c>
      <c r="C491" s="24">
        <v>0</v>
      </c>
      <c r="D491" s="24" t="s">
        <v>350</v>
      </c>
      <c r="E491" s="24" t="s">
        <v>356</v>
      </c>
      <c r="F491" s="27" t="s">
        <v>64</v>
      </c>
      <c r="G491" s="25">
        <f>'изм июнь вед стр-ра'!G239</f>
        <v>3193.8999999999996</v>
      </c>
      <c r="H491" s="25">
        <f>'изм июнь вед стр-ра'!H239</f>
        <v>3116.7</v>
      </c>
      <c r="I491" s="25">
        <f>'изм июнь вед стр-ра'!I239</f>
        <v>3116.7</v>
      </c>
    </row>
    <row r="492" spans="1:9" x14ac:dyDescent="0.2">
      <c r="A492" s="18" t="s">
        <v>192</v>
      </c>
      <c r="B492" s="19">
        <v>99</v>
      </c>
      <c r="C492" s="19">
        <v>0</v>
      </c>
      <c r="D492" s="19" t="s">
        <v>350</v>
      </c>
      <c r="E492" s="19" t="s">
        <v>355</v>
      </c>
      <c r="F492" s="19"/>
      <c r="G492" s="20">
        <f>G493</f>
        <v>795.4</v>
      </c>
      <c r="H492" s="20">
        <f>H493</f>
        <v>795.4</v>
      </c>
      <c r="I492" s="20">
        <f>I493</f>
        <v>795.4</v>
      </c>
    </row>
    <row r="493" spans="1:9" ht="51" x14ac:dyDescent="0.2">
      <c r="A493" s="30" t="s">
        <v>63</v>
      </c>
      <c r="B493" s="24">
        <v>99</v>
      </c>
      <c r="C493" s="24">
        <v>0</v>
      </c>
      <c r="D493" s="24" t="s">
        <v>350</v>
      </c>
      <c r="E493" s="24" t="s">
        <v>355</v>
      </c>
      <c r="F493" s="27" t="s">
        <v>64</v>
      </c>
      <c r="G493" s="25">
        <f>'изм июнь вед стр-ра'!G227</f>
        <v>795.4</v>
      </c>
      <c r="H493" s="25">
        <f>'изм июнь вед стр-ра'!H227</f>
        <v>795.4</v>
      </c>
      <c r="I493" s="25">
        <f>'изм июнь вед стр-ра'!I227</f>
        <v>795.4</v>
      </c>
    </row>
    <row r="494" spans="1:9" x14ac:dyDescent="0.2">
      <c r="A494" s="18" t="s">
        <v>191</v>
      </c>
      <c r="B494" s="19">
        <v>99</v>
      </c>
      <c r="C494" s="19">
        <v>0</v>
      </c>
      <c r="D494" s="19" t="s">
        <v>350</v>
      </c>
      <c r="E494" s="19" t="s">
        <v>354</v>
      </c>
      <c r="F494" s="19"/>
      <c r="G494" s="20">
        <f>G495+G496+G497</f>
        <v>5701.5999999999995</v>
      </c>
      <c r="H494" s="20">
        <f>H495+H496+H497</f>
        <v>5788.7999999999993</v>
      </c>
      <c r="I494" s="20">
        <f>I495+I496+I497</f>
        <v>5788.7999999999993</v>
      </c>
    </row>
    <row r="495" spans="1:9" ht="51" x14ac:dyDescent="0.2">
      <c r="A495" s="30" t="s">
        <v>63</v>
      </c>
      <c r="B495" s="24">
        <v>99</v>
      </c>
      <c r="C495" s="24">
        <v>0</v>
      </c>
      <c r="D495" s="24" t="s">
        <v>350</v>
      </c>
      <c r="E495" s="24" t="s">
        <v>354</v>
      </c>
      <c r="F495" s="27" t="s">
        <v>64</v>
      </c>
      <c r="G495" s="25">
        <f>'изм июнь вед стр-ра'!G223+'изм июнь вед стр-ра'!G232</f>
        <v>4818.8</v>
      </c>
      <c r="H495" s="25">
        <f>'изм июнь вед стр-ра'!H223+'изм июнь вед стр-ра'!H232</f>
        <v>4906</v>
      </c>
      <c r="I495" s="25">
        <f>'изм июнь вед стр-ра'!I223+'изм июнь вед стр-ра'!I232</f>
        <v>4906</v>
      </c>
    </row>
    <row r="496" spans="1:9" ht="25.5" x14ac:dyDescent="0.2">
      <c r="A496" s="30" t="s">
        <v>353</v>
      </c>
      <c r="B496" s="24">
        <v>99</v>
      </c>
      <c r="C496" s="24">
        <v>0</v>
      </c>
      <c r="D496" s="24" t="s">
        <v>350</v>
      </c>
      <c r="E496" s="24" t="s">
        <v>354</v>
      </c>
      <c r="F496" s="27" t="s">
        <v>65</v>
      </c>
      <c r="G496" s="25">
        <f>'изм июнь вед стр-ра'!G224+'изм июнь вед стр-ра'!G233</f>
        <v>879.9</v>
      </c>
      <c r="H496" s="25">
        <f>'изм июнь вед стр-ра'!H224+'изм июнь вед стр-ра'!H233</f>
        <v>879.9</v>
      </c>
      <c r="I496" s="25">
        <f>'изм июнь вед стр-ра'!I224+'изм июнь вед стр-ра'!I233</f>
        <v>879.9</v>
      </c>
    </row>
    <row r="497" spans="1:16" x14ac:dyDescent="0.2">
      <c r="A497" s="28" t="s">
        <v>69</v>
      </c>
      <c r="B497" s="24">
        <v>99</v>
      </c>
      <c r="C497" s="24">
        <v>0</v>
      </c>
      <c r="D497" s="24" t="s">
        <v>350</v>
      </c>
      <c r="E497" s="24" t="s">
        <v>354</v>
      </c>
      <c r="F497" s="24" t="s">
        <v>70</v>
      </c>
      <c r="G497" s="25">
        <f>'изм июнь вед стр-ра'!G225+'изм июнь вед стр-ра'!G234</f>
        <v>2.9000000000000004</v>
      </c>
      <c r="H497" s="25">
        <f>'изм июнь вед стр-ра'!H225+'изм июнь вед стр-ра'!H234</f>
        <v>2.9000000000000004</v>
      </c>
      <c r="I497" s="25">
        <f>'изм июнь вед стр-ра'!I225+'изм июнь вед стр-ра'!I234</f>
        <v>2.9000000000000004</v>
      </c>
    </row>
    <row r="498" spans="1:16" s="194" customFormat="1" ht="38.25" x14ac:dyDescent="0.2">
      <c r="A498" s="18" t="s">
        <v>304</v>
      </c>
      <c r="B498" s="19">
        <v>99</v>
      </c>
      <c r="C498" s="19">
        <v>0</v>
      </c>
      <c r="D498" s="19" t="s">
        <v>350</v>
      </c>
      <c r="E498" s="19" t="s">
        <v>352</v>
      </c>
      <c r="F498" s="19"/>
      <c r="G498" s="20">
        <f>G499</f>
        <v>16.8</v>
      </c>
      <c r="H498" s="20">
        <f>H499</f>
        <v>18</v>
      </c>
      <c r="I498" s="20">
        <f>I499</f>
        <v>144.6</v>
      </c>
    </row>
    <row r="499" spans="1:16" s="194" customFormat="1" ht="25.5" x14ac:dyDescent="0.2">
      <c r="A499" s="30" t="s">
        <v>353</v>
      </c>
      <c r="B499" s="24">
        <v>99</v>
      </c>
      <c r="C499" s="24">
        <v>0</v>
      </c>
      <c r="D499" s="24" t="s">
        <v>350</v>
      </c>
      <c r="E499" s="24" t="s">
        <v>352</v>
      </c>
      <c r="F499" s="27" t="s">
        <v>65</v>
      </c>
      <c r="G499" s="25">
        <f>'изм июнь вед стр-ра'!G35</f>
        <v>16.8</v>
      </c>
      <c r="H499" s="25">
        <f>'изм июнь вед стр-ра'!H35</f>
        <v>18</v>
      </c>
      <c r="I499" s="25">
        <f>'изм июнь вед стр-ра'!I35</f>
        <v>144.6</v>
      </c>
    </row>
    <row r="500" spans="1:16" x14ac:dyDescent="0.2">
      <c r="A500" s="18" t="s">
        <v>683</v>
      </c>
      <c r="B500" s="19">
        <v>99</v>
      </c>
      <c r="C500" s="19">
        <v>0</v>
      </c>
      <c r="D500" s="19" t="s">
        <v>350</v>
      </c>
      <c r="E500" s="19" t="s">
        <v>684</v>
      </c>
      <c r="F500" s="19"/>
      <c r="G500" s="20">
        <f>G501</f>
        <v>1218.9000000000001</v>
      </c>
      <c r="H500" s="20">
        <f>H501</f>
        <v>0</v>
      </c>
      <c r="I500" s="20">
        <f>I501</f>
        <v>0</v>
      </c>
    </row>
    <row r="501" spans="1:16" ht="25.5" x14ac:dyDescent="0.2">
      <c r="A501" s="30" t="s">
        <v>353</v>
      </c>
      <c r="B501" s="24">
        <v>99</v>
      </c>
      <c r="C501" s="24">
        <v>0</v>
      </c>
      <c r="D501" s="24" t="s">
        <v>350</v>
      </c>
      <c r="E501" s="24" t="s">
        <v>684</v>
      </c>
      <c r="F501" s="27" t="s">
        <v>65</v>
      </c>
      <c r="G501" s="25">
        <f>'изм июнь вед стр-ра'!G43</f>
        <v>1218.9000000000001</v>
      </c>
      <c r="H501" s="25">
        <f>'изм июнь вед стр-ра'!H43</f>
        <v>0</v>
      </c>
      <c r="I501" s="25">
        <f>'изм июнь вед стр-ра'!I43</f>
        <v>0</v>
      </c>
    </row>
    <row r="502" spans="1:16" s="194" customFormat="1" ht="51" x14ac:dyDescent="0.2">
      <c r="A502" s="30" t="s">
        <v>688</v>
      </c>
      <c r="B502" s="24" t="s">
        <v>301</v>
      </c>
      <c r="C502" s="24" t="s">
        <v>351</v>
      </c>
      <c r="D502" s="24" t="s">
        <v>689</v>
      </c>
      <c r="E502" s="24" t="s">
        <v>690</v>
      </c>
      <c r="F502" s="27"/>
      <c r="G502" s="25">
        <f>G503+G504</f>
        <v>2237.8000000000002</v>
      </c>
      <c r="H502" s="25"/>
      <c r="I502" s="25"/>
    </row>
    <row r="503" spans="1:16" s="194" customFormat="1" ht="25.5" x14ac:dyDescent="0.2">
      <c r="A503" s="30" t="s">
        <v>353</v>
      </c>
      <c r="B503" s="24" t="s">
        <v>301</v>
      </c>
      <c r="C503" s="24" t="s">
        <v>351</v>
      </c>
      <c r="D503" s="24" t="s">
        <v>689</v>
      </c>
      <c r="E503" s="24" t="s">
        <v>690</v>
      </c>
      <c r="F503" s="27" t="s">
        <v>65</v>
      </c>
      <c r="G503" s="25">
        <f>'изм июнь вед стр-ра'!G74</f>
        <v>237.8</v>
      </c>
      <c r="H503" s="25"/>
      <c r="I503" s="25"/>
    </row>
    <row r="504" spans="1:16" s="194" customFormat="1" ht="25.5" x14ac:dyDescent="0.2">
      <c r="A504" s="30" t="s">
        <v>119</v>
      </c>
      <c r="B504" s="24" t="s">
        <v>301</v>
      </c>
      <c r="C504" s="24" t="s">
        <v>351</v>
      </c>
      <c r="D504" s="24" t="s">
        <v>689</v>
      </c>
      <c r="E504" s="24" t="s">
        <v>690</v>
      </c>
      <c r="F504" s="27" t="s">
        <v>62</v>
      </c>
      <c r="G504" s="25">
        <f>'изм июнь вед стр-ра'!G542</f>
        <v>2000</v>
      </c>
      <c r="H504" s="25"/>
      <c r="I504" s="25"/>
    </row>
    <row r="505" spans="1:16" x14ac:dyDescent="0.2">
      <c r="A505" s="18" t="s">
        <v>300</v>
      </c>
      <c r="B505" s="123">
        <v>99</v>
      </c>
      <c r="C505" s="19" t="s">
        <v>351</v>
      </c>
      <c r="D505" s="19" t="s">
        <v>350</v>
      </c>
      <c r="E505" s="19" t="s">
        <v>349</v>
      </c>
      <c r="F505" s="19"/>
      <c r="G505" s="20"/>
      <c r="H505" s="20">
        <f t="shared" ref="H505:I507" si="83">H506</f>
        <v>26371.300000000003</v>
      </c>
      <c r="I505" s="20">
        <f t="shared" si="83"/>
        <v>44686.899999999994</v>
      </c>
    </row>
    <row r="506" spans="1:16" x14ac:dyDescent="0.2">
      <c r="A506" s="18" t="s">
        <v>300</v>
      </c>
      <c r="B506" s="123">
        <v>99</v>
      </c>
      <c r="C506" s="19" t="s">
        <v>351</v>
      </c>
      <c r="D506" s="19" t="s">
        <v>350</v>
      </c>
      <c r="E506" s="19" t="s">
        <v>349</v>
      </c>
      <c r="F506" s="19"/>
      <c r="G506" s="20"/>
      <c r="H506" s="20">
        <f t="shared" si="83"/>
        <v>26371.300000000003</v>
      </c>
      <c r="I506" s="20">
        <f t="shared" si="83"/>
        <v>44686.899999999994</v>
      </c>
    </row>
    <row r="507" spans="1:16" x14ac:dyDescent="0.2">
      <c r="A507" s="18" t="s">
        <v>300</v>
      </c>
      <c r="B507" s="123">
        <v>99</v>
      </c>
      <c r="C507" s="19" t="s">
        <v>351</v>
      </c>
      <c r="D507" s="19" t="s">
        <v>350</v>
      </c>
      <c r="E507" s="19" t="s">
        <v>349</v>
      </c>
      <c r="F507" s="19"/>
      <c r="G507" s="20"/>
      <c r="H507" s="20">
        <f t="shared" si="83"/>
        <v>26371.300000000003</v>
      </c>
      <c r="I507" s="20">
        <f t="shared" si="83"/>
        <v>44686.899999999994</v>
      </c>
    </row>
    <row r="508" spans="1:16" s="26" customFormat="1" x14ac:dyDescent="0.2">
      <c r="A508" s="28" t="s">
        <v>300</v>
      </c>
      <c r="B508" s="123">
        <v>99</v>
      </c>
      <c r="C508" s="19" t="s">
        <v>351</v>
      </c>
      <c r="D508" s="19" t="s">
        <v>350</v>
      </c>
      <c r="E508" s="19" t="s">
        <v>349</v>
      </c>
      <c r="F508" s="24" t="s">
        <v>70</v>
      </c>
      <c r="G508" s="25"/>
      <c r="H508" s="25">
        <f>'изм июнь вед стр-ра'!H146</f>
        <v>26371.300000000003</v>
      </c>
      <c r="I508" s="25">
        <f>'изм июнь вед стр-ра'!I146</f>
        <v>44686.899999999994</v>
      </c>
      <c r="K508" s="21"/>
      <c r="L508" s="21"/>
      <c r="M508" s="21"/>
      <c r="N508" s="21"/>
      <c r="O508" s="21"/>
      <c r="P508" s="21"/>
    </row>
    <row r="509" spans="1:16" ht="15.75" x14ac:dyDescent="0.25">
      <c r="A509" s="122" t="s">
        <v>348</v>
      </c>
      <c r="B509" s="121"/>
      <c r="C509" s="120"/>
      <c r="D509" s="121"/>
      <c r="E509" s="120"/>
      <c r="F509" s="120"/>
      <c r="G509" s="119">
        <f>SUM(G450,G486,G417,G394,G373,G287,G269,G146,G96,G76,G53,G13,G456,G453)+G461+G473</f>
        <v>3365910.38411</v>
      </c>
      <c r="H509" s="119">
        <f>SUM(H450,H486,H417,H394,H373,H287,H269,H146,H96,H76,H53,H13,H456,H453)+H461+H473</f>
        <v>2738971.7460000007</v>
      </c>
      <c r="I509" s="119">
        <f>SUM(I450,I486,I417,I394,I373,I287,I269,I146,I96,I76,I53,I13,I456,I453)+I461+I473</f>
        <v>2969386.5320000006</v>
      </c>
    </row>
    <row r="510" spans="1:16" ht="12" customHeight="1" x14ac:dyDescent="0.2">
      <c r="B510" s="168"/>
      <c r="C510" s="21"/>
      <c r="D510" s="168"/>
      <c r="E510" s="21"/>
      <c r="F510" s="21"/>
      <c r="G510" s="169"/>
      <c r="H510" s="169"/>
      <c r="I510" s="169"/>
    </row>
    <row r="511" spans="1:16" x14ac:dyDescent="0.2">
      <c r="B511" s="168"/>
      <c r="C511" s="21"/>
      <c r="D511" s="168"/>
      <c r="E511" s="21"/>
      <c r="F511" s="21"/>
      <c r="G511" s="169"/>
      <c r="H511" s="169"/>
      <c r="I511" s="169"/>
    </row>
    <row r="512" spans="1:16" x14ac:dyDescent="0.2">
      <c r="B512" s="168"/>
      <c r="C512" s="21"/>
      <c r="D512" s="168"/>
      <c r="E512" s="21"/>
      <c r="F512" s="21"/>
      <c r="G512" s="169"/>
      <c r="H512" s="169"/>
      <c r="I512" s="169"/>
    </row>
    <row r="513" spans="1:9" s="194" customFormat="1" ht="24" customHeight="1" x14ac:dyDescent="0.2">
      <c r="A513" s="113" t="s">
        <v>61</v>
      </c>
      <c r="B513" s="219"/>
      <c r="C513" s="219"/>
      <c r="D513" s="219"/>
      <c r="E513" s="219"/>
      <c r="F513" s="112"/>
      <c r="G513" s="114"/>
      <c r="H513" s="114"/>
      <c r="I513" s="115" t="s">
        <v>580</v>
      </c>
    </row>
    <row r="514" spans="1:9" ht="3.75" customHeight="1" x14ac:dyDescent="0.2">
      <c r="B514" s="168"/>
      <c r="C514" s="21"/>
      <c r="D514" s="168"/>
      <c r="E514" s="21"/>
      <c r="F514" s="21"/>
      <c r="G514" s="21"/>
    </row>
    <row r="515" spans="1:9" x14ac:dyDescent="0.2">
      <c r="B515" s="168"/>
      <c r="C515" s="21"/>
      <c r="D515" s="168"/>
      <c r="E515" s="21"/>
      <c r="F515" s="21"/>
      <c r="G515" s="170">
        <f>G509-'изм июнь вед стр-ра'!G606</f>
        <v>0</v>
      </c>
      <c r="H515" s="170">
        <f>H509-'изм июнь вед стр-ра'!H606</f>
        <v>0</v>
      </c>
      <c r="I515" s="170">
        <f>I509-'изм июнь вед стр-ра'!I606</f>
        <v>0</v>
      </c>
    </row>
    <row r="516" spans="1:9" x14ac:dyDescent="0.2">
      <c r="B516" s="168"/>
      <c r="C516" s="21"/>
      <c r="D516" s="168"/>
      <c r="E516" s="21"/>
      <c r="F516" s="21"/>
      <c r="G516" s="169"/>
      <c r="H516" s="169"/>
      <c r="I516" s="169"/>
    </row>
    <row r="517" spans="1:9" x14ac:dyDescent="0.2">
      <c r="B517" s="168"/>
      <c r="C517" s="21"/>
      <c r="D517" s="168"/>
      <c r="E517" s="21"/>
      <c r="F517" s="21"/>
      <c r="G517" s="169"/>
      <c r="H517" s="169"/>
      <c r="I517" s="169"/>
    </row>
    <row r="518" spans="1:9" x14ac:dyDescent="0.2">
      <c r="B518" s="168"/>
      <c r="C518" s="21"/>
      <c r="D518" s="168"/>
      <c r="E518" s="21"/>
      <c r="F518" s="21"/>
      <c r="G518" s="21"/>
    </row>
    <row r="519" spans="1:9" x14ac:dyDescent="0.2">
      <c r="B519" s="168"/>
      <c r="C519" s="21"/>
      <c r="D519" s="168"/>
      <c r="E519" s="21"/>
      <c r="F519" s="21"/>
      <c r="G519" s="169"/>
      <c r="H519" s="169"/>
      <c r="I519" s="169"/>
    </row>
    <row r="520" spans="1:9" x14ac:dyDescent="0.2">
      <c r="B520" s="168"/>
      <c r="C520" s="21"/>
      <c r="D520" s="168"/>
      <c r="E520" s="21"/>
      <c r="F520" s="21"/>
      <c r="G520" s="21"/>
    </row>
    <row r="521" spans="1:9" x14ac:dyDescent="0.2">
      <c r="B521" s="168"/>
      <c r="C521" s="21"/>
      <c r="D521" s="168"/>
      <c r="E521" s="21"/>
      <c r="F521" s="21"/>
      <c r="G521" s="169"/>
      <c r="H521" s="169"/>
      <c r="I521" s="169"/>
    </row>
    <row r="522" spans="1:9" x14ac:dyDescent="0.2">
      <c r="B522" s="168"/>
      <c r="C522" s="21"/>
      <c r="D522" s="168"/>
      <c r="E522" s="21"/>
      <c r="F522" s="21"/>
      <c r="G522" s="21"/>
    </row>
    <row r="523" spans="1:9" x14ac:dyDescent="0.2">
      <c r="B523" s="168"/>
      <c r="C523" s="21"/>
      <c r="D523" s="168"/>
      <c r="E523" s="21"/>
      <c r="F523" s="21"/>
      <c r="G523" s="21"/>
    </row>
    <row r="524" spans="1:9" x14ac:dyDescent="0.2">
      <c r="B524" s="168"/>
      <c r="C524" s="21"/>
      <c r="D524" s="168"/>
      <c r="E524" s="21"/>
      <c r="F524" s="21"/>
      <c r="G524" s="21"/>
    </row>
    <row r="525" spans="1:9" x14ac:dyDescent="0.2">
      <c r="B525" s="168"/>
      <c r="C525" s="21"/>
      <c r="D525" s="168"/>
      <c r="E525" s="21"/>
      <c r="F525" s="21"/>
      <c r="G525" s="21"/>
    </row>
    <row r="526" spans="1:9" x14ac:dyDescent="0.2">
      <c r="B526" s="168"/>
      <c r="C526" s="21"/>
      <c r="D526" s="168"/>
      <c r="E526" s="21"/>
      <c r="F526" s="21"/>
      <c r="G526" s="21"/>
    </row>
    <row r="527" spans="1:9" x14ac:dyDescent="0.2">
      <c r="B527" s="168"/>
      <c r="C527" s="21"/>
      <c r="D527" s="168"/>
      <c r="E527" s="21"/>
      <c r="F527" s="21"/>
      <c r="G527" s="21"/>
    </row>
    <row r="528" spans="1:9" x14ac:dyDescent="0.2">
      <c r="B528" s="168"/>
      <c r="C528" s="21"/>
      <c r="D528" s="168"/>
      <c r="E528" s="21"/>
      <c r="F528" s="21"/>
      <c r="G528" s="21"/>
    </row>
    <row r="529" spans="2:7" x14ac:dyDescent="0.2">
      <c r="B529" s="168"/>
      <c r="C529" s="21"/>
      <c r="D529" s="168"/>
      <c r="E529" s="21"/>
      <c r="F529" s="21"/>
      <c r="G529" s="21"/>
    </row>
    <row r="530" spans="2:7" x14ac:dyDescent="0.2">
      <c r="B530" s="168"/>
      <c r="C530" s="21"/>
      <c r="D530" s="168"/>
      <c r="E530" s="21"/>
      <c r="F530" s="21"/>
      <c r="G530" s="21"/>
    </row>
    <row r="531" spans="2:7" x14ac:dyDescent="0.2">
      <c r="B531" s="168"/>
      <c r="C531" s="21"/>
      <c r="D531" s="168"/>
      <c r="E531" s="21"/>
      <c r="F531" s="21"/>
      <c r="G531" s="21"/>
    </row>
    <row r="532" spans="2:7" x14ac:dyDescent="0.2">
      <c r="B532" s="168"/>
      <c r="C532" s="21"/>
      <c r="D532" s="168"/>
      <c r="E532" s="21"/>
      <c r="F532" s="21"/>
      <c r="G532" s="21"/>
    </row>
    <row r="533" spans="2:7" x14ac:dyDescent="0.2">
      <c r="B533" s="168"/>
      <c r="C533" s="21"/>
      <c r="D533" s="168"/>
      <c r="E533" s="21"/>
      <c r="F533" s="21"/>
      <c r="G533" s="21"/>
    </row>
    <row r="534" spans="2:7" x14ac:dyDescent="0.2">
      <c r="B534" s="168"/>
      <c r="C534" s="21"/>
      <c r="D534" s="168"/>
      <c r="E534" s="21"/>
      <c r="F534" s="21"/>
      <c r="G534" s="21"/>
    </row>
    <row r="535" spans="2:7" x14ac:dyDescent="0.2">
      <c r="B535" s="168"/>
      <c r="C535" s="21"/>
      <c r="D535" s="168"/>
      <c r="E535" s="21"/>
      <c r="F535" s="21"/>
      <c r="G535" s="21"/>
    </row>
    <row r="536" spans="2:7" x14ac:dyDescent="0.2">
      <c r="B536" s="168"/>
      <c r="C536" s="21"/>
      <c r="D536" s="168"/>
      <c r="E536" s="21"/>
      <c r="F536" s="21"/>
      <c r="G536" s="21"/>
    </row>
    <row r="537" spans="2:7" x14ac:dyDescent="0.2">
      <c r="B537" s="168"/>
      <c r="C537" s="21"/>
      <c r="D537" s="168"/>
      <c r="E537" s="21"/>
      <c r="F537" s="21"/>
      <c r="G537" s="21"/>
    </row>
    <row r="538" spans="2:7" x14ac:dyDescent="0.2">
      <c r="B538" s="168"/>
      <c r="C538" s="21"/>
      <c r="D538" s="168"/>
      <c r="E538" s="21"/>
      <c r="F538" s="21"/>
      <c r="G538" s="21"/>
    </row>
    <row r="539" spans="2:7" x14ac:dyDescent="0.2">
      <c r="B539" s="168"/>
      <c r="C539" s="21"/>
      <c r="D539" s="168"/>
      <c r="E539" s="21"/>
      <c r="F539" s="21"/>
      <c r="G539" s="21"/>
    </row>
    <row r="540" spans="2:7" x14ac:dyDescent="0.2">
      <c r="B540" s="168"/>
      <c r="C540" s="21"/>
      <c r="D540" s="168"/>
      <c r="E540" s="21"/>
      <c r="F540" s="21"/>
      <c r="G540" s="21"/>
    </row>
    <row r="541" spans="2:7" x14ac:dyDescent="0.2">
      <c r="B541" s="168"/>
      <c r="C541" s="21"/>
      <c r="D541" s="168"/>
      <c r="E541" s="21"/>
      <c r="F541" s="21"/>
      <c r="G541" s="21"/>
    </row>
    <row r="542" spans="2:7" x14ac:dyDescent="0.2">
      <c r="B542" s="168"/>
      <c r="C542" s="21"/>
      <c r="D542" s="168"/>
      <c r="E542" s="21"/>
      <c r="F542" s="21"/>
      <c r="G542" s="21"/>
    </row>
    <row r="543" spans="2:7" x14ac:dyDescent="0.2">
      <c r="B543" s="168"/>
      <c r="C543" s="21"/>
      <c r="D543" s="168"/>
      <c r="E543" s="21"/>
      <c r="F543" s="21"/>
      <c r="G543" s="21"/>
    </row>
    <row r="544" spans="2:7" x14ac:dyDescent="0.2">
      <c r="B544" s="168"/>
      <c r="C544" s="21"/>
      <c r="D544" s="168"/>
      <c r="E544" s="21"/>
      <c r="F544" s="21"/>
      <c r="G544" s="21"/>
    </row>
    <row r="545" spans="2:7" x14ac:dyDescent="0.2">
      <c r="B545" s="168"/>
      <c r="C545" s="21"/>
      <c r="D545" s="168"/>
      <c r="E545" s="21"/>
      <c r="F545" s="21"/>
      <c r="G545" s="21"/>
    </row>
    <row r="546" spans="2:7" x14ac:dyDescent="0.2">
      <c r="B546" s="168"/>
      <c r="C546" s="21"/>
      <c r="D546" s="168"/>
      <c r="E546" s="21"/>
      <c r="F546" s="21"/>
      <c r="G546" s="21"/>
    </row>
    <row r="547" spans="2:7" x14ac:dyDescent="0.2">
      <c r="B547" s="168"/>
      <c r="C547" s="21"/>
      <c r="D547" s="168"/>
      <c r="E547" s="21"/>
      <c r="F547" s="21"/>
      <c r="G547" s="21"/>
    </row>
    <row r="548" spans="2:7" x14ac:dyDescent="0.2">
      <c r="B548" s="168"/>
      <c r="C548" s="21"/>
      <c r="D548" s="168"/>
      <c r="E548" s="21"/>
      <c r="F548" s="21"/>
      <c r="G548" s="21"/>
    </row>
    <row r="549" spans="2:7" x14ac:dyDescent="0.2">
      <c r="B549" s="168"/>
      <c r="C549" s="21"/>
      <c r="D549" s="168"/>
      <c r="E549" s="21"/>
      <c r="F549" s="21"/>
      <c r="G549" s="21"/>
    </row>
    <row r="550" spans="2:7" x14ac:dyDescent="0.2">
      <c r="B550" s="168"/>
      <c r="C550" s="21"/>
      <c r="D550" s="168"/>
      <c r="E550" s="21"/>
      <c r="F550" s="21"/>
      <c r="G550" s="21"/>
    </row>
    <row r="551" spans="2:7" x14ac:dyDescent="0.2">
      <c r="B551" s="168"/>
      <c r="C551" s="21"/>
      <c r="D551" s="168"/>
      <c r="E551" s="21"/>
      <c r="F551" s="21"/>
      <c r="G551" s="21"/>
    </row>
    <row r="552" spans="2:7" x14ac:dyDescent="0.2">
      <c r="B552" s="168"/>
      <c r="C552" s="21"/>
      <c r="D552" s="168"/>
      <c r="E552" s="21"/>
      <c r="F552" s="21"/>
      <c r="G552" s="21"/>
    </row>
    <row r="553" spans="2:7" x14ac:dyDescent="0.2">
      <c r="B553" s="168"/>
      <c r="C553" s="21"/>
      <c r="D553" s="168"/>
      <c r="E553" s="21"/>
      <c r="F553" s="21"/>
      <c r="G553" s="21"/>
    </row>
  </sheetData>
  <mergeCells count="8">
    <mergeCell ref="A7:I7"/>
    <mergeCell ref="A9:I9"/>
    <mergeCell ref="A10:G10"/>
    <mergeCell ref="A1:I1"/>
    <mergeCell ref="A2:I2"/>
    <mergeCell ref="A3:I3"/>
    <mergeCell ref="A5:I5"/>
    <mergeCell ref="A6:I6"/>
  </mergeCells>
  <pageMargins left="0.78740157480314965" right="0.39370078740157483" top="0.59055118110236227" bottom="0.78740157480314965" header="0.31496062992125984" footer="0.31496062992125984"/>
  <pageSetup paperSize="9" scale="62" fitToHeight="100" orientation="portrait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4"/>
  <sheetViews>
    <sheetView topLeftCell="A91" zoomScaleNormal="100" workbookViewId="0">
      <selection activeCell="J498" sqref="J498"/>
    </sheetView>
  </sheetViews>
  <sheetFormatPr defaultRowHeight="12.75" x14ac:dyDescent="0.2"/>
  <cols>
    <col min="1" max="1" width="61.140625" style="194" customWidth="1"/>
    <col min="2" max="2" width="4.85546875" style="195" customWidth="1"/>
    <col min="3" max="3" width="6.140625" style="195" customWidth="1"/>
    <col min="4" max="4" width="16.85546875" style="195" customWidth="1"/>
    <col min="5" max="5" width="5.85546875" style="195" customWidth="1"/>
    <col min="6" max="6" width="16.7109375" style="195" customWidth="1"/>
    <col min="7" max="7" width="14.85546875" style="195" customWidth="1"/>
    <col min="8" max="8" width="16.85546875" style="195" customWidth="1"/>
    <col min="9" max="16384" width="9.140625" style="194"/>
  </cols>
  <sheetData>
    <row r="1" spans="1:8" ht="14.25" customHeight="1" x14ac:dyDescent="0.3">
      <c r="A1" s="254" t="s">
        <v>523</v>
      </c>
      <c r="B1" s="254" t="s">
        <v>524</v>
      </c>
      <c r="C1" s="254" t="s">
        <v>524</v>
      </c>
      <c r="D1" s="254" t="s">
        <v>524</v>
      </c>
      <c r="E1" s="254" t="s">
        <v>524</v>
      </c>
      <c r="F1" s="254" t="s">
        <v>524</v>
      </c>
      <c r="G1" s="254" t="s">
        <v>524</v>
      </c>
      <c r="H1" s="254" t="s">
        <v>524</v>
      </c>
    </row>
    <row r="2" spans="1:8" ht="14.25" customHeight="1" x14ac:dyDescent="0.3">
      <c r="A2" s="254" t="s">
        <v>75</v>
      </c>
      <c r="B2" s="254" t="s">
        <v>75</v>
      </c>
      <c r="C2" s="254" t="s">
        <v>75</v>
      </c>
      <c r="D2" s="254" t="s">
        <v>75</v>
      </c>
      <c r="E2" s="254" t="s">
        <v>75</v>
      </c>
      <c r="F2" s="254" t="s">
        <v>75</v>
      </c>
      <c r="G2" s="254" t="s">
        <v>75</v>
      </c>
      <c r="H2" s="254" t="s">
        <v>75</v>
      </c>
    </row>
    <row r="3" spans="1:8" ht="14.25" customHeight="1" x14ac:dyDescent="0.3">
      <c r="A3" s="254" t="s">
        <v>665</v>
      </c>
      <c r="B3" s="254" t="s">
        <v>525</v>
      </c>
      <c r="C3" s="254" t="s">
        <v>525</v>
      </c>
      <c r="D3" s="254" t="s">
        <v>525</v>
      </c>
      <c r="E3" s="254" t="s">
        <v>525</v>
      </c>
      <c r="F3" s="254" t="s">
        <v>525</v>
      </c>
      <c r="G3" s="254" t="s">
        <v>525</v>
      </c>
      <c r="H3" s="254" t="s">
        <v>525</v>
      </c>
    </row>
    <row r="5" spans="1:8" x14ac:dyDescent="0.2">
      <c r="A5" s="260" t="s">
        <v>347</v>
      </c>
      <c r="B5" s="260" t="s">
        <v>524</v>
      </c>
      <c r="C5" s="260" t="s">
        <v>524</v>
      </c>
      <c r="D5" s="260" t="s">
        <v>524</v>
      </c>
      <c r="E5" s="260" t="s">
        <v>524</v>
      </c>
      <c r="F5" s="260" t="s">
        <v>524</v>
      </c>
      <c r="G5" s="260" t="s">
        <v>524</v>
      </c>
      <c r="H5" s="260" t="s">
        <v>524</v>
      </c>
    </row>
    <row r="6" spans="1:8" x14ac:dyDescent="0.2">
      <c r="A6" s="260" t="s">
        <v>75</v>
      </c>
      <c r="B6" s="260" t="s">
        <v>75</v>
      </c>
      <c r="C6" s="260" t="s">
        <v>75</v>
      </c>
      <c r="D6" s="260" t="s">
        <v>75</v>
      </c>
      <c r="E6" s="260" t="s">
        <v>75</v>
      </c>
      <c r="F6" s="260" t="s">
        <v>75</v>
      </c>
      <c r="G6" s="260" t="s">
        <v>75</v>
      </c>
      <c r="H6" s="260" t="s">
        <v>75</v>
      </c>
    </row>
    <row r="7" spans="1:8" x14ac:dyDescent="0.2">
      <c r="A7" s="260" t="s">
        <v>664</v>
      </c>
      <c r="B7" s="260"/>
      <c r="C7" s="260"/>
      <c r="D7" s="260"/>
      <c r="E7" s="260"/>
      <c r="F7" s="260"/>
      <c r="G7" s="260"/>
      <c r="H7" s="260"/>
    </row>
    <row r="8" spans="1:8" x14ac:dyDescent="0.2">
      <c r="A8" s="182"/>
      <c r="B8" s="182"/>
      <c r="C8" s="182"/>
      <c r="D8" s="182"/>
      <c r="E8" s="183"/>
      <c r="F8" s="182"/>
      <c r="G8" s="182"/>
      <c r="H8" s="182"/>
    </row>
    <row r="9" spans="1:8" s="160" customFormat="1" ht="75" customHeight="1" x14ac:dyDescent="0.2">
      <c r="A9" s="265" t="s">
        <v>668</v>
      </c>
      <c r="B9" s="265"/>
      <c r="C9" s="265"/>
      <c r="D9" s="265"/>
      <c r="E9" s="265"/>
      <c r="F9" s="265"/>
      <c r="G9" s="265"/>
      <c r="H9" s="265"/>
    </row>
    <row r="10" spans="1:8" s="160" customFormat="1" ht="9.75" customHeight="1" x14ac:dyDescent="0.2">
      <c r="A10" s="265"/>
      <c r="B10" s="265"/>
      <c r="C10" s="265"/>
      <c r="D10" s="265"/>
      <c r="E10" s="265"/>
      <c r="F10" s="265"/>
    </row>
    <row r="11" spans="1:8" s="161" customFormat="1" ht="12" thickBot="1" x14ac:dyDescent="0.25">
      <c r="A11" s="267"/>
      <c r="B11" s="267"/>
      <c r="C11" s="267"/>
      <c r="D11" s="267"/>
      <c r="E11" s="267"/>
      <c r="F11" s="267"/>
      <c r="H11" s="184" t="s">
        <v>59</v>
      </c>
    </row>
    <row r="12" spans="1:8" ht="42.75" x14ac:dyDescent="0.2">
      <c r="A12" s="185"/>
      <c r="B12" s="186" t="s">
        <v>6</v>
      </c>
      <c r="C12" s="186" t="s">
        <v>526</v>
      </c>
      <c r="D12" s="186" t="s">
        <v>8</v>
      </c>
      <c r="E12" s="186" t="s">
        <v>9</v>
      </c>
      <c r="F12" s="187" t="s">
        <v>299</v>
      </c>
      <c r="G12" s="187" t="s">
        <v>324</v>
      </c>
      <c r="H12" s="187" t="s">
        <v>582</v>
      </c>
    </row>
    <row r="13" spans="1:8" s="175" customFormat="1" ht="12" x14ac:dyDescent="0.2">
      <c r="A13" s="172">
        <v>1</v>
      </c>
      <c r="B13" s="173">
        <v>2</v>
      </c>
      <c r="C13" s="173">
        <v>3</v>
      </c>
      <c r="D13" s="173">
        <v>4</v>
      </c>
      <c r="E13" s="173">
        <v>5</v>
      </c>
      <c r="F13" s="174">
        <v>6</v>
      </c>
      <c r="G13" s="174">
        <v>7</v>
      </c>
      <c r="H13" s="174">
        <v>8</v>
      </c>
    </row>
    <row r="14" spans="1:8" s="135" customFormat="1" ht="15.75" x14ac:dyDescent="0.25">
      <c r="A14" s="122" t="s">
        <v>57</v>
      </c>
      <c r="B14" s="121" t="s">
        <v>10</v>
      </c>
      <c r="C14" s="121" t="s">
        <v>350</v>
      </c>
      <c r="D14" s="121"/>
      <c r="E14" s="121"/>
      <c r="F14" s="176">
        <f>F15+F18+F28+F47+F54+F57+F44</f>
        <v>141182.91516</v>
      </c>
      <c r="G14" s="176">
        <f>G15+G18+G28+G47+G54+G57+G44</f>
        <v>105518.9</v>
      </c>
      <c r="H14" s="176">
        <f>H15+H18+H28+H47+H54+H57+H44</f>
        <v>103386.7</v>
      </c>
    </row>
    <row r="15" spans="1:8" s="67" customFormat="1" ht="25.5" x14ac:dyDescent="0.2">
      <c r="A15" s="63" t="s">
        <v>11</v>
      </c>
      <c r="B15" s="65" t="s">
        <v>10</v>
      </c>
      <c r="C15" s="65" t="s">
        <v>12</v>
      </c>
      <c r="D15" s="65"/>
      <c r="E15" s="65"/>
      <c r="F15" s="66">
        <f t="shared" ref="F15:H16" si="0">F16</f>
        <v>2391.9</v>
      </c>
      <c r="G15" s="66">
        <f t="shared" si="0"/>
        <v>2191.9</v>
      </c>
      <c r="H15" s="66">
        <f t="shared" si="0"/>
        <v>2191.9</v>
      </c>
    </row>
    <row r="16" spans="1:8" s="72" customFormat="1" ht="25.5" x14ac:dyDescent="0.2">
      <c r="A16" s="68" t="s">
        <v>282</v>
      </c>
      <c r="B16" s="70" t="s">
        <v>10</v>
      </c>
      <c r="C16" s="70" t="s">
        <v>12</v>
      </c>
      <c r="D16" s="70" t="s">
        <v>120</v>
      </c>
      <c r="E16" s="70"/>
      <c r="F16" s="71">
        <f>F17</f>
        <v>2391.9</v>
      </c>
      <c r="G16" s="71">
        <f t="shared" si="0"/>
        <v>2191.9</v>
      </c>
      <c r="H16" s="71">
        <f t="shared" si="0"/>
        <v>2191.9</v>
      </c>
    </row>
    <row r="17" spans="1:8" s="77" customFormat="1" ht="51" x14ac:dyDescent="0.2">
      <c r="A17" s="73" t="s">
        <v>63</v>
      </c>
      <c r="B17" s="75" t="s">
        <v>10</v>
      </c>
      <c r="C17" s="75" t="s">
        <v>12</v>
      </c>
      <c r="D17" s="75" t="s">
        <v>120</v>
      </c>
      <c r="E17" s="76" t="s">
        <v>64</v>
      </c>
      <c r="F17" s="55">
        <f>'изм июнь вед стр-ра'!G18</f>
        <v>2391.9</v>
      </c>
      <c r="G17" s="55">
        <f>'изм июнь вед стр-ра'!H18</f>
        <v>2191.9</v>
      </c>
      <c r="H17" s="55">
        <f>'изм июнь вед стр-ра'!I18</f>
        <v>2191.9</v>
      </c>
    </row>
    <row r="18" spans="1:8" s="26" customFormat="1" ht="38.25" x14ac:dyDescent="0.2">
      <c r="A18" s="11" t="s">
        <v>13</v>
      </c>
      <c r="B18" s="8" t="s">
        <v>10</v>
      </c>
      <c r="C18" s="8" t="s">
        <v>14</v>
      </c>
      <c r="D18" s="8"/>
      <c r="E18" s="8"/>
      <c r="F18" s="4">
        <f>SUM(F19,F23,F26)</f>
        <v>8549.9</v>
      </c>
      <c r="G18" s="4">
        <f t="shared" ref="G18:H18" si="1">SUM(G19,G23,G26)</f>
        <v>8549.9</v>
      </c>
      <c r="H18" s="4">
        <f t="shared" si="1"/>
        <v>8549.9</v>
      </c>
    </row>
    <row r="19" spans="1:8" s="21" customFormat="1" x14ac:dyDescent="0.2">
      <c r="A19" s="18" t="s">
        <v>191</v>
      </c>
      <c r="B19" s="19" t="s">
        <v>10</v>
      </c>
      <c r="C19" s="19" t="s">
        <v>14</v>
      </c>
      <c r="D19" s="19" t="s">
        <v>190</v>
      </c>
      <c r="E19" s="19"/>
      <c r="F19" s="20">
        <f>F20+F21+F22</f>
        <v>3451</v>
      </c>
      <c r="G19" s="20">
        <f>G20+G21+G22</f>
        <v>3538.2</v>
      </c>
      <c r="H19" s="20">
        <f>H20+H21+H22</f>
        <v>3538.2</v>
      </c>
    </row>
    <row r="20" spans="1:8" s="26" customFormat="1" ht="51" x14ac:dyDescent="0.2">
      <c r="A20" s="30" t="s">
        <v>63</v>
      </c>
      <c r="B20" s="24" t="s">
        <v>10</v>
      </c>
      <c r="C20" s="24" t="s">
        <v>14</v>
      </c>
      <c r="D20" s="24" t="s">
        <v>190</v>
      </c>
      <c r="E20" s="27" t="s">
        <v>64</v>
      </c>
      <c r="F20" s="25">
        <f>'изм июнь вед стр-ра'!G232</f>
        <v>3028.5</v>
      </c>
      <c r="G20" s="25">
        <f>'изм июнь вед стр-ра'!H232</f>
        <v>3115.7</v>
      </c>
      <c r="H20" s="25">
        <f>'изм июнь вед стр-ра'!I232</f>
        <v>3115.7</v>
      </c>
    </row>
    <row r="21" spans="1:8" s="9" customFormat="1" ht="25.5" x14ac:dyDescent="0.2">
      <c r="A21" s="28" t="s">
        <v>73</v>
      </c>
      <c r="B21" s="24" t="s">
        <v>10</v>
      </c>
      <c r="C21" s="24" t="s">
        <v>14</v>
      </c>
      <c r="D21" s="24" t="s">
        <v>190</v>
      </c>
      <c r="E21" s="27" t="s">
        <v>65</v>
      </c>
      <c r="F21" s="25">
        <f>'изм июнь вед стр-ра'!G233</f>
        <v>420.4</v>
      </c>
      <c r="G21" s="25">
        <f>'изм июнь вед стр-ра'!H233</f>
        <v>420.4</v>
      </c>
      <c r="H21" s="25">
        <f>'изм июнь вед стр-ра'!I233</f>
        <v>420.4</v>
      </c>
    </row>
    <row r="22" spans="1:8" s="21" customFormat="1" x14ac:dyDescent="0.2">
      <c r="A22" s="28" t="s">
        <v>69</v>
      </c>
      <c r="B22" s="24" t="s">
        <v>10</v>
      </c>
      <c r="C22" s="24" t="s">
        <v>14</v>
      </c>
      <c r="D22" s="24" t="s">
        <v>190</v>
      </c>
      <c r="E22" s="24" t="s">
        <v>70</v>
      </c>
      <c r="F22" s="25">
        <f>'изм июнь вед стр-ра'!G234</f>
        <v>2.1</v>
      </c>
      <c r="G22" s="25">
        <f>'изм июнь вед стр-ра'!H234</f>
        <v>2.1</v>
      </c>
      <c r="H22" s="25">
        <f>'изм июнь вед стр-ра'!I234</f>
        <v>2.1</v>
      </c>
    </row>
    <row r="23" spans="1:8" s="26" customFormat="1" ht="25.5" x14ac:dyDescent="0.2">
      <c r="A23" s="18" t="s">
        <v>194</v>
      </c>
      <c r="B23" s="19" t="s">
        <v>10</v>
      </c>
      <c r="C23" s="19" t="s">
        <v>14</v>
      </c>
      <c r="D23" s="19" t="s">
        <v>196</v>
      </c>
      <c r="E23" s="19"/>
      <c r="F23" s="20">
        <f>F24+F25</f>
        <v>1905</v>
      </c>
      <c r="G23" s="20">
        <f t="shared" ref="G23:H23" si="2">G24+G25</f>
        <v>1895</v>
      </c>
      <c r="H23" s="20">
        <f t="shared" si="2"/>
        <v>1895</v>
      </c>
    </row>
    <row r="24" spans="1:8" s="12" customFormat="1" ht="51" x14ac:dyDescent="0.2">
      <c r="A24" s="30" t="s">
        <v>63</v>
      </c>
      <c r="B24" s="24" t="s">
        <v>10</v>
      </c>
      <c r="C24" s="24" t="s">
        <v>14</v>
      </c>
      <c r="D24" s="24" t="s">
        <v>196</v>
      </c>
      <c r="E24" s="27" t="s">
        <v>64</v>
      </c>
      <c r="F24" s="25">
        <f>'изм июнь вед стр-ра'!G236</f>
        <v>1890</v>
      </c>
      <c r="G24" s="25">
        <f>'изм июнь вед стр-ра'!H236</f>
        <v>1880</v>
      </c>
      <c r="H24" s="25">
        <f>'изм июнь вед стр-ра'!I236</f>
        <v>1880</v>
      </c>
    </row>
    <row r="25" spans="1:8" s="12" customFormat="1" ht="25.5" x14ac:dyDescent="0.2">
      <c r="A25" s="28" t="s">
        <v>73</v>
      </c>
      <c r="B25" s="24" t="s">
        <v>10</v>
      </c>
      <c r="C25" s="24" t="s">
        <v>14</v>
      </c>
      <c r="D25" s="24" t="s">
        <v>196</v>
      </c>
      <c r="E25" s="27" t="s">
        <v>65</v>
      </c>
      <c r="F25" s="25">
        <f>'изм июнь вед стр-ра'!G237</f>
        <v>15</v>
      </c>
      <c r="G25" s="25">
        <f>'изм июнь вед стр-ра'!H237</f>
        <v>15</v>
      </c>
      <c r="H25" s="25">
        <f>'изм июнь вед стр-ра'!I237</f>
        <v>15</v>
      </c>
    </row>
    <row r="26" spans="1:8" s="111" customFormat="1" x14ac:dyDescent="0.2">
      <c r="A26" s="18" t="s">
        <v>195</v>
      </c>
      <c r="B26" s="19" t="s">
        <v>10</v>
      </c>
      <c r="C26" s="19" t="s">
        <v>14</v>
      </c>
      <c r="D26" s="19" t="s">
        <v>197</v>
      </c>
      <c r="E26" s="19"/>
      <c r="F26" s="20">
        <f>F27</f>
        <v>3193.8999999999996</v>
      </c>
      <c r="G26" s="20">
        <f>G27</f>
        <v>3116.7</v>
      </c>
      <c r="H26" s="20">
        <f>H27</f>
        <v>3116.7</v>
      </c>
    </row>
    <row r="27" spans="1:8" s="21" customFormat="1" ht="51" x14ac:dyDescent="0.2">
      <c r="A27" s="30" t="s">
        <v>63</v>
      </c>
      <c r="B27" s="24" t="s">
        <v>10</v>
      </c>
      <c r="C27" s="24" t="s">
        <v>14</v>
      </c>
      <c r="D27" s="24" t="s">
        <v>197</v>
      </c>
      <c r="E27" s="27" t="s">
        <v>64</v>
      </c>
      <c r="F27" s="25">
        <f>'изм июнь вед стр-ра'!G239</f>
        <v>3193.8999999999996</v>
      </c>
      <c r="G27" s="25">
        <f>'изм июнь вед стр-ра'!H239</f>
        <v>3116.7</v>
      </c>
      <c r="H27" s="25">
        <f>'изм июнь вед стр-ра'!I239</f>
        <v>3116.7</v>
      </c>
    </row>
    <row r="28" spans="1:8" s="212" customFormat="1" ht="38.25" x14ac:dyDescent="0.2">
      <c r="A28" s="63" t="s">
        <v>15</v>
      </c>
      <c r="B28" s="65" t="s">
        <v>10</v>
      </c>
      <c r="C28" s="65" t="s">
        <v>16</v>
      </c>
      <c r="D28" s="65"/>
      <c r="E28" s="65"/>
      <c r="F28" s="218">
        <f>SUM(F29,F32,F35,F41)+F39</f>
        <v>60873.8</v>
      </c>
      <c r="G28" s="218">
        <f>SUM(G29,G32,G35,G41)+G39</f>
        <v>43167.5</v>
      </c>
      <c r="H28" s="218">
        <f>SUM(H29,H32,H35,H41)+H39</f>
        <v>41924.1</v>
      </c>
    </row>
    <row r="29" spans="1:8" s="21" customFormat="1" ht="25.5" x14ac:dyDescent="0.2">
      <c r="A29" s="18" t="s">
        <v>121</v>
      </c>
      <c r="B29" s="19" t="s">
        <v>10</v>
      </c>
      <c r="C29" s="19" t="s">
        <v>16</v>
      </c>
      <c r="D29" s="19" t="s">
        <v>84</v>
      </c>
      <c r="E29" s="19"/>
      <c r="F29" s="20">
        <f>F30+F31</f>
        <v>486.20000000000005</v>
      </c>
      <c r="G29" s="20">
        <f>G30+G31</f>
        <v>486.20000000000005</v>
      </c>
      <c r="H29" s="20">
        <f>H30+H31</f>
        <v>486.20000000000005</v>
      </c>
    </row>
    <row r="30" spans="1:8" s="26" customFormat="1" ht="51" x14ac:dyDescent="0.2">
      <c r="A30" s="30" t="s">
        <v>63</v>
      </c>
      <c r="B30" s="24" t="s">
        <v>10</v>
      </c>
      <c r="C30" s="24" t="s">
        <v>16</v>
      </c>
      <c r="D30" s="24" t="s">
        <v>84</v>
      </c>
      <c r="E30" s="27" t="s">
        <v>64</v>
      </c>
      <c r="F30" s="25">
        <f>'изм июнь вед стр-ра'!G21</f>
        <v>457.1</v>
      </c>
      <c r="G30" s="25">
        <f>'изм июнь вед стр-ра'!H21</f>
        <v>457.1</v>
      </c>
      <c r="H30" s="25">
        <f>'изм июнь вед стр-ра'!I21</f>
        <v>457.1</v>
      </c>
    </row>
    <row r="31" spans="1:8" s="21" customFormat="1" ht="25.5" x14ac:dyDescent="0.2">
      <c r="A31" s="28" t="s">
        <v>73</v>
      </c>
      <c r="B31" s="24" t="s">
        <v>10</v>
      </c>
      <c r="C31" s="24" t="s">
        <v>16</v>
      </c>
      <c r="D31" s="24" t="s">
        <v>84</v>
      </c>
      <c r="E31" s="27" t="s">
        <v>65</v>
      </c>
      <c r="F31" s="25">
        <f>'изм июнь вед стр-ра'!G22</f>
        <v>29.1</v>
      </c>
      <c r="G31" s="25">
        <f>'изм июнь вед стр-ра'!H22</f>
        <v>29.1</v>
      </c>
      <c r="H31" s="25">
        <f>'изм июнь вед стр-ра'!I22</f>
        <v>29.1</v>
      </c>
    </row>
    <row r="32" spans="1:8" s="77" customFormat="1" x14ac:dyDescent="0.2">
      <c r="A32" s="68" t="s">
        <v>122</v>
      </c>
      <c r="B32" s="70" t="s">
        <v>10</v>
      </c>
      <c r="C32" s="70" t="s">
        <v>16</v>
      </c>
      <c r="D32" s="70" t="s">
        <v>83</v>
      </c>
      <c r="E32" s="70"/>
      <c r="F32" s="71">
        <f>F33+F34</f>
        <v>115.00000000000001</v>
      </c>
      <c r="G32" s="71">
        <f>G33+G34</f>
        <v>115.00000000000001</v>
      </c>
      <c r="H32" s="71">
        <f>H33+H34</f>
        <v>115.00000000000001</v>
      </c>
    </row>
    <row r="33" spans="1:8" s="77" customFormat="1" ht="51" x14ac:dyDescent="0.2">
      <c r="A33" s="73" t="s">
        <v>63</v>
      </c>
      <c r="B33" s="75" t="s">
        <v>10</v>
      </c>
      <c r="C33" s="75" t="s">
        <v>16</v>
      </c>
      <c r="D33" s="75" t="s">
        <v>83</v>
      </c>
      <c r="E33" s="76" t="s">
        <v>64</v>
      </c>
      <c r="F33" s="55">
        <f>'изм июнь вед стр-ра'!G24</f>
        <v>113.10000000000001</v>
      </c>
      <c r="G33" s="55">
        <f>'изм июнь вед стр-ра'!H24</f>
        <v>113.10000000000001</v>
      </c>
      <c r="H33" s="55">
        <f>'изм июнь вед стр-ра'!I24</f>
        <v>113.10000000000001</v>
      </c>
    </row>
    <row r="34" spans="1:8" s="77" customFormat="1" ht="25.5" x14ac:dyDescent="0.2">
      <c r="A34" s="78" t="s">
        <v>114</v>
      </c>
      <c r="B34" s="75" t="s">
        <v>10</v>
      </c>
      <c r="C34" s="75" t="s">
        <v>16</v>
      </c>
      <c r="D34" s="75" t="s">
        <v>83</v>
      </c>
      <c r="E34" s="76" t="s">
        <v>65</v>
      </c>
      <c r="F34" s="55">
        <f>'изм июнь вед стр-ра'!G25</f>
        <v>1.9</v>
      </c>
      <c r="G34" s="55">
        <f>'изм июнь вед стр-ра'!H25</f>
        <v>1.9</v>
      </c>
      <c r="H34" s="55">
        <f>'изм июнь вед стр-ра'!I25</f>
        <v>1.9</v>
      </c>
    </row>
    <row r="35" spans="1:8" s="135" customFormat="1" ht="26.25" x14ac:dyDescent="0.25">
      <c r="A35" s="18" t="s">
        <v>282</v>
      </c>
      <c r="B35" s="19" t="s">
        <v>10</v>
      </c>
      <c r="C35" s="19" t="s">
        <v>16</v>
      </c>
      <c r="D35" s="19" t="s">
        <v>123</v>
      </c>
      <c r="E35" s="19"/>
      <c r="F35" s="20">
        <f>SUM(F36:F38)</f>
        <v>57575.8</v>
      </c>
      <c r="G35" s="20">
        <f>SUM(G36:G38)</f>
        <v>41484.300000000003</v>
      </c>
      <c r="H35" s="20">
        <f>SUM(H36:H38)</f>
        <v>40240.9</v>
      </c>
    </row>
    <row r="36" spans="1:8" s="67" customFormat="1" ht="51" x14ac:dyDescent="0.2">
      <c r="A36" s="73" t="s">
        <v>63</v>
      </c>
      <c r="B36" s="75" t="s">
        <v>10</v>
      </c>
      <c r="C36" s="75" t="s">
        <v>16</v>
      </c>
      <c r="D36" s="75" t="s">
        <v>123</v>
      </c>
      <c r="E36" s="76" t="s">
        <v>64</v>
      </c>
      <c r="F36" s="55">
        <f>'изм июнь вед стр-ра'!G27</f>
        <v>39512.400000000001</v>
      </c>
      <c r="G36" s="55">
        <f>'изм июнь вед стр-ра'!H27</f>
        <v>38152.400000000001</v>
      </c>
      <c r="H36" s="55">
        <f>'изм июнь вед стр-ра'!I27</f>
        <v>38152.400000000001</v>
      </c>
    </row>
    <row r="37" spans="1:8" s="21" customFormat="1" ht="25.5" x14ac:dyDescent="0.2">
      <c r="A37" s="28" t="s">
        <v>73</v>
      </c>
      <c r="B37" s="24" t="s">
        <v>10</v>
      </c>
      <c r="C37" s="24" t="s">
        <v>16</v>
      </c>
      <c r="D37" s="24" t="s">
        <v>123</v>
      </c>
      <c r="E37" s="27" t="s">
        <v>65</v>
      </c>
      <c r="F37" s="55">
        <f>'изм июнь вед стр-ра'!G28</f>
        <v>17788.400000000001</v>
      </c>
      <c r="G37" s="55">
        <f>'изм июнь вед стр-ра'!H28</f>
        <v>3289.9000000000005</v>
      </c>
      <c r="H37" s="55">
        <f>'изм июнь вед стр-ра'!I28</f>
        <v>2046.4999999999998</v>
      </c>
    </row>
    <row r="38" spans="1:8" s="26" customFormat="1" x14ac:dyDescent="0.2">
      <c r="A38" s="28" t="s">
        <v>69</v>
      </c>
      <c r="B38" s="24" t="s">
        <v>10</v>
      </c>
      <c r="C38" s="24" t="s">
        <v>16</v>
      </c>
      <c r="D38" s="24" t="s">
        <v>123</v>
      </c>
      <c r="E38" s="24" t="s">
        <v>70</v>
      </c>
      <c r="F38" s="55">
        <f>'изм июнь вед стр-ра'!G29</f>
        <v>275</v>
      </c>
      <c r="G38" s="55">
        <f>'изм июнь вед стр-ра'!H29</f>
        <v>42</v>
      </c>
      <c r="H38" s="55">
        <f>'изм июнь вед стр-ра'!I29</f>
        <v>42</v>
      </c>
    </row>
    <row r="39" spans="1:8" s="72" customFormat="1" ht="25.5" x14ac:dyDescent="0.2">
      <c r="A39" s="82" t="s">
        <v>137</v>
      </c>
      <c r="B39" s="70" t="s">
        <v>10</v>
      </c>
      <c r="C39" s="70" t="s">
        <v>16</v>
      </c>
      <c r="D39" s="70" t="s">
        <v>136</v>
      </c>
      <c r="E39" s="83"/>
      <c r="F39" s="84">
        <f>F40</f>
        <v>300</v>
      </c>
      <c r="G39" s="84">
        <f>G40</f>
        <v>0</v>
      </c>
      <c r="H39" s="84">
        <f>H40</f>
        <v>0</v>
      </c>
    </row>
    <row r="40" spans="1:8" s="72" customFormat="1" ht="25.5" x14ac:dyDescent="0.2">
      <c r="A40" s="28" t="s">
        <v>73</v>
      </c>
      <c r="B40" s="75" t="s">
        <v>10</v>
      </c>
      <c r="C40" s="75" t="s">
        <v>16</v>
      </c>
      <c r="D40" s="75" t="s">
        <v>136</v>
      </c>
      <c r="E40" s="75" t="s">
        <v>65</v>
      </c>
      <c r="F40" s="55">
        <f>'изм июнь вед стр-ра'!G31</f>
        <v>300</v>
      </c>
      <c r="G40" s="55">
        <f>'изм июнь вед стр-ра'!H31</f>
        <v>0</v>
      </c>
      <c r="H40" s="55">
        <f>'изм июнь вед стр-ра'!I31</f>
        <v>0</v>
      </c>
    </row>
    <row r="41" spans="1:8" s="145" customFormat="1" ht="25.5" x14ac:dyDescent="0.2">
      <c r="A41" s="18" t="s">
        <v>282</v>
      </c>
      <c r="B41" s="19" t="s">
        <v>10</v>
      </c>
      <c r="C41" s="19" t="s">
        <v>16</v>
      </c>
      <c r="D41" s="19" t="s">
        <v>124</v>
      </c>
      <c r="E41" s="19"/>
      <c r="F41" s="20">
        <f>F42+F43</f>
        <v>2396.8000000000006</v>
      </c>
      <c r="G41" s="20">
        <f>G42+G43</f>
        <v>1082.0000000000002</v>
      </c>
      <c r="H41" s="20">
        <f>H42+H43</f>
        <v>1082.0000000000002</v>
      </c>
    </row>
    <row r="42" spans="1:8" s="9" customFormat="1" ht="51" x14ac:dyDescent="0.2">
      <c r="A42" s="30" t="s">
        <v>63</v>
      </c>
      <c r="B42" s="24" t="s">
        <v>10</v>
      </c>
      <c r="C42" s="24" t="s">
        <v>16</v>
      </c>
      <c r="D42" s="19" t="s">
        <v>124</v>
      </c>
      <c r="E42" s="27" t="s">
        <v>64</v>
      </c>
      <c r="F42" s="25">
        <f>'изм июнь вед стр-ра'!G33</f>
        <v>2277.4000000000005</v>
      </c>
      <c r="G42" s="25">
        <f>'изм июнь вед стр-ра'!H33</f>
        <v>1082.0000000000002</v>
      </c>
      <c r="H42" s="25">
        <f>'изм июнь вед стр-ра'!I33</f>
        <v>1082.0000000000002</v>
      </c>
    </row>
    <row r="43" spans="1:8" s="72" customFormat="1" ht="25.5" x14ac:dyDescent="0.2">
      <c r="A43" s="80" t="s">
        <v>73</v>
      </c>
      <c r="B43" s="75" t="s">
        <v>10</v>
      </c>
      <c r="C43" s="75" t="s">
        <v>16</v>
      </c>
      <c r="D43" s="70" t="s">
        <v>124</v>
      </c>
      <c r="E43" s="76" t="s">
        <v>65</v>
      </c>
      <c r="F43" s="25">
        <f>'изм июнь вед стр-ра'!G34</f>
        <v>119.40000000000005</v>
      </c>
      <c r="G43" s="25">
        <f>'изм июнь вед стр-ра'!H34</f>
        <v>0</v>
      </c>
      <c r="H43" s="25">
        <f>'изм июнь вед стр-ра'!I34</f>
        <v>0</v>
      </c>
    </row>
    <row r="44" spans="1:8" s="9" customFormat="1" x14ac:dyDescent="0.2">
      <c r="A44" s="11" t="s">
        <v>303</v>
      </c>
      <c r="B44" s="8" t="s">
        <v>10</v>
      </c>
      <c r="C44" s="8" t="s">
        <v>28</v>
      </c>
      <c r="D44" s="8"/>
      <c r="E44" s="8"/>
      <c r="F44" s="4">
        <f>F45</f>
        <v>16.8</v>
      </c>
      <c r="G44" s="4">
        <f t="shared" ref="G44:H45" si="3">G45</f>
        <v>18</v>
      </c>
      <c r="H44" s="4">
        <f t="shared" si="3"/>
        <v>144.6</v>
      </c>
    </row>
    <row r="45" spans="1:8" s="21" customFormat="1" ht="45.75" customHeight="1" x14ac:dyDescent="0.2">
      <c r="A45" s="18" t="s">
        <v>304</v>
      </c>
      <c r="B45" s="19" t="s">
        <v>10</v>
      </c>
      <c r="C45" s="19" t="s">
        <v>28</v>
      </c>
      <c r="D45" s="19" t="s">
        <v>318</v>
      </c>
      <c r="E45" s="19"/>
      <c r="F45" s="20">
        <f>F46</f>
        <v>16.8</v>
      </c>
      <c r="G45" s="20">
        <f t="shared" si="3"/>
        <v>18</v>
      </c>
      <c r="H45" s="20">
        <f t="shared" si="3"/>
        <v>144.6</v>
      </c>
    </row>
    <row r="46" spans="1:8" s="26" customFormat="1" ht="25.5" x14ac:dyDescent="0.2">
      <c r="A46" s="23" t="s">
        <v>114</v>
      </c>
      <c r="B46" s="24" t="s">
        <v>10</v>
      </c>
      <c r="C46" s="24" t="s">
        <v>28</v>
      </c>
      <c r="D46" s="24" t="s">
        <v>318</v>
      </c>
      <c r="E46" s="27" t="s">
        <v>65</v>
      </c>
      <c r="F46" s="25">
        <f>'изм июнь вед стр-ра'!G37</f>
        <v>16.8</v>
      </c>
      <c r="G46" s="25">
        <f>'изм июнь вед стр-ра'!H37</f>
        <v>18</v>
      </c>
      <c r="H46" s="25">
        <f>'изм июнь вед стр-ра'!I37</f>
        <v>144.6</v>
      </c>
    </row>
    <row r="47" spans="1:8" s="145" customFormat="1" ht="38.25" x14ac:dyDescent="0.2">
      <c r="A47" s="11" t="s">
        <v>78</v>
      </c>
      <c r="B47" s="8" t="s">
        <v>10</v>
      </c>
      <c r="C47" s="8" t="s">
        <v>47</v>
      </c>
      <c r="D47" s="8"/>
      <c r="E47" s="8"/>
      <c r="F47" s="4">
        <f>F48+F52</f>
        <v>3046.0000000000005</v>
      </c>
      <c r="G47" s="4">
        <f>G48+G52</f>
        <v>3046.0000000000005</v>
      </c>
      <c r="H47" s="4">
        <f>H48+H52</f>
        <v>3046.0000000000005</v>
      </c>
    </row>
    <row r="48" spans="1:8" s="9" customFormat="1" x14ac:dyDescent="0.2">
      <c r="A48" s="18" t="s">
        <v>191</v>
      </c>
      <c r="B48" s="19" t="s">
        <v>10</v>
      </c>
      <c r="C48" s="19" t="s">
        <v>47</v>
      </c>
      <c r="D48" s="19" t="s">
        <v>190</v>
      </c>
      <c r="E48" s="19"/>
      <c r="F48" s="20">
        <f>+F49+F50+F51</f>
        <v>2250.6000000000004</v>
      </c>
      <c r="G48" s="20">
        <f>+G49+G50+G51</f>
        <v>2250.6000000000004</v>
      </c>
      <c r="H48" s="20">
        <f>+H49+H50+H51</f>
        <v>2250.6000000000004</v>
      </c>
    </row>
    <row r="49" spans="1:8" s="21" customFormat="1" ht="51" x14ac:dyDescent="0.2">
      <c r="A49" s="30" t="s">
        <v>63</v>
      </c>
      <c r="B49" s="24" t="s">
        <v>10</v>
      </c>
      <c r="C49" s="24" t="s">
        <v>47</v>
      </c>
      <c r="D49" s="24" t="s">
        <v>190</v>
      </c>
      <c r="E49" s="27" t="s">
        <v>64</v>
      </c>
      <c r="F49" s="25">
        <f>'изм июнь вед стр-ра'!G223</f>
        <v>1790.3000000000002</v>
      </c>
      <c r="G49" s="25">
        <f>'изм июнь вед стр-ра'!H223</f>
        <v>1790.3000000000002</v>
      </c>
      <c r="H49" s="25">
        <f>'изм июнь вед стр-ра'!I223</f>
        <v>1790.3000000000002</v>
      </c>
    </row>
    <row r="50" spans="1:8" s="21" customFormat="1" ht="25.5" x14ac:dyDescent="0.2">
      <c r="A50" s="28" t="s">
        <v>73</v>
      </c>
      <c r="B50" s="24" t="s">
        <v>10</v>
      </c>
      <c r="C50" s="24" t="s">
        <v>47</v>
      </c>
      <c r="D50" s="24" t="s">
        <v>190</v>
      </c>
      <c r="E50" s="27" t="s">
        <v>65</v>
      </c>
      <c r="F50" s="25">
        <f>'изм июнь вед стр-ра'!G224</f>
        <v>459.5</v>
      </c>
      <c r="G50" s="25">
        <f>'изм июнь вед стр-ра'!H224</f>
        <v>459.5</v>
      </c>
      <c r="H50" s="25">
        <f>'изм июнь вед стр-ра'!I224</f>
        <v>459.5</v>
      </c>
    </row>
    <row r="51" spans="1:8" s="26" customFormat="1" x14ac:dyDescent="0.2">
      <c r="A51" s="28" t="s">
        <v>69</v>
      </c>
      <c r="B51" s="24" t="s">
        <v>10</v>
      </c>
      <c r="C51" s="24" t="s">
        <v>47</v>
      </c>
      <c r="D51" s="24" t="s">
        <v>190</v>
      </c>
      <c r="E51" s="24" t="s">
        <v>70</v>
      </c>
      <c r="F51" s="25">
        <f>'изм июнь вед стр-ра'!G225</f>
        <v>0.8</v>
      </c>
      <c r="G51" s="25">
        <f>'изм июнь вед стр-ра'!H225</f>
        <v>0.8</v>
      </c>
      <c r="H51" s="25">
        <f>'изм июнь вед стр-ра'!I225</f>
        <v>0.8</v>
      </c>
    </row>
    <row r="52" spans="1:8" s="21" customFormat="1" x14ac:dyDescent="0.2">
      <c r="A52" s="18" t="s">
        <v>192</v>
      </c>
      <c r="B52" s="19" t="s">
        <v>10</v>
      </c>
      <c r="C52" s="19" t="s">
        <v>47</v>
      </c>
      <c r="D52" s="19" t="s">
        <v>193</v>
      </c>
      <c r="E52" s="19"/>
      <c r="F52" s="20">
        <f>F53</f>
        <v>795.4</v>
      </c>
      <c r="G52" s="20">
        <f>G53</f>
        <v>795.4</v>
      </c>
      <c r="H52" s="20">
        <f>H53</f>
        <v>795.4</v>
      </c>
    </row>
    <row r="53" spans="1:8" s="26" customFormat="1" ht="51" x14ac:dyDescent="0.2">
      <c r="A53" s="30" t="s">
        <v>63</v>
      </c>
      <c r="B53" s="24" t="s">
        <v>10</v>
      </c>
      <c r="C53" s="24" t="s">
        <v>47</v>
      </c>
      <c r="D53" s="24" t="s">
        <v>193</v>
      </c>
      <c r="E53" s="27" t="s">
        <v>64</v>
      </c>
      <c r="F53" s="25">
        <f>'изм июнь вед стр-ра'!G227</f>
        <v>795.4</v>
      </c>
      <c r="G53" s="25">
        <f>'изм июнь вед стр-ра'!H227</f>
        <v>795.4</v>
      </c>
      <c r="H53" s="25">
        <f>'изм июнь вед стр-ра'!I227</f>
        <v>795.4</v>
      </c>
    </row>
    <row r="54" spans="1:8" s="72" customFormat="1" x14ac:dyDescent="0.2">
      <c r="A54" s="63" t="s">
        <v>20</v>
      </c>
      <c r="B54" s="65" t="s">
        <v>10</v>
      </c>
      <c r="C54" s="65" t="s">
        <v>19</v>
      </c>
      <c r="D54" s="65"/>
      <c r="E54" s="65"/>
      <c r="F54" s="66">
        <f t="shared" ref="F54:H55" si="4">F55</f>
        <v>1659</v>
      </c>
      <c r="G54" s="66">
        <f t="shared" si="4"/>
        <v>2000</v>
      </c>
      <c r="H54" s="66">
        <f t="shared" si="4"/>
        <v>2000</v>
      </c>
    </row>
    <row r="55" spans="1:8" s="26" customFormat="1" x14ac:dyDescent="0.2">
      <c r="A55" s="18" t="s">
        <v>244</v>
      </c>
      <c r="B55" s="19" t="s">
        <v>10</v>
      </c>
      <c r="C55" s="19" t="s">
        <v>19</v>
      </c>
      <c r="D55" s="19" t="s">
        <v>246</v>
      </c>
      <c r="E55" s="19"/>
      <c r="F55" s="20">
        <f t="shared" si="4"/>
        <v>1659</v>
      </c>
      <c r="G55" s="20">
        <f t="shared" si="4"/>
        <v>2000</v>
      </c>
      <c r="H55" s="20">
        <f t="shared" si="4"/>
        <v>2000</v>
      </c>
    </row>
    <row r="56" spans="1:8" s="72" customFormat="1" x14ac:dyDescent="0.2">
      <c r="A56" s="80" t="s">
        <v>69</v>
      </c>
      <c r="B56" s="75" t="s">
        <v>10</v>
      </c>
      <c r="C56" s="75" t="s">
        <v>19</v>
      </c>
      <c r="D56" s="75" t="s">
        <v>246</v>
      </c>
      <c r="E56" s="75" t="s">
        <v>70</v>
      </c>
      <c r="F56" s="55">
        <f>'изм июнь вед стр-ра'!G40</f>
        <v>1659</v>
      </c>
      <c r="G56" s="55">
        <f>'изм июнь вед стр-ра'!H40</f>
        <v>2000</v>
      </c>
      <c r="H56" s="55">
        <f>'изм июнь вед стр-ра'!I40</f>
        <v>2000</v>
      </c>
    </row>
    <row r="57" spans="1:8" s="77" customFormat="1" x14ac:dyDescent="0.2">
      <c r="A57" s="63" t="s">
        <v>22</v>
      </c>
      <c r="B57" s="65" t="s">
        <v>10</v>
      </c>
      <c r="C57" s="65" t="s">
        <v>58</v>
      </c>
      <c r="D57" s="65"/>
      <c r="E57" s="65"/>
      <c r="F57" s="66">
        <f>F60+F68+F70+F72+F74+F76+F82+F84+F88+F92+F94+F97+F100+F86+F103+F62+F66+F105+F64+F78+F58+F107</f>
        <v>64645.515160000003</v>
      </c>
      <c r="G57" s="66">
        <f t="shared" ref="G57:H57" si="5">G60+G68+G70+G72+G74+G76+G82+G84+G88+G92+G94+G97+G100+G86+G103+G62+G66+G105+G64+G78+G58+G107</f>
        <v>46545.599999999999</v>
      </c>
      <c r="H57" s="66">
        <f t="shared" si="5"/>
        <v>45530.2</v>
      </c>
    </row>
    <row r="58" spans="1:8" x14ac:dyDescent="0.2">
      <c r="A58" s="18" t="s">
        <v>683</v>
      </c>
      <c r="B58" s="19" t="s">
        <v>10</v>
      </c>
      <c r="C58" s="19" t="s">
        <v>58</v>
      </c>
      <c r="D58" s="19" t="s">
        <v>682</v>
      </c>
      <c r="E58" s="19"/>
      <c r="F58" s="20">
        <f>F59</f>
        <v>1218.9000000000001</v>
      </c>
      <c r="G58" s="20">
        <f>G59</f>
        <v>0</v>
      </c>
      <c r="H58" s="20">
        <f>H59</f>
        <v>0</v>
      </c>
    </row>
    <row r="59" spans="1:8" s="26" customFormat="1" ht="25.5" x14ac:dyDescent="0.2">
      <c r="A59" s="23" t="s">
        <v>114</v>
      </c>
      <c r="B59" s="24" t="s">
        <v>10</v>
      </c>
      <c r="C59" s="24" t="s">
        <v>58</v>
      </c>
      <c r="D59" s="24" t="s">
        <v>682</v>
      </c>
      <c r="E59" s="24" t="s">
        <v>65</v>
      </c>
      <c r="F59" s="25">
        <f>'изм июнь вед стр-ра'!G43</f>
        <v>1218.9000000000001</v>
      </c>
      <c r="G59" s="25">
        <f>'изм июнь вед стр-ра'!H43</f>
        <v>0</v>
      </c>
      <c r="H59" s="25">
        <f>'изм июнь вед стр-ра'!I43</f>
        <v>0</v>
      </c>
    </row>
    <row r="60" spans="1:8" s="77" customFormat="1" x14ac:dyDescent="0.2">
      <c r="A60" s="68" t="s">
        <v>125</v>
      </c>
      <c r="B60" s="70" t="s">
        <v>10</v>
      </c>
      <c r="C60" s="70" t="s">
        <v>58</v>
      </c>
      <c r="D60" s="70" t="s">
        <v>126</v>
      </c>
      <c r="E60" s="70"/>
      <c r="F60" s="71">
        <f>F61</f>
        <v>1556.5151600000002</v>
      </c>
      <c r="G60" s="71">
        <f>G61</f>
        <v>0</v>
      </c>
      <c r="H60" s="71">
        <f>H61</f>
        <v>0</v>
      </c>
    </row>
    <row r="61" spans="1:8" s="77" customFormat="1" ht="25.5" x14ac:dyDescent="0.2">
      <c r="A61" s="80" t="s">
        <v>119</v>
      </c>
      <c r="B61" s="75" t="s">
        <v>10</v>
      </c>
      <c r="C61" s="75" t="s">
        <v>58</v>
      </c>
      <c r="D61" s="75" t="s">
        <v>126</v>
      </c>
      <c r="E61" s="75" t="s">
        <v>62</v>
      </c>
      <c r="F61" s="55">
        <f>'изм июнь вед стр-ра'!G49</f>
        <v>1556.5151600000002</v>
      </c>
      <c r="G61" s="55">
        <f>'изм июнь вед стр-ра'!H49</f>
        <v>0</v>
      </c>
      <c r="H61" s="55">
        <f>'изм июнь вед стр-ра'!I49</f>
        <v>0</v>
      </c>
    </row>
    <row r="62" spans="1:8" s="72" customFormat="1" ht="25.5" x14ac:dyDescent="0.2">
      <c r="A62" s="82" t="s">
        <v>137</v>
      </c>
      <c r="B62" s="70" t="s">
        <v>10</v>
      </c>
      <c r="C62" s="70" t="s">
        <v>58</v>
      </c>
      <c r="D62" s="70" t="s">
        <v>136</v>
      </c>
      <c r="E62" s="83"/>
      <c r="F62" s="84">
        <f>F63</f>
        <v>1689</v>
      </c>
      <c r="G62" s="84">
        <f>G63</f>
        <v>0</v>
      </c>
      <c r="H62" s="84">
        <f>H63</f>
        <v>0</v>
      </c>
    </row>
    <row r="63" spans="1:8" s="72" customFormat="1" ht="25.5" x14ac:dyDescent="0.2">
      <c r="A63" s="80" t="s">
        <v>119</v>
      </c>
      <c r="B63" s="75" t="s">
        <v>10</v>
      </c>
      <c r="C63" s="75" t="s">
        <v>58</v>
      </c>
      <c r="D63" s="70" t="s">
        <v>136</v>
      </c>
      <c r="E63" s="75" t="s">
        <v>62</v>
      </c>
      <c r="F63" s="55">
        <f>'изм июнь вед стр-ра'!G51</f>
        <v>1689</v>
      </c>
      <c r="G63" s="55">
        <f>'изм июнь вед стр-ра'!H51</f>
        <v>0</v>
      </c>
      <c r="H63" s="55">
        <f>'изм июнь вед стр-ра'!I51</f>
        <v>0</v>
      </c>
    </row>
    <row r="64" spans="1:8" x14ac:dyDescent="0.2">
      <c r="A64" s="18" t="s">
        <v>147</v>
      </c>
      <c r="B64" s="19" t="s">
        <v>10</v>
      </c>
      <c r="C64" s="19" t="s">
        <v>58</v>
      </c>
      <c r="D64" s="19" t="s">
        <v>146</v>
      </c>
      <c r="E64" s="19"/>
      <c r="F64" s="20">
        <f>F65</f>
        <v>988.7</v>
      </c>
      <c r="G64" s="20">
        <f>G65</f>
        <v>0</v>
      </c>
      <c r="H64" s="20">
        <f>H65</f>
        <v>0</v>
      </c>
    </row>
    <row r="65" spans="1:8" s="26" customFormat="1" ht="25.5" x14ac:dyDescent="0.2">
      <c r="A65" s="28" t="s">
        <v>79</v>
      </c>
      <c r="B65" s="24" t="s">
        <v>10</v>
      </c>
      <c r="C65" s="24" t="s">
        <v>58</v>
      </c>
      <c r="D65" s="24" t="s">
        <v>146</v>
      </c>
      <c r="E65" s="24" t="s">
        <v>62</v>
      </c>
      <c r="F65" s="25">
        <f>'изм июнь вед стр-ра'!G53</f>
        <v>988.7</v>
      </c>
      <c r="G65" s="25"/>
      <c r="H65" s="25"/>
    </row>
    <row r="66" spans="1:8" ht="38.25" x14ac:dyDescent="0.2">
      <c r="A66" s="18" t="s">
        <v>319</v>
      </c>
      <c r="B66" s="24" t="s">
        <v>10</v>
      </c>
      <c r="C66" s="24" t="s">
        <v>58</v>
      </c>
      <c r="D66" s="19" t="s">
        <v>320</v>
      </c>
      <c r="E66" s="24"/>
      <c r="F66" s="25">
        <f>F67</f>
        <v>3052.2</v>
      </c>
      <c r="G66" s="25">
        <f t="shared" ref="G66:H66" si="6">G67</f>
        <v>2834.3</v>
      </c>
      <c r="H66" s="25">
        <f t="shared" si="6"/>
        <v>2834.3</v>
      </c>
    </row>
    <row r="67" spans="1:8" s="21" customFormat="1" ht="25.5" x14ac:dyDescent="0.2">
      <c r="A67" s="28" t="s">
        <v>119</v>
      </c>
      <c r="B67" s="24" t="s">
        <v>10</v>
      </c>
      <c r="C67" s="24" t="s">
        <v>58</v>
      </c>
      <c r="D67" s="19" t="s">
        <v>320</v>
      </c>
      <c r="E67" s="24" t="s">
        <v>62</v>
      </c>
      <c r="F67" s="25">
        <f>'изм июнь вед стр-ра'!G68</f>
        <v>3052.2</v>
      </c>
      <c r="G67" s="25">
        <f>'изм июнь вед стр-ра'!H68</f>
        <v>2834.3</v>
      </c>
      <c r="H67" s="25">
        <f>'изм июнь вед стр-ра'!I68</f>
        <v>2834.3</v>
      </c>
    </row>
    <row r="68" spans="1:8" s="21" customFormat="1" ht="33.75" customHeight="1" x14ac:dyDescent="0.2">
      <c r="A68" s="18" t="s">
        <v>127</v>
      </c>
      <c r="B68" s="19" t="s">
        <v>10</v>
      </c>
      <c r="C68" s="19" t="s">
        <v>58</v>
      </c>
      <c r="D68" s="19" t="s">
        <v>82</v>
      </c>
      <c r="E68" s="19"/>
      <c r="F68" s="20">
        <f>F69</f>
        <v>125</v>
      </c>
      <c r="G68" s="20">
        <f>G69</f>
        <v>125</v>
      </c>
      <c r="H68" s="20">
        <f>H69</f>
        <v>125</v>
      </c>
    </row>
    <row r="69" spans="1:8" s="26" customFormat="1" ht="25.5" x14ac:dyDescent="0.2">
      <c r="A69" s="28" t="s">
        <v>119</v>
      </c>
      <c r="B69" s="24" t="s">
        <v>10</v>
      </c>
      <c r="C69" s="24" t="s">
        <v>58</v>
      </c>
      <c r="D69" s="24" t="s">
        <v>82</v>
      </c>
      <c r="E69" s="24" t="s">
        <v>62</v>
      </c>
      <c r="F69" s="25">
        <f>'изм июнь вед стр-ра'!G55</f>
        <v>125</v>
      </c>
      <c r="G69" s="25">
        <f>'изм июнь вед стр-ра'!H55</f>
        <v>125</v>
      </c>
      <c r="H69" s="25">
        <f>'изм июнь вед стр-ра'!I55</f>
        <v>125</v>
      </c>
    </row>
    <row r="70" spans="1:8" s="26" customFormat="1" ht="25.5" x14ac:dyDescent="0.2">
      <c r="A70" s="110" t="s">
        <v>130</v>
      </c>
      <c r="B70" s="16" t="s">
        <v>10</v>
      </c>
      <c r="C70" s="19" t="s">
        <v>58</v>
      </c>
      <c r="D70" s="5" t="s">
        <v>131</v>
      </c>
      <c r="E70" s="5"/>
      <c r="F70" s="6">
        <f>F71</f>
        <v>5638.2</v>
      </c>
      <c r="G70" s="6">
        <f>G71</f>
        <v>5005.8999999999996</v>
      </c>
      <c r="H70" s="6">
        <f>H71</f>
        <v>4843.8</v>
      </c>
    </row>
    <row r="71" spans="1:8" s="26" customFormat="1" ht="25.5" x14ac:dyDescent="0.2">
      <c r="A71" s="28" t="s">
        <v>119</v>
      </c>
      <c r="B71" s="24" t="s">
        <v>10</v>
      </c>
      <c r="C71" s="24" t="s">
        <v>58</v>
      </c>
      <c r="D71" s="24" t="s">
        <v>131</v>
      </c>
      <c r="E71" s="24" t="s">
        <v>62</v>
      </c>
      <c r="F71" s="25">
        <f>'изм июнь вед стр-ра'!G59</f>
        <v>5638.2</v>
      </c>
      <c r="G71" s="25">
        <f>'изм июнь вед стр-ра'!H59</f>
        <v>5005.8999999999996</v>
      </c>
      <c r="H71" s="25">
        <f>'изм июнь вед стр-ра'!I59</f>
        <v>4843.8</v>
      </c>
    </row>
    <row r="72" spans="1:8" s="72" customFormat="1" ht="25.5" x14ac:dyDescent="0.2">
      <c r="A72" s="82" t="s">
        <v>128</v>
      </c>
      <c r="B72" s="70" t="s">
        <v>10</v>
      </c>
      <c r="C72" s="70" t="s">
        <v>58</v>
      </c>
      <c r="D72" s="70" t="s">
        <v>129</v>
      </c>
      <c r="E72" s="70"/>
      <c r="F72" s="71">
        <f>F73</f>
        <v>966</v>
      </c>
      <c r="G72" s="71">
        <f>G73</f>
        <v>966</v>
      </c>
      <c r="H72" s="71">
        <f>H73</f>
        <v>966</v>
      </c>
    </row>
    <row r="73" spans="1:8" s="77" customFormat="1" x14ac:dyDescent="0.2">
      <c r="A73" s="80" t="s">
        <v>66</v>
      </c>
      <c r="B73" s="75" t="s">
        <v>10</v>
      </c>
      <c r="C73" s="75" t="s">
        <v>58</v>
      </c>
      <c r="D73" s="75" t="s">
        <v>129</v>
      </c>
      <c r="E73" s="75" t="s">
        <v>67</v>
      </c>
      <c r="F73" s="55">
        <f>'изм июнь вед стр-ра'!G57</f>
        <v>966</v>
      </c>
      <c r="G73" s="55">
        <f>'изм июнь вед стр-ра'!H57</f>
        <v>966</v>
      </c>
      <c r="H73" s="55">
        <f>'изм июнь вед стр-ра'!I57</f>
        <v>966</v>
      </c>
    </row>
    <row r="74" spans="1:8" s="72" customFormat="1" x14ac:dyDescent="0.2">
      <c r="A74" s="68" t="s">
        <v>199</v>
      </c>
      <c r="B74" s="70" t="s">
        <v>10</v>
      </c>
      <c r="C74" s="70" t="s">
        <v>58</v>
      </c>
      <c r="D74" s="70" t="s">
        <v>198</v>
      </c>
      <c r="E74" s="70"/>
      <c r="F74" s="71">
        <f>F75</f>
        <v>3373.5</v>
      </c>
      <c r="G74" s="71">
        <f>G75</f>
        <v>0</v>
      </c>
      <c r="H74" s="71">
        <f>H75</f>
        <v>0</v>
      </c>
    </row>
    <row r="75" spans="1:8" s="77" customFormat="1" x14ac:dyDescent="0.2">
      <c r="A75" s="80" t="s">
        <v>66</v>
      </c>
      <c r="B75" s="75" t="s">
        <v>10</v>
      </c>
      <c r="C75" s="75" t="s">
        <v>58</v>
      </c>
      <c r="D75" s="75" t="s">
        <v>198</v>
      </c>
      <c r="E75" s="75" t="s">
        <v>67</v>
      </c>
      <c r="F75" s="55">
        <f>'изм июнь вед стр-ра'!G45+'изм июнь вед стр-ра'!G242</f>
        <v>3373.5</v>
      </c>
      <c r="G75" s="55">
        <f>'изм июнь вед стр-ра'!H45+'изм июнь вед стр-ра'!H242</f>
        <v>0</v>
      </c>
      <c r="H75" s="55">
        <f>'изм июнь вед стр-ра'!I45+'изм июнь вед стр-ра'!I242</f>
        <v>0</v>
      </c>
    </row>
    <row r="76" spans="1:8" s="9" customFormat="1" x14ac:dyDescent="0.2">
      <c r="A76" s="18" t="s">
        <v>245</v>
      </c>
      <c r="B76" s="19" t="s">
        <v>10</v>
      </c>
      <c r="C76" s="19" t="s">
        <v>58</v>
      </c>
      <c r="D76" s="19" t="s">
        <v>247</v>
      </c>
      <c r="E76" s="19"/>
      <c r="F76" s="20">
        <f>F77</f>
        <v>1400</v>
      </c>
      <c r="G76" s="20">
        <f>G77</f>
        <v>1100</v>
      </c>
      <c r="H76" s="20">
        <f>H77</f>
        <v>1100</v>
      </c>
    </row>
    <row r="77" spans="1:8" s="7" customFormat="1" x14ac:dyDescent="0.2">
      <c r="A77" s="28" t="s">
        <v>69</v>
      </c>
      <c r="B77" s="24" t="s">
        <v>10</v>
      </c>
      <c r="C77" s="24" t="s">
        <v>58</v>
      </c>
      <c r="D77" s="24" t="s">
        <v>247</v>
      </c>
      <c r="E77" s="24" t="s">
        <v>70</v>
      </c>
      <c r="F77" s="25">
        <f>'изм июнь вед стр-ра'!G47</f>
        <v>1400</v>
      </c>
      <c r="G77" s="25">
        <f>'изм июнь вед стр-ра'!H47</f>
        <v>1100</v>
      </c>
      <c r="H77" s="25">
        <f>'изм июнь вед стр-ра'!I47</f>
        <v>1100</v>
      </c>
    </row>
    <row r="78" spans="1:8" ht="38.25" x14ac:dyDescent="0.2">
      <c r="A78" s="48" t="s">
        <v>663</v>
      </c>
      <c r="B78" s="19" t="s">
        <v>10</v>
      </c>
      <c r="C78" s="19" t="s">
        <v>58</v>
      </c>
      <c r="D78" s="19" t="s">
        <v>661</v>
      </c>
      <c r="E78" s="19"/>
      <c r="F78" s="20">
        <f>F79+F81+F80</f>
        <v>17341.400000000001</v>
      </c>
      <c r="G78" s="20">
        <f t="shared" ref="G78:H78" si="7">G79+G81+G80</f>
        <v>19637.399999999998</v>
      </c>
      <c r="H78" s="20">
        <f t="shared" si="7"/>
        <v>18784.099999999999</v>
      </c>
    </row>
    <row r="79" spans="1:8" s="26" customFormat="1" ht="53.25" customHeight="1" x14ac:dyDescent="0.2">
      <c r="A79" s="23" t="s">
        <v>63</v>
      </c>
      <c r="B79" s="24" t="s">
        <v>10</v>
      </c>
      <c r="C79" s="24" t="s">
        <v>58</v>
      </c>
      <c r="D79" s="24" t="s">
        <v>661</v>
      </c>
      <c r="E79" s="27" t="s">
        <v>64</v>
      </c>
      <c r="F79" s="25">
        <f>'изм июнь вед стр-ра'!G70</f>
        <v>11445.6</v>
      </c>
      <c r="G79" s="25">
        <f>'изм июнь вед стр-ра'!H70</f>
        <v>15875.3</v>
      </c>
      <c r="H79" s="25">
        <f>'изм июнь вед стр-ра'!I70</f>
        <v>15875.3</v>
      </c>
    </row>
    <row r="80" spans="1:8" s="26" customFormat="1" ht="25.5" x14ac:dyDescent="0.2">
      <c r="A80" s="28" t="s">
        <v>73</v>
      </c>
      <c r="B80" s="24" t="s">
        <v>10</v>
      </c>
      <c r="C80" s="24" t="s">
        <v>58</v>
      </c>
      <c r="D80" s="24" t="s">
        <v>661</v>
      </c>
      <c r="E80" s="27" t="s">
        <v>65</v>
      </c>
      <c r="F80" s="25">
        <f>'изм июнь вед стр-ра'!G71</f>
        <v>5839.1</v>
      </c>
      <c r="G80" s="25">
        <f>'изм июнь вед стр-ра'!H71</f>
        <v>3762.1</v>
      </c>
      <c r="H80" s="25">
        <f>'изм июнь вед стр-ра'!I71</f>
        <v>2908.8</v>
      </c>
    </row>
    <row r="81" spans="1:8" s="26" customFormat="1" x14ac:dyDescent="0.2">
      <c r="A81" s="28" t="s">
        <v>69</v>
      </c>
      <c r="B81" s="24" t="s">
        <v>10</v>
      </c>
      <c r="C81" s="24" t="s">
        <v>58</v>
      </c>
      <c r="D81" s="24" t="s">
        <v>661</v>
      </c>
      <c r="E81" s="27" t="s">
        <v>70</v>
      </c>
      <c r="F81" s="25">
        <f>'изм июнь вед стр-ра'!G72</f>
        <v>56.7</v>
      </c>
      <c r="G81" s="25">
        <f>'изм июнь вед стр-ра'!H72</f>
        <v>0</v>
      </c>
      <c r="H81" s="25">
        <f>'изм июнь вед стр-ра'!I72</f>
        <v>0</v>
      </c>
    </row>
    <row r="82" spans="1:8" s="7" customFormat="1" ht="30.75" customHeight="1" x14ac:dyDescent="0.2">
      <c r="A82" s="18" t="s">
        <v>170</v>
      </c>
      <c r="B82" s="19" t="s">
        <v>10</v>
      </c>
      <c r="C82" s="19" t="s">
        <v>58</v>
      </c>
      <c r="D82" s="5" t="s">
        <v>169</v>
      </c>
      <c r="E82" s="5"/>
      <c r="F82" s="6">
        <f>F83</f>
        <v>500</v>
      </c>
      <c r="G82" s="6">
        <f>G83</f>
        <v>0</v>
      </c>
      <c r="H82" s="6">
        <f>H83</f>
        <v>0</v>
      </c>
    </row>
    <row r="83" spans="1:8" s="7" customFormat="1" ht="25.5" x14ac:dyDescent="0.2">
      <c r="A83" s="28" t="s">
        <v>73</v>
      </c>
      <c r="B83" s="24" t="s">
        <v>10</v>
      </c>
      <c r="C83" s="24" t="s">
        <v>58</v>
      </c>
      <c r="D83" s="24" t="s">
        <v>169</v>
      </c>
      <c r="E83" s="27" t="s">
        <v>65</v>
      </c>
      <c r="F83" s="25">
        <f>'изм июнь вед стр-ра'!G187</f>
        <v>500</v>
      </c>
      <c r="G83" s="25">
        <f>'изм июнь вед стр-ра'!H187</f>
        <v>0</v>
      </c>
      <c r="H83" s="25">
        <f>'изм июнь вед стр-ра'!I187</f>
        <v>0</v>
      </c>
    </row>
    <row r="84" spans="1:8" s="7" customFormat="1" ht="12" customHeight="1" x14ac:dyDescent="0.2">
      <c r="A84" s="18" t="s">
        <v>171</v>
      </c>
      <c r="B84" s="19" t="s">
        <v>10</v>
      </c>
      <c r="C84" s="19" t="s">
        <v>58</v>
      </c>
      <c r="D84" s="5" t="s">
        <v>172</v>
      </c>
      <c r="E84" s="5"/>
      <c r="F84" s="6">
        <f>F85</f>
        <v>200</v>
      </c>
      <c r="G84" s="6">
        <f>G85</f>
        <v>0</v>
      </c>
      <c r="H84" s="6">
        <f>H85</f>
        <v>0</v>
      </c>
    </row>
    <row r="85" spans="1:8" s="7" customFormat="1" ht="25.5" x14ac:dyDescent="0.2">
      <c r="A85" s="28" t="s">
        <v>73</v>
      </c>
      <c r="B85" s="24" t="s">
        <v>10</v>
      </c>
      <c r="C85" s="24" t="s">
        <v>58</v>
      </c>
      <c r="D85" s="24" t="s">
        <v>172</v>
      </c>
      <c r="E85" s="27" t="s">
        <v>65</v>
      </c>
      <c r="F85" s="25">
        <f>'изм июнь вед стр-ра'!G189</f>
        <v>200</v>
      </c>
      <c r="G85" s="25">
        <f>'изм июнь вед стр-ра'!H189</f>
        <v>0</v>
      </c>
      <c r="H85" s="25">
        <f>'изм июнь вед стр-ра'!I189</f>
        <v>0</v>
      </c>
    </row>
    <row r="86" spans="1:8" s="7" customFormat="1" ht="25.5" x14ac:dyDescent="0.2">
      <c r="A86" s="18" t="s">
        <v>173</v>
      </c>
      <c r="B86" s="19" t="s">
        <v>10</v>
      </c>
      <c r="C86" s="19" t="s">
        <v>58</v>
      </c>
      <c r="D86" s="19" t="s">
        <v>174</v>
      </c>
      <c r="E86" s="19"/>
      <c r="F86" s="20">
        <f>F87</f>
        <v>200</v>
      </c>
      <c r="G86" s="20">
        <f>G87</f>
        <v>0</v>
      </c>
      <c r="H86" s="20">
        <f>H87</f>
        <v>0</v>
      </c>
    </row>
    <row r="87" spans="1:8" s="9" customFormat="1" ht="25.5" x14ac:dyDescent="0.2">
      <c r="A87" s="28" t="s">
        <v>73</v>
      </c>
      <c r="B87" s="24" t="s">
        <v>10</v>
      </c>
      <c r="C87" s="24" t="s">
        <v>58</v>
      </c>
      <c r="D87" s="24" t="s">
        <v>174</v>
      </c>
      <c r="E87" s="27" t="s">
        <v>65</v>
      </c>
      <c r="F87" s="25">
        <f>'изм июнь вед стр-ра'!G191</f>
        <v>200</v>
      </c>
      <c r="G87" s="25">
        <f>'изм июнь вед стр-ра'!H191</f>
        <v>0</v>
      </c>
      <c r="H87" s="25">
        <f>'изм июнь вед стр-ра'!I191</f>
        <v>0</v>
      </c>
    </row>
    <row r="88" spans="1:8" s="12" customFormat="1" x14ac:dyDescent="0.2">
      <c r="A88" s="18" t="s">
        <v>175</v>
      </c>
      <c r="B88" s="19" t="s">
        <v>10</v>
      </c>
      <c r="C88" s="19" t="s">
        <v>58</v>
      </c>
      <c r="D88" s="5" t="s">
        <v>176</v>
      </c>
      <c r="E88" s="5"/>
      <c r="F88" s="6">
        <f>F91+F89+F90</f>
        <v>7638.1</v>
      </c>
      <c r="G88" s="6">
        <f t="shared" ref="G88:H88" si="8">G91+G89+G90</f>
        <v>0</v>
      </c>
      <c r="H88" s="6">
        <f t="shared" si="8"/>
        <v>0</v>
      </c>
    </row>
    <row r="89" spans="1:8" s="26" customFormat="1" ht="25.5" x14ac:dyDescent="0.2">
      <c r="A89" s="28" t="s">
        <v>73</v>
      </c>
      <c r="B89" s="24" t="s">
        <v>10</v>
      </c>
      <c r="C89" s="24" t="s">
        <v>58</v>
      </c>
      <c r="D89" s="24" t="s">
        <v>176</v>
      </c>
      <c r="E89" s="27" t="s">
        <v>65</v>
      </c>
      <c r="F89" s="25">
        <f>'изм июнь вед стр-ра'!G193</f>
        <v>5613.5</v>
      </c>
      <c r="G89" s="25">
        <f>'изм июнь вед стр-ра'!H193</f>
        <v>0</v>
      </c>
      <c r="H89" s="25">
        <f>'изм июнь вед стр-ра'!I193</f>
        <v>0</v>
      </c>
    </row>
    <row r="90" spans="1:8" s="26" customFormat="1" ht="25.5" x14ac:dyDescent="0.2">
      <c r="A90" s="28" t="s">
        <v>119</v>
      </c>
      <c r="B90" s="24" t="s">
        <v>10</v>
      </c>
      <c r="C90" s="24" t="s">
        <v>58</v>
      </c>
      <c r="D90" s="24" t="s">
        <v>176</v>
      </c>
      <c r="E90" s="27" t="s">
        <v>62</v>
      </c>
      <c r="F90" s="25">
        <f>'изм июнь вед стр-ра'!G61</f>
        <v>1683.6</v>
      </c>
      <c r="G90" s="25">
        <f>'изм июнь вед стр-ра'!H61</f>
        <v>0</v>
      </c>
      <c r="H90" s="25">
        <f>'изм июнь вед стр-ра'!I61</f>
        <v>0</v>
      </c>
    </row>
    <row r="91" spans="1:8" s="26" customFormat="1" x14ac:dyDescent="0.2">
      <c r="A91" s="28" t="s">
        <v>69</v>
      </c>
      <c r="B91" s="24" t="s">
        <v>10</v>
      </c>
      <c r="C91" s="24" t="s">
        <v>58</v>
      </c>
      <c r="D91" s="24" t="s">
        <v>176</v>
      </c>
      <c r="E91" s="27" t="s">
        <v>70</v>
      </c>
      <c r="F91" s="25">
        <f>'изм июнь вед стр-ра'!G194</f>
        <v>341</v>
      </c>
      <c r="G91" s="25">
        <f>'изм июнь вед стр-ра'!H194</f>
        <v>0</v>
      </c>
      <c r="H91" s="25">
        <f>'изм июнь вед стр-ра'!I194</f>
        <v>0</v>
      </c>
    </row>
    <row r="92" spans="1:8" s="12" customFormat="1" x14ac:dyDescent="0.2">
      <c r="A92" s="18" t="s">
        <v>178</v>
      </c>
      <c r="B92" s="19" t="s">
        <v>10</v>
      </c>
      <c r="C92" s="19" t="s">
        <v>58</v>
      </c>
      <c r="D92" s="5" t="s">
        <v>177</v>
      </c>
      <c r="E92" s="5"/>
      <c r="F92" s="6">
        <f>F93</f>
        <v>300</v>
      </c>
      <c r="G92" s="6">
        <f>G93</f>
        <v>0</v>
      </c>
      <c r="H92" s="6">
        <f>H93</f>
        <v>0</v>
      </c>
    </row>
    <row r="93" spans="1:8" s="26" customFormat="1" ht="25.5" x14ac:dyDescent="0.2">
      <c r="A93" s="28" t="s">
        <v>73</v>
      </c>
      <c r="B93" s="24" t="s">
        <v>10</v>
      </c>
      <c r="C93" s="24" t="s">
        <v>58</v>
      </c>
      <c r="D93" s="24" t="s">
        <v>177</v>
      </c>
      <c r="E93" s="27" t="s">
        <v>65</v>
      </c>
      <c r="F93" s="25">
        <f>'изм июнь вед стр-ра'!G196</f>
        <v>300</v>
      </c>
      <c r="G93" s="25">
        <f>'изм июнь вед стр-ра'!H196</f>
        <v>0</v>
      </c>
      <c r="H93" s="25">
        <f>'изм июнь вед стр-ра'!I196</f>
        <v>0</v>
      </c>
    </row>
    <row r="94" spans="1:8" s="145" customFormat="1" ht="15" x14ac:dyDescent="0.2">
      <c r="A94" s="18" t="s">
        <v>179</v>
      </c>
      <c r="B94" s="19" t="s">
        <v>10</v>
      </c>
      <c r="C94" s="19" t="s">
        <v>58</v>
      </c>
      <c r="D94" s="5" t="s">
        <v>180</v>
      </c>
      <c r="E94" s="5"/>
      <c r="F94" s="6">
        <f>SUM(F95:F96)</f>
        <v>169</v>
      </c>
      <c r="G94" s="6">
        <f t="shared" ref="G94:H94" si="9">SUM(G95:G96)</f>
        <v>0</v>
      </c>
      <c r="H94" s="6">
        <f t="shared" si="9"/>
        <v>0</v>
      </c>
    </row>
    <row r="95" spans="1:8" s="26" customFormat="1" ht="25.5" x14ac:dyDescent="0.2">
      <c r="A95" s="28" t="s">
        <v>73</v>
      </c>
      <c r="B95" s="24" t="s">
        <v>10</v>
      </c>
      <c r="C95" s="24" t="s">
        <v>58</v>
      </c>
      <c r="D95" s="24" t="s">
        <v>180</v>
      </c>
      <c r="E95" s="27" t="s">
        <v>65</v>
      </c>
      <c r="F95" s="25">
        <f>'изм июнь вед стр-ра'!G198</f>
        <v>26.099999999999994</v>
      </c>
      <c r="G95" s="25">
        <f>'изм июнь вед стр-ра'!H198</f>
        <v>0</v>
      </c>
      <c r="H95" s="25">
        <f>'изм июнь вед стр-ра'!I198</f>
        <v>0</v>
      </c>
    </row>
    <row r="96" spans="1:8" s="26" customFormat="1" x14ac:dyDescent="0.2">
      <c r="A96" s="28" t="s">
        <v>69</v>
      </c>
      <c r="B96" s="24" t="s">
        <v>10</v>
      </c>
      <c r="C96" s="24" t="s">
        <v>58</v>
      </c>
      <c r="D96" s="24" t="s">
        <v>180</v>
      </c>
      <c r="E96" s="27" t="s">
        <v>70</v>
      </c>
      <c r="F96" s="25">
        <f>'изм июнь вед стр-ра'!G199</f>
        <v>142.9</v>
      </c>
      <c r="G96" s="25">
        <f>'изм июнь вед стр-ра'!H199</f>
        <v>0</v>
      </c>
      <c r="H96" s="25">
        <f>'изм июнь вед стр-ра'!I199</f>
        <v>0</v>
      </c>
    </row>
    <row r="97" spans="1:8" s="72" customFormat="1" ht="25.5" x14ac:dyDescent="0.2">
      <c r="A97" s="68" t="s">
        <v>181</v>
      </c>
      <c r="B97" s="70" t="s">
        <v>10</v>
      </c>
      <c r="C97" s="70" t="s">
        <v>58</v>
      </c>
      <c r="D97" s="83" t="s">
        <v>182</v>
      </c>
      <c r="E97" s="70"/>
      <c r="F97" s="71">
        <f>F98+F99</f>
        <v>9752.8000000000011</v>
      </c>
      <c r="G97" s="71">
        <f t="shared" ref="G97:H97" si="10">G98+G99</f>
        <v>9065.2000000000007</v>
      </c>
      <c r="H97" s="71">
        <f t="shared" si="10"/>
        <v>9065.2000000000007</v>
      </c>
    </row>
    <row r="98" spans="1:8" s="26" customFormat="1" ht="51" x14ac:dyDescent="0.2">
      <c r="A98" s="30" t="s">
        <v>63</v>
      </c>
      <c r="B98" s="24" t="s">
        <v>10</v>
      </c>
      <c r="C98" s="24" t="s">
        <v>58</v>
      </c>
      <c r="D98" s="24" t="s">
        <v>182</v>
      </c>
      <c r="E98" s="27" t="s">
        <v>64</v>
      </c>
      <c r="F98" s="25">
        <f>'изм июнь вед стр-ра'!G201</f>
        <v>8926.6</v>
      </c>
      <c r="G98" s="25">
        <f>'изм июнь вед стр-ра'!H201</f>
        <v>8926.6</v>
      </c>
      <c r="H98" s="25">
        <f>'изм июнь вед стр-ра'!I201</f>
        <v>8926.6</v>
      </c>
    </row>
    <row r="99" spans="1:8" s="77" customFormat="1" ht="25.5" x14ac:dyDescent="0.2">
      <c r="A99" s="80" t="s">
        <v>73</v>
      </c>
      <c r="B99" s="75" t="s">
        <v>10</v>
      </c>
      <c r="C99" s="75" t="s">
        <v>58</v>
      </c>
      <c r="D99" s="75" t="s">
        <v>182</v>
      </c>
      <c r="E99" s="76" t="s">
        <v>65</v>
      </c>
      <c r="F99" s="25">
        <f>'изм июнь вед стр-ра'!G202</f>
        <v>826.2</v>
      </c>
      <c r="G99" s="25">
        <f>'изм июнь вед стр-ра'!H202</f>
        <v>138.6</v>
      </c>
      <c r="H99" s="25">
        <f>'изм июнь вед стр-ра'!I202</f>
        <v>138.6</v>
      </c>
    </row>
    <row r="100" spans="1:8" s="26" customFormat="1" ht="89.25" x14ac:dyDescent="0.2">
      <c r="A100" s="45" t="s">
        <v>133</v>
      </c>
      <c r="B100" s="19" t="s">
        <v>10</v>
      </c>
      <c r="C100" s="19" t="s">
        <v>58</v>
      </c>
      <c r="D100" s="19" t="s">
        <v>132</v>
      </c>
      <c r="E100" s="19"/>
      <c r="F100" s="20">
        <f>F101+F102</f>
        <v>8019.5999999999995</v>
      </c>
      <c r="G100" s="20">
        <f>G101+G102</f>
        <v>7811.7999999999993</v>
      </c>
      <c r="H100" s="20">
        <f>H101+H102</f>
        <v>7811.7999999999993</v>
      </c>
    </row>
    <row r="101" spans="1:8" s="26" customFormat="1" ht="51" x14ac:dyDescent="0.2">
      <c r="A101" s="30" t="s">
        <v>63</v>
      </c>
      <c r="B101" s="24" t="s">
        <v>10</v>
      </c>
      <c r="C101" s="24" t="s">
        <v>58</v>
      </c>
      <c r="D101" s="24" t="s">
        <v>132</v>
      </c>
      <c r="E101" s="27" t="s">
        <v>64</v>
      </c>
      <c r="F101" s="25">
        <f>'изм июнь вед стр-ра'!G63</f>
        <v>7757.7999999999993</v>
      </c>
      <c r="G101" s="25">
        <f>'изм июнь вед стр-ра'!H63</f>
        <v>7757.7999999999993</v>
      </c>
      <c r="H101" s="25">
        <f>'изм июнь вед стр-ра'!I63</f>
        <v>7757.7999999999993</v>
      </c>
    </row>
    <row r="102" spans="1:8" s="21" customFormat="1" ht="25.5" x14ac:dyDescent="0.2">
      <c r="A102" s="28" t="s">
        <v>73</v>
      </c>
      <c r="B102" s="24" t="s">
        <v>10</v>
      </c>
      <c r="C102" s="24" t="s">
        <v>58</v>
      </c>
      <c r="D102" s="24" t="s">
        <v>132</v>
      </c>
      <c r="E102" s="27" t="s">
        <v>65</v>
      </c>
      <c r="F102" s="25">
        <f>'изм июнь вед стр-ра'!G64</f>
        <v>261.8</v>
      </c>
      <c r="G102" s="25">
        <f>'изм июнь вед стр-ра'!H64</f>
        <v>54</v>
      </c>
      <c r="H102" s="25">
        <f>'изм июнь вед стр-ра'!I64</f>
        <v>54</v>
      </c>
    </row>
    <row r="103" spans="1:8" s="77" customFormat="1" ht="51" x14ac:dyDescent="0.2">
      <c r="A103" s="87" t="s">
        <v>134</v>
      </c>
      <c r="B103" s="70" t="s">
        <v>10</v>
      </c>
      <c r="C103" s="70" t="s">
        <v>58</v>
      </c>
      <c r="D103" s="70" t="s">
        <v>135</v>
      </c>
      <c r="E103" s="70"/>
      <c r="F103" s="71">
        <f>F104</f>
        <v>228.8</v>
      </c>
      <c r="G103" s="71">
        <f>G104</f>
        <v>0</v>
      </c>
      <c r="H103" s="71">
        <f>H104</f>
        <v>0</v>
      </c>
    </row>
    <row r="104" spans="1:8" s="72" customFormat="1" ht="25.5" x14ac:dyDescent="0.2">
      <c r="A104" s="80" t="s">
        <v>73</v>
      </c>
      <c r="B104" s="75" t="s">
        <v>10</v>
      </c>
      <c r="C104" s="75" t="s">
        <v>58</v>
      </c>
      <c r="D104" s="75" t="s">
        <v>135</v>
      </c>
      <c r="E104" s="76" t="s">
        <v>65</v>
      </c>
      <c r="F104" s="55">
        <f>'изм июнь вед стр-ра'!G66</f>
        <v>228.8</v>
      </c>
      <c r="G104" s="55">
        <f>'изм июнь вед стр-ра'!H66</f>
        <v>0</v>
      </c>
      <c r="H104" s="55">
        <f>'изм июнь вед стр-ра'!I66</f>
        <v>0</v>
      </c>
    </row>
    <row r="105" spans="1:8" s="77" customFormat="1" ht="25.5" x14ac:dyDescent="0.2">
      <c r="A105" s="68" t="s">
        <v>637</v>
      </c>
      <c r="B105" s="70" t="s">
        <v>10</v>
      </c>
      <c r="C105" s="70" t="s">
        <v>58</v>
      </c>
      <c r="D105" s="70" t="s">
        <v>587</v>
      </c>
      <c r="E105" s="70"/>
      <c r="F105" s="71">
        <f>F106</f>
        <v>50</v>
      </c>
      <c r="G105" s="71">
        <f>G106</f>
        <v>0</v>
      </c>
      <c r="H105" s="71">
        <f>H106</f>
        <v>0</v>
      </c>
    </row>
    <row r="106" spans="1:8" s="72" customFormat="1" ht="25.5" x14ac:dyDescent="0.2">
      <c r="A106" s="80" t="s">
        <v>73</v>
      </c>
      <c r="B106" s="75" t="s">
        <v>10</v>
      </c>
      <c r="C106" s="75" t="s">
        <v>58</v>
      </c>
      <c r="D106" s="75" t="s">
        <v>587</v>
      </c>
      <c r="E106" s="76" t="s">
        <v>65</v>
      </c>
      <c r="F106" s="55">
        <f>'изм июнь вед стр-ра'!G528</f>
        <v>50</v>
      </c>
      <c r="G106" s="55">
        <f>'изм июнь вед стр-ра'!H528</f>
        <v>0</v>
      </c>
      <c r="H106" s="55">
        <f>'изм июнь вед стр-ра'!I528</f>
        <v>0</v>
      </c>
    </row>
    <row r="107" spans="1:8" s="72" customFormat="1" ht="51" x14ac:dyDescent="0.2">
      <c r="A107" s="68" t="s">
        <v>688</v>
      </c>
      <c r="B107" s="75" t="s">
        <v>10</v>
      </c>
      <c r="C107" s="75" t="s">
        <v>58</v>
      </c>
      <c r="D107" s="75" t="s">
        <v>691</v>
      </c>
      <c r="E107" s="76"/>
      <c r="F107" s="55">
        <f>F108</f>
        <v>237.8</v>
      </c>
      <c r="G107" s="55"/>
      <c r="H107" s="55"/>
    </row>
    <row r="108" spans="1:8" s="72" customFormat="1" ht="25.5" x14ac:dyDescent="0.2">
      <c r="A108" s="80" t="s">
        <v>73</v>
      </c>
      <c r="B108" s="75" t="s">
        <v>10</v>
      </c>
      <c r="C108" s="75" t="s">
        <v>58</v>
      </c>
      <c r="D108" s="75" t="s">
        <v>691</v>
      </c>
      <c r="E108" s="76" t="s">
        <v>65</v>
      </c>
      <c r="F108" s="55">
        <f>'изм июнь вед стр-ра'!G74</f>
        <v>237.8</v>
      </c>
      <c r="G108" s="55"/>
      <c r="H108" s="55"/>
    </row>
    <row r="109" spans="1:8" s="26" customFormat="1" ht="31.5" x14ac:dyDescent="0.25">
      <c r="A109" s="122" t="s">
        <v>4</v>
      </c>
      <c r="B109" s="121" t="s">
        <v>14</v>
      </c>
      <c r="C109" s="121" t="s">
        <v>350</v>
      </c>
      <c r="D109" s="121"/>
      <c r="E109" s="121"/>
      <c r="F109" s="176">
        <f>F110</f>
        <v>16286.199999999999</v>
      </c>
      <c r="G109" s="176">
        <f>G110</f>
        <v>14784.4</v>
      </c>
      <c r="H109" s="176">
        <f>H110</f>
        <v>14705.1</v>
      </c>
    </row>
    <row r="110" spans="1:8" s="77" customFormat="1" ht="38.25" x14ac:dyDescent="0.2">
      <c r="A110" s="63" t="s">
        <v>527</v>
      </c>
      <c r="B110" s="177" t="s">
        <v>14</v>
      </c>
      <c r="C110" s="65" t="s">
        <v>24</v>
      </c>
      <c r="D110" s="65"/>
      <c r="E110" s="65"/>
      <c r="F110" s="66">
        <f>F113+F115+F117+F111</f>
        <v>16286.199999999999</v>
      </c>
      <c r="G110" s="66">
        <f>G113+G115+G117+G111</f>
        <v>14784.4</v>
      </c>
      <c r="H110" s="66">
        <f>H113+H115+H117+H111</f>
        <v>14705.1</v>
      </c>
    </row>
    <row r="111" spans="1:8" s="26" customFormat="1" ht="63.75" x14ac:dyDescent="0.2">
      <c r="A111" s="18" t="s">
        <v>552</v>
      </c>
      <c r="B111" s="24" t="s">
        <v>14</v>
      </c>
      <c r="C111" s="24" t="s">
        <v>24</v>
      </c>
      <c r="D111" s="24" t="s">
        <v>550</v>
      </c>
      <c r="E111" s="27"/>
      <c r="F111" s="25">
        <f>F112</f>
        <v>15976.199999999999</v>
      </c>
      <c r="G111" s="25">
        <f t="shared" ref="G111:H111" si="11">G112</f>
        <v>14784.4</v>
      </c>
      <c r="H111" s="25">
        <f t="shared" si="11"/>
        <v>14705.1</v>
      </c>
    </row>
    <row r="112" spans="1:8" s="26" customFormat="1" ht="25.5" x14ac:dyDescent="0.2">
      <c r="A112" s="28" t="s">
        <v>119</v>
      </c>
      <c r="B112" s="24" t="s">
        <v>14</v>
      </c>
      <c r="C112" s="24" t="s">
        <v>24</v>
      </c>
      <c r="D112" s="24" t="s">
        <v>550</v>
      </c>
      <c r="E112" s="27" t="s">
        <v>62</v>
      </c>
      <c r="F112" s="25">
        <f>'изм июнь вед стр-ра'!G78</f>
        <v>15976.199999999999</v>
      </c>
      <c r="G112" s="25">
        <f>'изм июнь вед стр-ра'!H78</f>
        <v>14784.4</v>
      </c>
      <c r="H112" s="25">
        <f>'изм июнь вед стр-ра'!I78</f>
        <v>14705.1</v>
      </c>
    </row>
    <row r="113" spans="1:8" s="21" customFormat="1" ht="25.5" x14ac:dyDescent="0.2">
      <c r="A113" s="17" t="s">
        <v>137</v>
      </c>
      <c r="B113" s="19" t="s">
        <v>14</v>
      </c>
      <c r="C113" s="19" t="s">
        <v>24</v>
      </c>
      <c r="D113" s="19" t="s">
        <v>136</v>
      </c>
      <c r="E113" s="5"/>
      <c r="F113" s="6">
        <f>F114</f>
        <v>55</v>
      </c>
      <c r="G113" s="6">
        <f t="shared" ref="G113:H113" si="12">G114</f>
        <v>0</v>
      </c>
      <c r="H113" s="6">
        <f t="shared" si="12"/>
        <v>0</v>
      </c>
    </row>
    <row r="114" spans="1:8" s="67" customFormat="1" ht="25.5" x14ac:dyDescent="0.2">
      <c r="A114" s="80" t="s">
        <v>119</v>
      </c>
      <c r="B114" s="75" t="s">
        <v>14</v>
      </c>
      <c r="C114" s="75" t="s">
        <v>24</v>
      </c>
      <c r="D114" s="75" t="s">
        <v>548</v>
      </c>
      <c r="E114" s="76" t="s">
        <v>62</v>
      </c>
      <c r="F114" s="55">
        <f>'изм июнь вед стр-ра'!G80</f>
        <v>55</v>
      </c>
      <c r="G114" s="55">
        <f>'изм июнь вед стр-ра'!H80</f>
        <v>0</v>
      </c>
      <c r="H114" s="55">
        <f>'изм июнь вед стр-ра'!I80</f>
        <v>0</v>
      </c>
    </row>
    <row r="115" spans="1:8" s="72" customFormat="1" x14ac:dyDescent="0.2">
      <c r="A115" s="82" t="s">
        <v>138</v>
      </c>
      <c r="B115" s="70" t="s">
        <v>14</v>
      </c>
      <c r="C115" s="70" t="s">
        <v>24</v>
      </c>
      <c r="D115" s="70" t="s">
        <v>139</v>
      </c>
      <c r="E115" s="83"/>
      <c r="F115" s="84">
        <f>F116</f>
        <v>220</v>
      </c>
      <c r="G115" s="84">
        <f t="shared" ref="G115:H115" si="13">G116</f>
        <v>0</v>
      </c>
      <c r="H115" s="84">
        <f t="shared" si="13"/>
        <v>0</v>
      </c>
    </row>
    <row r="116" spans="1:8" s="77" customFormat="1" ht="25.5" x14ac:dyDescent="0.2">
      <c r="A116" s="80" t="s">
        <v>119</v>
      </c>
      <c r="B116" s="75" t="s">
        <v>14</v>
      </c>
      <c r="C116" s="75" t="s">
        <v>24</v>
      </c>
      <c r="D116" s="75" t="s">
        <v>139</v>
      </c>
      <c r="E116" s="76" t="s">
        <v>62</v>
      </c>
      <c r="F116" s="55">
        <f>'изм июнь вед стр-ра'!G82</f>
        <v>220</v>
      </c>
      <c r="G116" s="55">
        <f>'изм июнь вед стр-ра'!H82</f>
        <v>0</v>
      </c>
      <c r="H116" s="55">
        <f>'изм июнь вед стр-ра'!I82</f>
        <v>0</v>
      </c>
    </row>
    <row r="117" spans="1:8" s="21" customFormat="1" ht="25.5" x14ac:dyDescent="0.2">
      <c r="A117" s="17" t="s">
        <v>327</v>
      </c>
      <c r="B117" s="19" t="s">
        <v>14</v>
      </c>
      <c r="C117" s="19" t="s">
        <v>24</v>
      </c>
      <c r="D117" s="19" t="s">
        <v>328</v>
      </c>
      <c r="E117" s="5"/>
      <c r="F117" s="6">
        <f>F118</f>
        <v>35</v>
      </c>
      <c r="G117" s="6">
        <f t="shared" ref="G117:H117" si="14">G118</f>
        <v>0</v>
      </c>
      <c r="H117" s="6">
        <f t="shared" si="14"/>
        <v>0</v>
      </c>
    </row>
    <row r="118" spans="1:8" s="26" customFormat="1" ht="25.5" x14ac:dyDescent="0.2">
      <c r="A118" s="28" t="s">
        <v>119</v>
      </c>
      <c r="B118" s="24" t="s">
        <v>14</v>
      </c>
      <c r="C118" s="24" t="s">
        <v>24</v>
      </c>
      <c r="D118" s="19" t="s">
        <v>328</v>
      </c>
      <c r="E118" s="27" t="s">
        <v>62</v>
      </c>
      <c r="F118" s="25">
        <f>'изм июнь вед стр-ра'!G84</f>
        <v>35</v>
      </c>
      <c r="G118" s="25">
        <f>'изм июнь вед стр-ра'!H84</f>
        <v>0</v>
      </c>
      <c r="H118" s="25">
        <f>'изм июнь вед стр-ра'!I84</f>
        <v>0</v>
      </c>
    </row>
    <row r="119" spans="1:8" s="21" customFormat="1" ht="15.75" x14ac:dyDescent="0.25">
      <c r="A119" s="122" t="s">
        <v>25</v>
      </c>
      <c r="B119" s="121" t="s">
        <v>16</v>
      </c>
      <c r="C119" s="121" t="s">
        <v>350</v>
      </c>
      <c r="D119" s="121"/>
      <c r="E119" s="121"/>
      <c r="F119" s="176">
        <f>F123+F136+F120</f>
        <v>144491.18328</v>
      </c>
      <c r="G119" s="176">
        <f>G123+G136+G120</f>
        <v>153594.9</v>
      </c>
      <c r="H119" s="176">
        <f>H123+H136+H120</f>
        <v>133041.60000000001</v>
      </c>
    </row>
    <row r="120" spans="1:8" s="9" customFormat="1" x14ac:dyDescent="0.2">
      <c r="A120" s="11" t="s">
        <v>579</v>
      </c>
      <c r="B120" s="8" t="s">
        <v>16</v>
      </c>
      <c r="C120" s="8" t="s">
        <v>10</v>
      </c>
      <c r="D120" s="8"/>
      <c r="E120" s="8"/>
      <c r="F120" s="4">
        <f>F121</f>
        <v>53.4</v>
      </c>
      <c r="G120" s="4">
        <f t="shared" ref="G120:H120" si="15">G121</f>
        <v>0</v>
      </c>
      <c r="H120" s="4">
        <f t="shared" si="15"/>
        <v>0</v>
      </c>
    </row>
    <row r="121" spans="1:8" ht="25.5" x14ac:dyDescent="0.2">
      <c r="A121" s="18" t="s">
        <v>557</v>
      </c>
      <c r="B121" s="19" t="s">
        <v>16</v>
      </c>
      <c r="C121" s="19" t="s">
        <v>10</v>
      </c>
      <c r="D121" s="19" t="s">
        <v>558</v>
      </c>
      <c r="E121" s="19"/>
      <c r="F121" s="20">
        <f>F122</f>
        <v>53.4</v>
      </c>
      <c r="G121" s="20">
        <f t="shared" ref="G121:H121" si="16">G122</f>
        <v>0</v>
      </c>
      <c r="H121" s="20">
        <f t="shared" si="16"/>
        <v>0</v>
      </c>
    </row>
    <row r="122" spans="1:8" s="26" customFormat="1" ht="25.5" x14ac:dyDescent="0.2">
      <c r="A122" s="28" t="s">
        <v>119</v>
      </c>
      <c r="B122" s="24" t="s">
        <v>16</v>
      </c>
      <c r="C122" s="24" t="s">
        <v>10</v>
      </c>
      <c r="D122" s="24" t="s">
        <v>558</v>
      </c>
      <c r="E122" s="24" t="s">
        <v>62</v>
      </c>
      <c r="F122" s="25">
        <f>'изм июнь вед стр-ра'!G444</f>
        <v>53.4</v>
      </c>
      <c r="G122" s="25">
        <f>'изм июнь вед стр-ра'!H444</f>
        <v>0</v>
      </c>
      <c r="H122" s="25">
        <f>'изм июнь вед стр-ра'!I444</f>
        <v>0</v>
      </c>
    </row>
    <row r="123" spans="1:8" s="72" customFormat="1" x14ac:dyDescent="0.2">
      <c r="A123" s="63" t="s">
        <v>76</v>
      </c>
      <c r="B123" s="65" t="s">
        <v>16</v>
      </c>
      <c r="C123" s="65" t="s">
        <v>24</v>
      </c>
      <c r="D123" s="65"/>
      <c r="E123" s="65"/>
      <c r="F123" s="66">
        <f>F126+F128+F124+F130+F132+F134</f>
        <v>141947.78328</v>
      </c>
      <c r="G123" s="66">
        <f t="shared" ref="G123:H123" si="17">G126+G128+G124+G130+G132+G134</f>
        <v>153594.9</v>
      </c>
      <c r="H123" s="66">
        <f t="shared" si="17"/>
        <v>133041.60000000001</v>
      </c>
    </row>
    <row r="124" spans="1:8" s="21" customFormat="1" ht="69" customHeight="1" x14ac:dyDescent="0.2">
      <c r="A124" s="18" t="s">
        <v>312</v>
      </c>
      <c r="B124" s="19" t="s">
        <v>16</v>
      </c>
      <c r="C124" s="19" t="s">
        <v>24</v>
      </c>
      <c r="D124" s="19" t="s">
        <v>315</v>
      </c>
      <c r="E124" s="19"/>
      <c r="F124" s="20">
        <f>F125</f>
        <v>31500</v>
      </c>
      <c r="G124" s="20">
        <f>G125</f>
        <v>30000</v>
      </c>
      <c r="H124" s="20">
        <f>H125</f>
        <v>35000</v>
      </c>
    </row>
    <row r="125" spans="1:8" s="26" customFormat="1" ht="25.5" x14ac:dyDescent="0.2">
      <c r="A125" s="28" t="s">
        <v>119</v>
      </c>
      <c r="B125" s="24" t="s">
        <v>16</v>
      </c>
      <c r="C125" s="24" t="s">
        <v>24</v>
      </c>
      <c r="D125" s="24" t="s">
        <v>315</v>
      </c>
      <c r="E125" s="24" t="s">
        <v>62</v>
      </c>
      <c r="F125" s="25">
        <f>'изм июнь вед стр-ра'!G532</f>
        <v>31500</v>
      </c>
      <c r="G125" s="25">
        <f>'изм июнь вед стр-ра'!H532</f>
        <v>30000</v>
      </c>
      <c r="H125" s="25">
        <f>'изм июнь вед стр-ра'!I532</f>
        <v>35000</v>
      </c>
    </row>
    <row r="126" spans="1:8" s="67" customFormat="1" ht="25.5" x14ac:dyDescent="0.2">
      <c r="A126" s="68" t="s">
        <v>249</v>
      </c>
      <c r="B126" s="70" t="s">
        <v>16</v>
      </c>
      <c r="C126" s="70" t="s">
        <v>24</v>
      </c>
      <c r="D126" s="70" t="s">
        <v>248</v>
      </c>
      <c r="E126" s="70"/>
      <c r="F126" s="71">
        <f>F127</f>
        <v>82844</v>
      </c>
      <c r="G126" s="71">
        <f>G127</f>
        <v>89779.5</v>
      </c>
      <c r="H126" s="71">
        <f>H127</f>
        <v>64769</v>
      </c>
    </row>
    <row r="127" spans="1:8" s="72" customFormat="1" ht="25.5" x14ac:dyDescent="0.2">
      <c r="A127" s="80" t="s">
        <v>119</v>
      </c>
      <c r="B127" s="75" t="s">
        <v>16</v>
      </c>
      <c r="C127" s="75" t="s">
        <v>24</v>
      </c>
      <c r="D127" s="75" t="s">
        <v>248</v>
      </c>
      <c r="E127" s="75" t="s">
        <v>62</v>
      </c>
      <c r="F127" s="55">
        <f>'изм июнь вед стр-ра'!G534</f>
        <v>82844</v>
      </c>
      <c r="G127" s="55">
        <f>'изм июнь вед стр-ра'!H534</f>
        <v>89779.5</v>
      </c>
      <c r="H127" s="55">
        <f>'изм июнь вед стр-ра'!I534</f>
        <v>64769</v>
      </c>
    </row>
    <row r="128" spans="1:8" s="72" customFormat="1" ht="25.5" x14ac:dyDescent="0.2">
      <c r="A128" s="68" t="s">
        <v>251</v>
      </c>
      <c r="B128" s="70" t="s">
        <v>16</v>
      </c>
      <c r="C128" s="70" t="s">
        <v>24</v>
      </c>
      <c r="D128" s="70" t="s">
        <v>250</v>
      </c>
      <c r="E128" s="70"/>
      <c r="F128" s="71">
        <f>F129</f>
        <v>14330</v>
      </c>
      <c r="G128" s="71">
        <f>G129</f>
        <v>14330</v>
      </c>
      <c r="H128" s="71">
        <f>H129</f>
        <v>12730</v>
      </c>
    </row>
    <row r="129" spans="1:8" s="72" customFormat="1" ht="25.5" x14ac:dyDescent="0.2">
      <c r="A129" s="80" t="s">
        <v>119</v>
      </c>
      <c r="B129" s="75" t="s">
        <v>16</v>
      </c>
      <c r="C129" s="75" t="s">
        <v>24</v>
      </c>
      <c r="D129" s="75" t="s">
        <v>250</v>
      </c>
      <c r="E129" s="75" t="s">
        <v>62</v>
      </c>
      <c r="F129" s="55">
        <f>'изм июнь вед стр-ра'!G536</f>
        <v>14330</v>
      </c>
      <c r="G129" s="55">
        <f>'изм июнь вед стр-ра'!H536</f>
        <v>14330</v>
      </c>
      <c r="H129" s="55">
        <f>'изм июнь вед стр-ра'!I536</f>
        <v>12730</v>
      </c>
    </row>
    <row r="130" spans="1:8" ht="25.5" x14ac:dyDescent="0.2">
      <c r="A130" s="17" t="s">
        <v>323</v>
      </c>
      <c r="B130" s="19" t="s">
        <v>16</v>
      </c>
      <c r="C130" s="19" t="s">
        <v>24</v>
      </c>
      <c r="D130" s="19" t="s">
        <v>321</v>
      </c>
      <c r="E130" s="19"/>
      <c r="F130" s="20">
        <f>F131</f>
        <v>601.17986000000008</v>
      </c>
      <c r="G130" s="20">
        <f t="shared" ref="G130:H130" si="18">G131</f>
        <v>974.3</v>
      </c>
      <c r="H130" s="20">
        <f t="shared" si="18"/>
        <v>1027.0999999999999</v>
      </c>
    </row>
    <row r="131" spans="1:8" ht="25.5" x14ac:dyDescent="0.2">
      <c r="A131" s="28" t="s">
        <v>73</v>
      </c>
      <c r="B131" s="24" t="s">
        <v>16</v>
      </c>
      <c r="C131" s="24" t="s">
        <v>24</v>
      </c>
      <c r="D131" s="24" t="s">
        <v>322</v>
      </c>
      <c r="E131" s="24" t="s">
        <v>65</v>
      </c>
      <c r="F131" s="25">
        <f>'изм июнь вед стр-ра'!G538</f>
        <v>601.17986000000008</v>
      </c>
      <c r="G131" s="25">
        <f>'изм июнь вед стр-ра'!H538</f>
        <v>974.3</v>
      </c>
      <c r="H131" s="25">
        <f>'изм июнь вед стр-ра'!I538</f>
        <v>1027.0999999999999</v>
      </c>
    </row>
    <row r="132" spans="1:8" ht="38.25" x14ac:dyDescent="0.2">
      <c r="A132" s="17" t="s">
        <v>646</v>
      </c>
      <c r="B132" s="19" t="s">
        <v>16</v>
      </c>
      <c r="C132" s="19" t="s">
        <v>24</v>
      </c>
      <c r="D132" s="19" t="s">
        <v>645</v>
      </c>
      <c r="E132" s="19"/>
      <c r="F132" s="20">
        <f>'изм июнь вед стр-ра'!G539</f>
        <v>10672.603419999999</v>
      </c>
      <c r="G132" s="20">
        <f>'изм июнь вед стр-ра'!H539</f>
        <v>18511.099999999999</v>
      </c>
      <c r="H132" s="20">
        <f>'изм июнь вед стр-ра'!I539</f>
        <v>19515.5</v>
      </c>
    </row>
    <row r="133" spans="1:8" ht="25.5" x14ac:dyDescent="0.2">
      <c r="A133" s="28" t="s">
        <v>73</v>
      </c>
      <c r="B133" s="24" t="s">
        <v>16</v>
      </c>
      <c r="C133" s="24" t="s">
        <v>24</v>
      </c>
      <c r="D133" s="19" t="s">
        <v>645</v>
      </c>
      <c r="E133" s="24" t="s">
        <v>65</v>
      </c>
      <c r="F133" s="20">
        <f>'изм июнь вед стр-ра'!G540</f>
        <v>10672.603419999999</v>
      </c>
      <c r="G133" s="20">
        <f>'изм июнь вед стр-ра'!H540</f>
        <v>18511.099999999999</v>
      </c>
      <c r="H133" s="20">
        <f>'изм июнь вед стр-ра'!I540</f>
        <v>19515.5</v>
      </c>
    </row>
    <row r="134" spans="1:8" ht="51" x14ac:dyDescent="0.2">
      <c r="A134" s="18" t="s">
        <v>688</v>
      </c>
      <c r="B134" s="24" t="s">
        <v>16</v>
      </c>
      <c r="C134" s="24" t="s">
        <v>24</v>
      </c>
      <c r="D134" s="19" t="s">
        <v>691</v>
      </c>
      <c r="E134" s="24"/>
      <c r="F134" s="20">
        <f>F135</f>
        <v>2000</v>
      </c>
      <c r="G134" s="20"/>
      <c r="H134" s="20"/>
    </row>
    <row r="135" spans="1:8" ht="25.5" x14ac:dyDescent="0.2">
      <c r="A135" s="28" t="s">
        <v>119</v>
      </c>
      <c r="B135" s="24" t="s">
        <v>16</v>
      </c>
      <c r="C135" s="24" t="s">
        <v>24</v>
      </c>
      <c r="D135" s="19" t="s">
        <v>691</v>
      </c>
      <c r="E135" s="24" t="s">
        <v>62</v>
      </c>
      <c r="F135" s="20">
        <v>2000</v>
      </c>
      <c r="G135" s="20"/>
      <c r="H135" s="20"/>
    </row>
    <row r="136" spans="1:8" s="77" customFormat="1" x14ac:dyDescent="0.2">
      <c r="A136" s="63" t="s">
        <v>26</v>
      </c>
      <c r="B136" s="65" t="s">
        <v>16</v>
      </c>
      <c r="C136" s="65" t="s">
        <v>21</v>
      </c>
      <c r="D136" s="65"/>
      <c r="E136" s="65"/>
      <c r="F136" s="66">
        <f>F141+F143+F137+F139+F145+F147+F149+F151+F153+F155</f>
        <v>2490</v>
      </c>
      <c r="G136" s="66">
        <f t="shared" ref="G136:H136" si="19">G141+G143+G137+G139+G145+G147+G149+G151+G153+G155</f>
        <v>0</v>
      </c>
      <c r="H136" s="66">
        <f t="shared" si="19"/>
        <v>0</v>
      </c>
    </row>
    <row r="137" spans="1:8" s="26" customFormat="1" ht="25.5" x14ac:dyDescent="0.2">
      <c r="A137" s="18" t="s">
        <v>141</v>
      </c>
      <c r="B137" s="19" t="s">
        <v>16</v>
      </c>
      <c r="C137" s="19" t="s">
        <v>21</v>
      </c>
      <c r="D137" s="19" t="s">
        <v>140</v>
      </c>
      <c r="E137" s="19"/>
      <c r="F137" s="20">
        <f>F138</f>
        <v>203</v>
      </c>
      <c r="G137" s="20">
        <f>G138</f>
        <v>0</v>
      </c>
      <c r="H137" s="20">
        <f>H138</f>
        <v>0</v>
      </c>
    </row>
    <row r="138" spans="1:8" s="26" customFormat="1" ht="25.5" x14ac:dyDescent="0.2">
      <c r="A138" s="28" t="s">
        <v>73</v>
      </c>
      <c r="B138" s="24" t="s">
        <v>16</v>
      </c>
      <c r="C138" s="24" t="s">
        <v>21</v>
      </c>
      <c r="D138" s="24" t="s">
        <v>140</v>
      </c>
      <c r="E138" s="27" t="s">
        <v>65</v>
      </c>
      <c r="F138" s="25">
        <f>'изм июнь вед стр-ра'!G88</f>
        <v>203</v>
      </c>
      <c r="G138" s="25">
        <f>'изм июнь вед стр-ра'!H88</f>
        <v>0</v>
      </c>
      <c r="H138" s="25">
        <f>'изм июнь вед стр-ра'!I88</f>
        <v>0</v>
      </c>
    </row>
    <row r="139" spans="1:8" s="26" customFormat="1" ht="25.5" x14ac:dyDescent="0.2">
      <c r="A139" s="18" t="s">
        <v>553</v>
      </c>
      <c r="B139" s="24" t="s">
        <v>16</v>
      </c>
      <c r="C139" s="24" t="s">
        <v>21</v>
      </c>
      <c r="D139" s="24" t="s">
        <v>554</v>
      </c>
      <c r="E139" s="27"/>
      <c r="F139" s="25">
        <f>F140</f>
        <v>452</v>
      </c>
      <c r="G139" s="25">
        <f t="shared" ref="G139:H139" si="20">G140</f>
        <v>0</v>
      </c>
      <c r="H139" s="25">
        <f t="shared" si="20"/>
        <v>0</v>
      </c>
    </row>
    <row r="140" spans="1:8" s="26" customFormat="1" x14ac:dyDescent="0.2">
      <c r="A140" s="28" t="s">
        <v>69</v>
      </c>
      <c r="B140" s="24" t="s">
        <v>16</v>
      </c>
      <c r="C140" s="24" t="s">
        <v>21</v>
      </c>
      <c r="D140" s="24" t="s">
        <v>554</v>
      </c>
      <c r="E140" s="27" t="s">
        <v>70</v>
      </c>
      <c r="F140" s="25">
        <f>'изм июнь вед стр-ра'!G90</f>
        <v>452</v>
      </c>
      <c r="G140" s="25">
        <f>'изм июнь вед стр-ра'!H90</f>
        <v>0</v>
      </c>
      <c r="H140" s="25">
        <f>'изм июнь вед стр-ра'!I90</f>
        <v>0</v>
      </c>
    </row>
    <row r="141" spans="1:8" s="9" customFormat="1" x14ac:dyDescent="0.2">
      <c r="A141" s="18" t="s">
        <v>184</v>
      </c>
      <c r="B141" s="19" t="s">
        <v>16</v>
      </c>
      <c r="C141" s="19" t="s">
        <v>21</v>
      </c>
      <c r="D141" s="19" t="s">
        <v>183</v>
      </c>
      <c r="E141" s="19"/>
      <c r="F141" s="20">
        <f>F142</f>
        <v>1085</v>
      </c>
      <c r="G141" s="20">
        <f>G142</f>
        <v>0</v>
      </c>
      <c r="H141" s="20">
        <f>H142</f>
        <v>0</v>
      </c>
    </row>
    <row r="142" spans="1:8" s="21" customFormat="1" ht="25.5" x14ac:dyDescent="0.2">
      <c r="A142" s="28" t="s">
        <v>73</v>
      </c>
      <c r="B142" s="24" t="s">
        <v>16</v>
      </c>
      <c r="C142" s="24" t="s">
        <v>21</v>
      </c>
      <c r="D142" s="24" t="s">
        <v>183</v>
      </c>
      <c r="E142" s="27" t="s">
        <v>65</v>
      </c>
      <c r="F142" s="25">
        <f>'изм июнь вед стр-ра'!G206</f>
        <v>1085</v>
      </c>
      <c r="G142" s="25">
        <f>'изм июнь вед стр-ра'!H206</f>
        <v>0</v>
      </c>
      <c r="H142" s="25">
        <f>'изм июнь вед стр-ра'!I206</f>
        <v>0</v>
      </c>
    </row>
    <row r="143" spans="1:8" s="26" customFormat="1" ht="38.25" x14ac:dyDescent="0.2">
      <c r="A143" s="18" t="s">
        <v>185</v>
      </c>
      <c r="B143" s="19" t="s">
        <v>16</v>
      </c>
      <c r="C143" s="19" t="s">
        <v>21</v>
      </c>
      <c r="D143" s="19" t="s">
        <v>186</v>
      </c>
      <c r="E143" s="19"/>
      <c r="F143" s="20">
        <f>F144</f>
        <v>500</v>
      </c>
      <c r="G143" s="20">
        <f>G144</f>
        <v>0</v>
      </c>
      <c r="H143" s="20">
        <f>H144</f>
        <v>0</v>
      </c>
    </row>
    <row r="144" spans="1:8" s="9" customFormat="1" ht="25.5" x14ac:dyDescent="0.2">
      <c r="A144" s="28" t="s">
        <v>73</v>
      </c>
      <c r="B144" s="24" t="s">
        <v>16</v>
      </c>
      <c r="C144" s="24" t="s">
        <v>21</v>
      </c>
      <c r="D144" s="24" t="s">
        <v>186</v>
      </c>
      <c r="E144" s="27" t="s">
        <v>65</v>
      </c>
      <c r="F144" s="25">
        <f>'изм июнь вед стр-ра'!G208</f>
        <v>500</v>
      </c>
      <c r="G144" s="25">
        <f>'изм июнь вед стр-ра'!H208</f>
        <v>0</v>
      </c>
      <c r="H144" s="25">
        <f>'изм июнь вед стр-ра'!I208</f>
        <v>0</v>
      </c>
    </row>
    <row r="145" spans="1:8" ht="30.75" customHeight="1" x14ac:dyDescent="0.2">
      <c r="A145" s="18" t="s">
        <v>593</v>
      </c>
      <c r="B145" s="19" t="s">
        <v>16</v>
      </c>
      <c r="C145" s="19" t="s">
        <v>21</v>
      </c>
      <c r="D145" s="19" t="s">
        <v>592</v>
      </c>
      <c r="E145" s="19"/>
      <c r="F145" s="20">
        <f>F146</f>
        <v>10</v>
      </c>
      <c r="G145" s="20">
        <f t="shared" ref="G145:H145" si="21">G146</f>
        <v>0</v>
      </c>
      <c r="H145" s="20">
        <f t="shared" si="21"/>
        <v>0</v>
      </c>
    </row>
    <row r="146" spans="1:8" s="26" customFormat="1" ht="30.75" customHeight="1" x14ac:dyDescent="0.2">
      <c r="A146" s="28" t="s">
        <v>119</v>
      </c>
      <c r="B146" s="24" t="s">
        <v>16</v>
      </c>
      <c r="C146" s="24" t="s">
        <v>21</v>
      </c>
      <c r="D146" s="24" t="s">
        <v>592</v>
      </c>
      <c r="E146" s="24" t="s">
        <v>62</v>
      </c>
      <c r="F146" s="25">
        <v>10</v>
      </c>
      <c r="G146" s="25">
        <v>0</v>
      </c>
      <c r="H146" s="25">
        <v>0</v>
      </c>
    </row>
    <row r="147" spans="1:8" ht="30.75" customHeight="1" x14ac:dyDescent="0.2">
      <c r="A147" s="18" t="s">
        <v>596</v>
      </c>
      <c r="B147" s="19" t="s">
        <v>16</v>
      </c>
      <c r="C147" s="19" t="s">
        <v>21</v>
      </c>
      <c r="D147" s="19" t="s">
        <v>594</v>
      </c>
      <c r="E147" s="19"/>
      <c r="F147" s="20">
        <f>F148</f>
        <v>10</v>
      </c>
      <c r="G147" s="20">
        <f t="shared" ref="G147:H147" si="22">G148</f>
        <v>0</v>
      </c>
      <c r="H147" s="20">
        <f t="shared" si="22"/>
        <v>0</v>
      </c>
    </row>
    <row r="148" spans="1:8" s="26" customFormat="1" ht="30.75" customHeight="1" x14ac:dyDescent="0.2">
      <c r="A148" s="28" t="s">
        <v>119</v>
      </c>
      <c r="B148" s="24" t="s">
        <v>16</v>
      </c>
      <c r="C148" s="24" t="s">
        <v>21</v>
      </c>
      <c r="D148" s="24" t="s">
        <v>595</v>
      </c>
      <c r="E148" s="24" t="s">
        <v>62</v>
      </c>
      <c r="F148" s="25">
        <v>10</v>
      </c>
      <c r="G148" s="25">
        <v>0</v>
      </c>
      <c r="H148" s="25">
        <v>0</v>
      </c>
    </row>
    <row r="149" spans="1:8" ht="30.75" customHeight="1" x14ac:dyDescent="0.2">
      <c r="A149" s="18" t="s">
        <v>598</v>
      </c>
      <c r="B149" s="19" t="s">
        <v>16</v>
      </c>
      <c r="C149" s="19" t="s">
        <v>21</v>
      </c>
      <c r="D149" s="19" t="s">
        <v>597</v>
      </c>
      <c r="E149" s="19"/>
      <c r="F149" s="20">
        <f>F150</f>
        <v>110</v>
      </c>
      <c r="G149" s="20">
        <f t="shared" ref="G149:H149" si="23">G150</f>
        <v>0</v>
      </c>
      <c r="H149" s="20">
        <f t="shared" si="23"/>
        <v>0</v>
      </c>
    </row>
    <row r="150" spans="1:8" s="26" customFormat="1" ht="30.75" customHeight="1" x14ac:dyDescent="0.2">
      <c r="A150" s="28" t="s">
        <v>119</v>
      </c>
      <c r="B150" s="24" t="s">
        <v>16</v>
      </c>
      <c r="C150" s="24" t="s">
        <v>21</v>
      </c>
      <c r="D150" s="24" t="s">
        <v>597</v>
      </c>
      <c r="E150" s="24" t="s">
        <v>62</v>
      </c>
      <c r="F150" s="25">
        <v>110</v>
      </c>
      <c r="G150" s="25">
        <v>0</v>
      </c>
      <c r="H150" s="25">
        <v>0</v>
      </c>
    </row>
    <row r="151" spans="1:8" ht="30.75" customHeight="1" x14ac:dyDescent="0.2">
      <c r="A151" s="18" t="s">
        <v>600</v>
      </c>
      <c r="B151" s="19" t="s">
        <v>16</v>
      </c>
      <c r="C151" s="19" t="s">
        <v>21</v>
      </c>
      <c r="D151" s="19" t="s">
        <v>599</v>
      </c>
      <c r="E151" s="19"/>
      <c r="F151" s="20">
        <f>F152</f>
        <v>106</v>
      </c>
      <c r="G151" s="20">
        <f t="shared" ref="G151:H151" si="24">G152</f>
        <v>0</v>
      </c>
      <c r="H151" s="20">
        <f t="shared" si="24"/>
        <v>0</v>
      </c>
    </row>
    <row r="152" spans="1:8" s="26" customFormat="1" ht="30.75" customHeight="1" x14ac:dyDescent="0.2">
      <c r="A152" s="28" t="s">
        <v>119</v>
      </c>
      <c r="B152" s="24" t="s">
        <v>16</v>
      </c>
      <c r="C152" s="24" t="s">
        <v>21</v>
      </c>
      <c r="D152" s="24" t="s">
        <v>599</v>
      </c>
      <c r="E152" s="24" t="s">
        <v>62</v>
      </c>
      <c r="F152" s="25">
        <v>106</v>
      </c>
      <c r="G152" s="25">
        <v>0</v>
      </c>
      <c r="H152" s="25">
        <v>0</v>
      </c>
    </row>
    <row r="153" spans="1:8" ht="30.75" customHeight="1" x14ac:dyDescent="0.2">
      <c r="A153" s="18" t="s">
        <v>601</v>
      </c>
      <c r="B153" s="19" t="s">
        <v>16</v>
      </c>
      <c r="C153" s="19" t="s">
        <v>21</v>
      </c>
      <c r="D153" s="19" t="s">
        <v>602</v>
      </c>
      <c r="E153" s="19"/>
      <c r="F153" s="20">
        <f>F154</f>
        <v>4</v>
      </c>
      <c r="G153" s="20">
        <f t="shared" ref="G153:H153" si="25">G154</f>
        <v>0</v>
      </c>
      <c r="H153" s="20">
        <f t="shared" si="25"/>
        <v>0</v>
      </c>
    </row>
    <row r="154" spans="1:8" s="26" customFormat="1" ht="30.75" customHeight="1" x14ac:dyDescent="0.2">
      <c r="A154" s="28" t="s">
        <v>119</v>
      </c>
      <c r="B154" s="24" t="s">
        <v>16</v>
      </c>
      <c r="C154" s="24" t="s">
        <v>21</v>
      </c>
      <c r="D154" s="24" t="s">
        <v>602</v>
      </c>
      <c r="E154" s="24" t="s">
        <v>62</v>
      </c>
      <c r="F154" s="25">
        <v>4</v>
      </c>
      <c r="G154" s="25">
        <v>0</v>
      </c>
      <c r="H154" s="25">
        <v>0</v>
      </c>
    </row>
    <row r="155" spans="1:8" ht="30.75" customHeight="1" x14ac:dyDescent="0.2">
      <c r="A155" s="18" t="s">
        <v>604</v>
      </c>
      <c r="B155" s="19" t="s">
        <v>16</v>
      </c>
      <c r="C155" s="19" t="s">
        <v>21</v>
      </c>
      <c r="D155" s="19" t="s">
        <v>603</v>
      </c>
      <c r="E155" s="19"/>
      <c r="F155" s="20">
        <f>F156</f>
        <v>10</v>
      </c>
      <c r="G155" s="20">
        <f t="shared" ref="G155:H155" si="26">G156</f>
        <v>0</v>
      </c>
      <c r="H155" s="20">
        <f t="shared" si="26"/>
        <v>0</v>
      </c>
    </row>
    <row r="156" spans="1:8" s="26" customFormat="1" ht="30.75" customHeight="1" x14ac:dyDescent="0.2">
      <c r="A156" s="28" t="s">
        <v>119</v>
      </c>
      <c r="B156" s="24" t="s">
        <v>16</v>
      </c>
      <c r="C156" s="24" t="s">
        <v>21</v>
      </c>
      <c r="D156" s="24" t="s">
        <v>603</v>
      </c>
      <c r="E156" s="24" t="s">
        <v>62</v>
      </c>
      <c r="F156" s="25">
        <v>10</v>
      </c>
      <c r="G156" s="25">
        <v>0</v>
      </c>
      <c r="H156" s="25">
        <v>0</v>
      </c>
    </row>
    <row r="157" spans="1:8" s="21" customFormat="1" ht="15.75" x14ac:dyDescent="0.25">
      <c r="A157" s="122" t="s">
        <v>27</v>
      </c>
      <c r="B157" s="121" t="s">
        <v>28</v>
      </c>
      <c r="C157" s="121" t="s">
        <v>350</v>
      </c>
      <c r="D157" s="121"/>
      <c r="E157" s="121"/>
      <c r="F157" s="176">
        <f>F158+F182+F199+F225</f>
        <v>656880.02938000008</v>
      </c>
      <c r="G157" s="176">
        <f>G158+G182+G199+G225</f>
        <v>208167.46</v>
      </c>
      <c r="H157" s="176">
        <f>H158+H182+H199+H225</f>
        <v>119080.53200000001</v>
      </c>
    </row>
    <row r="158" spans="1:8" s="77" customFormat="1" x14ac:dyDescent="0.2">
      <c r="A158" s="63" t="s">
        <v>29</v>
      </c>
      <c r="B158" s="65" t="s">
        <v>28</v>
      </c>
      <c r="C158" s="65" t="s">
        <v>10</v>
      </c>
      <c r="D158" s="65"/>
      <c r="E158" s="65"/>
      <c r="F158" s="66">
        <f>F174+F176+F180+F178+F165+F172+F162+F159+F167+F169</f>
        <v>211980.40581</v>
      </c>
      <c r="G158" s="66">
        <f>G174+G176+G180+G178+G165+G172+G162+G159</f>
        <v>167110.96</v>
      </c>
      <c r="H158" s="66">
        <f>H174+H176+H180+H178+H165+H172+H162+H159</f>
        <v>83344.032000000007</v>
      </c>
    </row>
    <row r="159" spans="1:8" ht="51" x14ac:dyDescent="0.2">
      <c r="A159" s="18" t="s">
        <v>634</v>
      </c>
      <c r="B159" s="19" t="s">
        <v>28</v>
      </c>
      <c r="C159" s="19" t="s">
        <v>10</v>
      </c>
      <c r="D159" s="19" t="s">
        <v>628</v>
      </c>
      <c r="E159" s="19"/>
      <c r="F159" s="20">
        <f>F160+F161</f>
        <v>175340.65198</v>
      </c>
      <c r="G159" s="20">
        <f t="shared" ref="G159:H159" si="27">G160+G161</f>
        <v>140373.2064</v>
      </c>
      <c r="H159" s="20">
        <f t="shared" si="27"/>
        <v>0</v>
      </c>
    </row>
    <row r="160" spans="1:8" ht="25.5" x14ac:dyDescent="0.2">
      <c r="A160" s="28" t="s">
        <v>79</v>
      </c>
      <c r="B160" s="19" t="s">
        <v>28</v>
      </c>
      <c r="C160" s="19" t="s">
        <v>10</v>
      </c>
      <c r="D160" s="24" t="s">
        <v>628</v>
      </c>
      <c r="E160" s="19" t="s">
        <v>68</v>
      </c>
      <c r="F160" s="20">
        <f>'изм июнь вед стр-ра'!G94</f>
        <v>85831.981480000002</v>
      </c>
      <c r="G160" s="20">
        <f>'изм июнь вед стр-ра'!H94</f>
        <v>72661.518339999995</v>
      </c>
      <c r="H160" s="20">
        <f>'изм июнь вед стр-ра'!I94</f>
        <v>0</v>
      </c>
    </row>
    <row r="161" spans="1:8" s="26" customFormat="1" x14ac:dyDescent="0.2">
      <c r="A161" s="28" t="s">
        <v>69</v>
      </c>
      <c r="B161" s="24" t="s">
        <v>28</v>
      </c>
      <c r="C161" s="24" t="s">
        <v>10</v>
      </c>
      <c r="D161" s="24" t="s">
        <v>628</v>
      </c>
      <c r="E161" s="24" t="s">
        <v>70</v>
      </c>
      <c r="F161" s="25">
        <f>'изм июнь вед стр-ра'!G95</f>
        <v>89508.670499999993</v>
      </c>
      <c r="G161" s="25">
        <f>'изм июнь вед стр-ра'!H95</f>
        <v>67711.68806</v>
      </c>
      <c r="H161" s="25">
        <f>'изм июнь вед стр-ра'!I95</f>
        <v>0</v>
      </c>
    </row>
    <row r="162" spans="1:8" s="77" customFormat="1" ht="63.75" x14ac:dyDescent="0.2">
      <c r="A162" s="68" t="s">
        <v>635</v>
      </c>
      <c r="B162" s="70" t="s">
        <v>28</v>
      </c>
      <c r="C162" s="70" t="s">
        <v>10</v>
      </c>
      <c r="D162" s="19" t="s">
        <v>629</v>
      </c>
      <c r="E162" s="70"/>
      <c r="F162" s="71">
        <f>F163+F164</f>
        <v>4335.3439099999996</v>
      </c>
      <c r="G162" s="71">
        <f t="shared" ref="G162:H162" si="28">G163+G164</f>
        <v>26737.7536</v>
      </c>
      <c r="H162" s="71">
        <f t="shared" si="28"/>
        <v>83344.032000000007</v>
      </c>
    </row>
    <row r="163" spans="1:8" s="77" customFormat="1" ht="25.5" x14ac:dyDescent="0.2">
      <c r="A163" s="80" t="s">
        <v>79</v>
      </c>
      <c r="B163" s="75" t="s">
        <v>28</v>
      </c>
      <c r="C163" s="75" t="s">
        <v>10</v>
      </c>
      <c r="D163" s="24" t="s">
        <v>629</v>
      </c>
      <c r="E163" s="75" t="s">
        <v>68</v>
      </c>
      <c r="F163" s="71">
        <f>'изм июнь вед стр-ра'!G97</f>
        <v>2106.9</v>
      </c>
      <c r="G163" s="71">
        <f>'изм июнь вед стр-ра'!H97</f>
        <v>13576</v>
      </c>
      <c r="H163" s="71">
        <f>'изм июнь вед стр-ра'!I97</f>
        <v>41849.699999999997</v>
      </c>
    </row>
    <row r="164" spans="1:8" s="77" customFormat="1" x14ac:dyDescent="0.2">
      <c r="A164" s="28" t="s">
        <v>69</v>
      </c>
      <c r="B164" s="75" t="s">
        <v>28</v>
      </c>
      <c r="C164" s="75" t="s">
        <v>10</v>
      </c>
      <c r="D164" s="24" t="s">
        <v>629</v>
      </c>
      <c r="E164" s="75" t="s">
        <v>70</v>
      </c>
      <c r="F164" s="71">
        <f>'изм июнь вед стр-ра'!G98</f>
        <v>2228.44391</v>
      </c>
      <c r="G164" s="71">
        <f>'изм июнь вед стр-ра'!H98</f>
        <v>13161.7536</v>
      </c>
      <c r="H164" s="71">
        <f>'изм июнь вед стр-ра'!I98</f>
        <v>41494.332000000002</v>
      </c>
    </row>
    <row r="165" spans="1:8" s="72" customFormat="1" ht="52.5" customHeight="1" x14ac:dyDescent="0.2">
      <c r="A165" s="68" t="s">
        <v>635</v>
      </c>
      <c r="B165" s="70" t="s">
        <v>28</v>
      </c>
      <c r="C165" s="70" t="s">
        <v>10</v>
      </c>
      <c r="D165" s="70" t="s">
        <v>632</v>
      </c>
      <c r="E165" s="92"/>
      <c r="F165" s="71">
        <f>F166</f>
        <v>1277</v>
      </c>
      <c r="G165" s="55">
        <v>0</v>
      </c>
      <c r="H165" s="55">
        <v>0</v>
      </c>
    </row>
    <row r="166" spans="1:8" s="77" customFormat="1" ht="25.5" x14ac:dyDescent="0.2">
      <c r="A166" s="80" t="s">
        <v>79</v>
      </c>
      <c r="B166" s="75" t="s">
        <v>28</v>
      </c>
      <c r="C166" s="75" t="s">
        <v>10</v>
      </c>
      <c r="D166" s="70" t="s">
        <v>632</v>
      </c>
      <c r="E166" s="76" t="s">
        <v>68</v>
      </c>
      <c r="F166" s="55">
        <f>'изм июнь вед стр-ра'!G100</f>
        <v>1277</v>
      </c>
      <c r="G166" s="55">
        <f>'изм июнь вед стр-ра'!H100</f>
        <v>0</v>
      </c>
      <c r="H166" s="55">
        <f>'изм июнь вед стр-ра'!I100</f>
        <v>0</v>
      </c>
    </row>
    <row r="167" spans="1:8" ht="51" x14ac:dyDescent="0.2">
      <c r="A167" s="18" t="s">
        <v>653</v>
      </c>
      <c r="B167" s="19" t="s">
        <v>28</v>
      </c>
      <c r="C167" s="19" t="s">
        <v>10</v>
      </c>
      <c r="D167" s="19" t="s">
        <v>654</v>
      </c>
      <c r="E167" s="19"/>
      <c r="F167" s="20">
        <f>F168</f>
        <v>167.57162</v>
      </c>
      <c r="G167" s="20">
        <f t="shared" ref="G167:H167" si="29">G168</f>
        <v>0</v>
      </c>
      <c r="H167" s="20">
        <f t="shared" si="29"/>
        <v>0</v>
      </c>
    </row>
    <row r="168" spans="1:8" ht="25.5" x14ac:dyDescent="0.2">
      <c r="A168" s="28" t="s">
        <v>79</v>
      </c>
      <c r="B168" s="19" t="s">
        <v>28</v>
      </c>
      <c r="C168" s="19" t="s">
        <v>10</v>
      </c>
      <c r="D168" s="19" t="s">
        <v>654</v>
      </c>
      <c r="E168" s="19" t="s">
        <v>68</v>
      </c>
      <c r="F168" s="20">
        <f>'изм июнь вед стр-ра'!G102</f>
        <v>167.57162</v>
      </c>
      <c r="G168" s="20">
        <f>'изм июнь вед стр-ра'!H102</f>
        <v>0</v>
      </c>
      <c r="H168" s="20">
        <f>'изм июнь вед стр-ра'!I102</f>
        <v>0</v>
      </c>
    </row>
    <row r="169" spans="1:8" s="77" customFormat="1" ht="51" x14ac:dyDescent="0.2">
      <c r="A169" s="68" t="s">
        <v>653</v>
      </c>
      <c r="B169" s="70" t="s">
        <v>28</v>
      </c>
      <c r="C169" s="70" t="s">
        <v>10</v>
      </c>
      <c r="D169" s="70" t="s">
        <v>655</v>
      </c>
      <c r="E169" s="70"/>
      <c r="F169" s="71">
        <f>F170+F171</f>
        <v>1986.1383000000001</v>
      </c>
      <c r="G169" s="71">
        <f t="shared" ref="G169:H169" si="30">G170+G171</f>
        <v>0</v>
      </c>
      <c r="H169" s="71">
        <f t="shared" si="30"/>
        <v>0</v>
      </c>
    </row>
    <row r="170" spans="1:8" s="77" customFormat="1" ht="25.5" x14ac:dyDescent="0.2">
      <c r="A170" s="80" t="s">
        <v>79</v>
      </c>
      <c r="B170" s="75" t="s">
        <v>28</v>
      </c>
      <c r="C170" s="75" t="s">
        <v>10</v>
      </c>
      <c r="D170" s="75" t="s">
        <v>655</v>
      </c>
      <c r="E170" s="75" t="s">
        <v>68</v>
      </c>
      <c r="F170" s="71">
        <f>'изм июнь вед стр-ра'!G104</f>
        <v>262.81376</v>
      </c>
      <c r="G170" s="71">
        <f>'изм июнь вед стр-ра'!H104</f>
        <v>0</v>
      </c>
      <c r="H170" s="71">
        <f>'изм июнь вед стр-ра'!I104</f>
        <v>0</v>
      </c>
    </row>
    <row r="171" spans="1:8" s="77" customFormat="1" x14ac:dyDescent="0.2">
      <c r="A171" s="28" t="s">
        <v>69</v>
      </c>
      <c r="B171" s="75" t="s">
        <v>28</v>
      </c>
      <c r="C171" s="75" t="s">
        <v>10</v>
      </c>
      <c r="D171" s="75" t="s">
        <v>655</v>
      </c>
      <c r="E171" s="75" t="s">
        <v>70</v>
      </c>
      <c r="F171" s="71">
        <f>'изм июнь вед стр-ра'!G105</f>
        <v>1723.3245400000001</v>
      </c>
      <c r="G171" s="71">
        <f>'изм июнь вед стр-ра'!H105</f>
        <v>0</v>
      </c>
      <c r="H171" s="71">
        <f>'изм июнь вед стр-ра'!I105</f>
        <v>0</v>
      </c>
    </row>
    <row r="172" spans="1:8" s="26" customFormat="1" ht="25.5" x14ac:dyDescent="0.2">
      <c r="A172" s="28" t="s">
        <v>310</v>
      </c>
      <c r="B172" s="24" t="s">
        <v>28</v>
      </c>
      <c r="C172" s="24" t="s">
        <v>10</v>
      </c>
      <c r="D172" s="27" t="s">
        <v>311</v>
      </c>
      <c r="E172" s="25"/>
      <c r="F172" s="25">
        <f>F173</f>
        <v>1500</v>
      </c>
      <c r="G172" s="25">
        <f t="shared" ref="G172:H172" si="31">G173</f>
        <v>0</v>
      </c>
      <c r="H172" s="25">
        <f t="shared" si="31"/>
        <v>0</v>
      </c>
    </row>
    <row r="173" spans="1:8" s="26" customFormat="1" ht="25.5" x14ac:dyDescent="0.2">
      <c r="A173" s="28" t="s">
        <v>73</v>
      </c>
      <c r="B173" s="24" t="s">
        <v>28</v>
      </c>
      <c r="C173" s="24" t="s">
        <v>10</v>
      </c>
      <c r="D173" s="27" t="s">
        <v>311</v>
      </c>
      <c r="E173" s="25" t="s">
        <v>65</v>
      </c>
      <c r="F173" s="25">
        <f>'изм июнь вед стр-ра'!G548</f>
        <v>1500</v>
      </c>
      <c r="G173" s="25">
        <f>'изм июнь вед стр-ра'!H548</f>
        <v>0</v>
      </c>
      <c r="H173" s="25">
        <f>'изм июнь вед стр-ра'!I548</f>
        <v>0</v>
      </c>
    </row>
    <row r="174" spans="1:8" s="21" customFormat="1" x14ac:dyDescent="0.2">
      <c r="A174" s="18" t="s">
        <v>145</v>
      </c>
      <c r="B174" s="19" t="s">
        <v>28</v>
      </c>
      <c r="C174" s="19" t="s">
        <v>10</v>
      </c>
      <c r="D174" s="19" t="s">
        <v>144</v>
      </c>
      <c r="E174" s="19"/>
      <c r="F174" s="20">
        <f>F175</f>
        <v>16276.1</v>
      </c>
      <c r="G174" s="20">
        <f t="shared" ref="G174:H174" si="32">G175</f>
        <v>0</v>
      </c>
      <c r="H174" s="20">
        <f t="shared" si="32"/>
        <v>0</v>
      </c>
    </row>
    <row r="175" spans="1:8" s="21" customFormat="1" ht="25.5" x14ac:dyDescent="0.2">
      <c r="A175" s="28" t="s">
        <v>79</v>
      </c>
      <c r="B175" s="24" t="s">
        <v>28</v>
      </c>
      <c r="C175" s="24" t="s">
        <v>10</v>
      </c>
      <c r="D175" s="19" t="s">
        <v>144</v>
      </c>
      <c r="E175" s="24" t="s">
        <v>68</v>
      </c>
      <c r="F175" s="55">
        <f>'изм июнь вед стр-ра'!G107</f>
        <v>16276.1</v>
      </c>
      <c r="G175" s="55">
        <f>'изм июнь вед стр-ра'!H107</f>
        <v>0</v>
      </c>
      <c r="H175" s="55">
        <f>'изм июнь вед стр-ра'!I107</f>
        <v>0</v>
      </c>
    </row>
    <row r="176" spans="1:8" s="72" customFormat="1" x14ac:dyDescent="0.2">
      <c r="A176" s="68" t="s">
        <v>147</v>
      </c>
      <c r="B176" s="70" t="s">
        <v>28</v>
      </c>
      <c r="C176" s="70" t="s">
        <v>10</v>
      </c>
      <c r="D176" s="75" t="s">
        <v>146</v>
      </c>
      <c r="E176" s="70"/>
      <c r="F176" s="71">
        <f>+F177</f>
        <v>8188.5000000000009</v>
      </c>
      <c r="G176" s="71">
        <f t="shared" ref="G176:H176" si="33">+G177</f>
        <v>0</v>
      </c>
      <c r="H176" s="71">
        <f t="shared" si="33"/>
        <v>0</v>
      </c>
    </row>
    <row r="177" spans="1:8" s="21" customFormat="1" ht="25.5" x14ac:dyDescent="0.2">
      <c r="A177" s="28" t="s">
        <v>73</v>
      </c>
      <c r="B177" s="19" t="s">
        <v>28</v>
      </c>
      <c r="C177" s="19" t="s">
        <v>10</v>
      </c>
      <c r="D177" s="24" t="s">
        <v>146</v>
      </c>
      <c r="E177" s="24" t="s">
        <v>65</v>
      </c>
      <c r="F177" s="25">
        <f>'изм июнь вед стр-ра'!G109</f>
        <v>8188.5000000000009</v>
      </c>
      <c r="G177" s="25">
        <f>'изм июнь вед стр-ра'!H109</f>
        <v>0</v>
      </c>
      <c r="H177" s="25">
        <f>'изм июнь вед стр-ра'!I109</f>
        <v>0</v>
      </c>
    </row>
    <row r="178" spans="1:8" s="21" customFormat="1" ht="25.5" x14ac:dyDescent="0.2">
      <c r="A178" s="18" t="s">
        <v>187</v>
      </c>
      <c r="B178" s="19" t="s">
        <v>28</v>
      </c>
      <c r="C178" s="19" t="s">
        <v>10</v>
      </c>
      <c r="D178" s="19" t="s">
        <v>188</v>
      </c>
      <c r="E178" s="19"/>
      <c r="F178" s="20">
        <f>F179</f>
        <v>1201.0999999999999</v>
      </c>
      <c r="G178" s="20">
        <f>G179</f>
        <v>0</v>
      </c>
      <c r="H178" s="20">
        <f>H179</f>
        <v>0</v>
      </c>
    </row>
    <row r="179" spans="1:8" s="21" customFormat="1" ht="25.5" x14ac:dyDescent="0.2">
      <c r="A179" s="28" t="s">
        <v>73</v>
      </c>
      <c r="B179" s="24" t="s">
        <v>28</v>
      </c>
      <c r="C179" s="24" t="s">
        <v>10</v>
      </c>
      <c r="D179" s="24" t="s">
        <v>188</v>
      </c>
      <c r="E179" s="24" t="s">
        <v>65</v>
      </c>
      <c r="F179" s="25">
        <f>'изм июнь вед стр-ра'!G212</f>
        <v>1201.0999999999999</v>
      </c>
      <c r="G179" s="25">
        <f>'изм июнь вед стр-ра'!H212</f>
        <v>0</v>
      </c>
      <c r="H179" s="25">
        <f>'изм июнь вед стр-ра'!I212</f>
        <v>0</v>
      </c>
    </row>
    <row r="180" spans="1:8" s="21" customFormat="1" x14ac:dyDescent="0.2">
      <c r="A180" s="18" t="s">
        <v>329</v>
      </c>
      <c r="B180" s="19" t="s">
        <v>28</v>
      </c>
      <c r="C180" s="19" t="s">
        <v>10</v>
      </c>
      <c r="D180" s="19" t="s">
        <v>330</v>
      </c>
      <c r="E180" s="19"/>
      <c r="F180" s="20">
        <f>F181</f>
        <v>1708</v>
      </c>
      <c r="G180" s="20">
        <f>G181</f>
        <v>0</v>
      </c>
      <c r="H180" s="20">
        <f>H181</f>
        <v>0</v>
      </c>
    </row>
    <row r="181" spans="1:8" s="21" customFormat="1" ht="25.5" x14ac:dyDescent="0.2">
      <c r="A181" s="18" t="s">
        <v>73</v>
      </c>
      <c r="B181" s="24" t="s">
        <v>28</v>
      </c>
      <c r="C181" s="24" t="s">
        <v>10</v>
      </c>
      <c r="D181" s="24" t="s">
        <v>330</v>
      </c>
      <c r="E181" s="24" t="s">
        <v>65</v>
      </c>
      <c r="F181" s="25">
        <f>'изм июнь вед стр-ра'!G546</f>
        <v>1708</v>
      </c>
      <c r="G181" s="25">
        <f>'изм июнь вед стр-ра'!H546</f>
        <v>0</v>
      </c>
      <c r="H181" s="25">
        <f>'изм июнь вед стр-ра'!I546</f>
        <v>0</v>
      </c>
    </row>
    <row r="182" spans="1:8" s="72" customFormat="1" x14ac:dyDescent="0.2">
      <c r="A182" s="63" t="s">
        <v>30</v>
      </c>
      <c r="B182" s="65" t="s">
        <v>28</v>
      </c>
      <c r="C182" s="65" t="s">
        <v>12</v>
      </c>
      <c r="D182" s="65"/>
      <c r="E182" s="65"/>
      <c r="F182" s="66">
        <f>F183+F189+F191+F193+F187+F195+F197+F185</f>
        <v>362129</v>
      </c>
      <c r="G182" s="66">
        <f t="shared" ref="G182:H182" si="34">G183+G189+G191+G193+G187+G195+G197+G185</f>
        <v>0</v>
      </c>
      <c r="H182" s="66">
        <f t="shared" si="34"/>
        <v>0</v>
      </c>
    </row>
    <row r="183" spans="1:8" s="72" customFormat="1" ht="25.5" x14ac:dyDescent="0.2">
      <c r="A183" s="82" t="s">
        <v>253</v>
      </c>
      <c r="B183" s="70" t="s">
        <v>28</v>
      </c>
      <c r="C183" s="70" t="s">
        <v>12</v>
      </c>
      <c r="D183" s="70" t="s">
        <v>252</v>
      </c>
      <c r="E183" s="70"/>
      <c r="F183" s="71">
        <f>+F184</f>
        <v>1263.9000000000001</v>
      </c>
      <c r="G183" s="71">
        <f t="shared" ref="G183:H183" si="35">+G184</f>
        <v>0</v>
      </c>
      <c r="H183" s="71">
        <f t="shared" si="35"/>
        <v>0</v>
      </c>
    </row>
    <row r="184" spans="1:8" s="21" customFormat="1" ht="25.5" x14ac:dyDescent="0.2">
      <c r="A184" s="28" t="s">
        <v>73</v>
      </c>
      <c r="B184" s="24" t="s">
        <v>28</v>
      </c>
      <c r="C184" s="24" t="s">
        <v>12</v>
      </c>
      <c r="D184" s="24" t="s">
        <v>252</v>
      </c>
      <c r="E184" s="24" t="s">
        <v>65</v>
      </c>
      <c r="F184" s="25">
        <f>'изм июнь вед стр-ра'!G551</f>
        <v>1263.9000000000001</v>
      </c>
      <c r="G184" s="25">
        <f>'изм июнь вед стр-ра'!H551</f>
        <v>0</v>
      </c>
      <c r="H184" s="25">
        <f>'изм июнь вед стр-ра'!I551</f>
        <v>0</v>
      </c>
    </row>
    <row r="185" spans="1:8" ht="25.5" x14ac:dyDescent="0.2">
      <c r="A185" s="18" t="s">
        <v>584</v>
      </c>
      <c r="B185" s="19" t="s">
        <v>28</v>
      </c>
      <c r="C185" s="19" t="s">
        <v>12</v>
      </c>
      <c r="D185" s="19" t="s">
        <v>585</v>
      </c>
      <c r="E185" s="19"/>
      <c r="F185" s="25">
        <f>F186</f>
        <v>800</v>
      </c>
      <c r="G185" s="25">
        <f t="shared" ref="G185:H185" si="36">G186</f>
        <v>0</v>
      </c>
      <c r="H185" s="25">
        <f t="shared" si="36"/>
        <v>0</v>
      </c>
    </row>
    <row r="186" spans="1:8" ht="25.5" x14ac:dyDescent="0.2">
      <c r="A186" s="28" t="s">
        <v>73</v>
      </c>
      <c r="B186" s="24" t="s">
        <v>28</v>
      </c>
      <c r="C186" s="24" t="s">
        <v>12</v>
      </c>
      <c r="D186" s="24" t="s">
        <v>585</v>
      </c>
      <c r="E186" s="24" t="s">
        <v>65</v>
      </c>
      <c r="F186" s="25">
        <f>'изм июнь вед стр-ра'!G553</f>
        <v>800</v>
      </c>
      <c r="G186" s="25">
        <f>'изм июнь вед стр-ра'!H553</f>
        <v>0</v>
      </c>
      <c r="H186" s="25">
        <f>'изм июнь вед стр-ра'!I553</f>
        <v>0</v>
      </c>
    </row>
    <row r="187" spans="1:8" s="81" customFormat="1" ht="18" customHeight="1" x14ac:dyDescent="0.2">
      <c r="A187" s="82" t="s">
        <v>293</v>
      </c>
      <c r="B187" s="70" t="s">
        <v>28</v>
      </c>
      <c r="C187" s="70" t="s">
        <v>12</v>
      </c>
      <c r="D187" s="70" t="s">
        <v>292</v>
      </c>
      <c r="E187" s="70"/>
      <c r="F187" s="71">
        <f>F188</f>
        <v>14349.1</v>
      </c>
      <c r="G187" s="71">
        <f>G188</f>
        <v>0</v>
      </c>
      <c r="H187" s="71">
        <f>H188</f>
        <v>0</v>
      </c>
    </row>
    <row r="188" spans="1:8" s="81" customFormat="1" ht="25.5" x14ac:dyDescent="0.2">
      <c r="A188" s="80" t="s">
        <v>73</v>
      </c>
      <c r="B188" s="75" t="s">
        <v>28</v>
      </c>
      <c r="C188" s="75" t="s">
        <v>12</v>
      </c>
      <c r="D188" s="75" t="s">
        <v>292</v>
      </c>
      <c r="E188" s="75" t="s">
        <v>65</v>
      </c>
      <c r="F188" s="55">
        <f>'изм июнь вед стр-ра'!G555</f>
        <v>14349.1</v>
      </c>
      <c r="G188" s="55">
        <f>'изм июнь вед стр-ра'!H555</f>
        <v>0</v>
      </c>
      <c r="H188" s="55">
        <f>'изм июнь вед стр-ра'!I555</f>
        <v>0</v>
      </c>
    </row>
    <row r="189" spans="1:8" s="21" customFormat="1" ht="54.75" customHeight="1" x14ac:dyDescent="0.2">
      <c r="A189" s="18" t="s">
        <v>402</v>
      </c>
      <c r="B189" s="19" t="s">
        <v>28</v>
      </c>
      <c r="C189" s="19" t="s">
        <v>12</v>
      </c>
      <c r="D189" s="19" t="s">
        <v>254</v>
      </c>
      <c r="E189" s="19"/>
      <c r="F189" s="20">
        <f>F190</f>
        <v>275653.39999999997</v>
      </c>
      <c r="G189" s="20">
        <f>G190</f>
        <v>0</v>
      </c>
      <c r="H189" s="20">
        <f>H190</f>
        <v>0</v>
      </c>
    </row>
    <row r="190" spans="1:8" s="72" customFormat="1" x14ac:dyDescent="0.2">
      <c r="A190" s="80" t="s">
        <v>69</v>
      </c>
      <c r="B190" s="75" t="s">
        <v>28</v>
      </c>
      <c r="C190" s="75" t="s">
        <v>12</v>
      </c>
      <c r="D190" s="75" t="s">
        <v>254</v>
      </c>
      <c r="E190" s="75" t="s">
        <v>70</v>
      </c>
      <c r="F190" s="55">
        <f>'изм июнь вед стр-ра'!G557</f>
        <v>275653.39999999997</v>
      </c>
      <c r="G190" s="55">
        <f>'изм июнь вед стр-ра'!H557</f>
        <v>0</v>
      </c>
      <c r="H190" s="55">
        <f>'изм июнь вед стр-ра'!I557</f>
        <v>0</v>
      </c>
    </row>
    <row r="191" spans="1:8" s="21" customFormat="1" ht="63.75" x14ac:dyDescent="0.2">
      <c r="A191" s="17" t="s">
        <v>400</v>
      </c>
      <c r="B191" s="19" t="s">
        <v>28</v>
      </c>
      <c r="C191" s="19" t="s">
        <v>12</v>
      </c>
      <c r="D191" s="19" t="s">
        <v>255</v>
      </c>
      <c r="E191" s="19"/>
      <c r="F191" s="20">
        <f>F192</f>
        <v>13355.2</v>
      </c>
      <c r="G191" s="20">
        <f>G192</f>
        <v>0</v>
      </c>
      <c r="H191" s="20">
        <f>H192</f>
        <v>0</v>
      </c>
    </row>
    <row r="192" spans="1:8" s="21" customFormat="1" x14ac:dyDescent="0.2">
      <c r="A192" s="28" t="s">
        <v>69</v>
      </c>
      <c r="B192" s="24" t="s">
        <v>28</v>
      </c>
      <c r="C192" s="24" t="s">
        <v>12</v>
      </c>
      <c r="D192" s="24" t="s">
        <v>255</v>
      </c>
      <c r="E192" s="24" t="s">
        <v>70</v>
      </c>
      <c r="F192" s="25">
        <f>'изм июнь вед стр-ра'!G559</f>
        <v>13355.2</v>
      </c>
      <c r="G192" s="25">
        <f>'изм июнь вед стр-ра'!H559</f>
        <v>0</v>
      </c>
      <c r="H192" s="25">
        <f>'изм июнь вед стр-ра'!I559</f>
        <v>0</v>
      </c>
    </row>
    <row r="193" spans="1:8" s="21" customFormat="1" ht="38.25" x14ac:dyDescent="0.2">
      <c r="A193" s="18" t="s">
        <v>257</v>
      </c>
      <c r="B193" s="19" t="s">
        <v>28</v>
      </c>
      <c r="C193" s="19" t="s">
        <v>12</v>
      </c>
      <c r="D193" s="19" t="s">
        <v>256</v>
      </c>
      <c r="E193" s="19"/>
      <c r="F193" s="20">
        <f>F194</f>
        <v>4904.5</v>
      </c>
      <c r="G193" s="20">
        <f>G194</f>
        <v>0</v>
      </c>
      <c r="H193" s="20">
        <f>H194</f>
        <v>0</v>
      </c>
    </row>
    <row r="194" spans="1:8" s="21" customFormat="1" x14ac:dyDescent="0.2">
      <c r="A194" s="28" t="s">
        <v>69</v>
      </c>
      <c r="B194" s="24" t="s">
        <v>28</v>
      </c>
      <c r="C194" s="24" t="s">
        <v>12</v>
      </c>
      <c r="D194" s="24" t="s">
        <v>256</v>
      </c>
      <c r="E194" s="24" t="s">
        <v>70</v>
      </c>
      <c r="F194" s="25">
        <f>'изм июнь вед стр-ра'!G561</f>
        <v>4904.5</v>
      </c>
      <c r="G194" s="25">
        <f>'изм июнь вед стр-ра'!H561</f>
        <v>0</v>
      </c>
      <c r="H194" s="25">
        <f>'изм июнь вед стр-ра'!I561</f>
        <v>0</v>
      </c>
    </row>
    <row r="195" spans="1:8" ht="63.75" x14ac:dyDescent="0.2">
      <c r="A195" s="18" t="s">
        <v>570</v>
      </c>
      <c r="B195" s="19" t="s">
        <v>28</v>
      </c>
      <c r="C195" s="19" t="s">
        <v>12</v>
      </c>
      <c r="D195" s="19" t="s">
        <v>563</v>
      </c>
      <c r="E195" s="19"/>
      <c r="F195" s="20">
        <f t="shared" ref="F195:H195" si="37">F196</f>
        <v>44670</v>
      </c>
      <c r="G195" s="20">
        <f t="shared" si="37"/>
        <v>0</v>
      </c>
      <c r="H195" s="20">
        <f t="shared" si="37"/>
        <v>0</v>
      </c>
    </row>
    <row r="196" spans="1:8" s="26" customFormat="1" x14ac:dyDescent="0.2">
      <c r="A196" s="28" t="s">
        <v>69</v>
      </c>
      <c r="B196" s="24" t="s">
        <v>28</v>
      </c>
      <c r="C196" s="24" t="s">
        <v>12</v>
      </c>
      <c r="D196" s="24" t="s">
        <v>563</v>
      </c>
      <c r="E196" s="24" t="s">
        <v>70</v>
      </c>
      <c r="F196" s="25">
        <f>'изм июнь вед стр-ра'!G563</f>
        <v>44670</v>
      </c>
      <c r="G196" s="25">
        <f>'изм июнь вед стр-ра'!H563</f>
        <v>0</v>
      </c>
      <c r="H196" s="25">
        <f>'изм июнь вед стр-ра'!I563</f>
        <v>0</v>
      </c>
    </row>
    <row r="197" spans="1:8" s="26" customFormat="1" ht="25.5" x14ac:dyDescent="0.2">
      <c r="A197" s="28" t="s">
        <v>568</v>
      </c>
      <c r="B197" s="24" t="s">
        <v>28</v>
      </c>
      <c r="C197" s="24" t="s">
        <v>12</v>
      </c>
      <c r="D197" s="24" t="s">
        <v>567</v>
      </c>
      <c r="E197" s="25"/>
      <c r="F197" s="25">
        <f>F198</f>
        <v>7132.9</v>
      </c>
      <c r="G197" s="25">
        <f t="shared" ref="G197:H197" si="38">G198</f>
        <v>0</v>
      </c>
      <c r="H197" s="25">
        <f t="shared" si="38"/>
        <v>0</v>
      </c>
    </row>
    <row r="198" spans="1:8" s="26" customFormat="1" x14ac:dyDescent="0.2">
      <c r="A198" s="28" t="s">
        <v>69</v>
      </c>
      <c r="B198" s="24" t="s">
        <v>28</v>
      </c>
      <c r="C198" s="24" t="s">
        <v>12</v>
      </c>
      <c r="D198" s="24" t="s">
        <v>567</v>
      </c>
      <c r="E198" s="25" t="s">
        <v>70</v>
      </c>
      <c r="F198" s="25">
        <f>'изм июнь вед стр-ра'!G565</f>
        <v>7132.9</v>
      </c>
      <c r="G198" s="25">
        <f>'изм июнь вед стр-ра'!H565</f>
        <v>0</v>
      </c>
      <c r="H198" s="25">
        <f>'изм июнь вед стр-ра'!I565</f>
        <v>0</v>
      </c>
    </row>
    <row r="199" spans="1:8" s="72" customFormat="1" x14ac:dyDescent="0.2">
      <c r="A199" s="63" t="s">
        <v>32</v>
      </c>
      <c r="B199" s="65" t="s">
        <v>28</v>
      </c>
      <c r="C199" s="65" t="s">
        <v>14</v>
      </c>
      <c r="D199" s="65"/>
      <c r="E199" s="65"/>
      <c r="F199" s="66">
        <f>F208+F210+F212+F214+F200+F217+F206+F219+F202+F204+F221+F223</f>
        <v>61987.723569999995</v>
      </c>
      <c r="G199" s="66">
        <f t="shared" ref="G199:H199" si="39">G208+G210+G212+G214+G200+G217+G206+G219+G202+G204+G221+G223</f>
        <v>21701.8</v>
      </c>
      <c r="H199" s="66">
        <f t="shared" si="39"/>
        <v>16598.8</v>
      </c>
    </row>
    <row r="200" spans="1:8" s="7" customFormat="1" ht="38.25" x14ac:dyDescent="0.2">
      <c r="A200" s="17" t="s">
        <v>646</v>
      </c>
      <c r="B200" s="19" t="s">
        <v>28</v>
      </c>
      <c r="C200" s="19" t="s">
        <v>14</v>
      </c>
      <c r="D200" s="70" t="s">
        <v>645</v>
      </c>
      <c r="E200" s="19"/>
      <c r="F200" s="20">
        <f>F201</f>
        <v>3381.4995800000002</v>
      </c>
      <c r="G200" s="20">
        <f t="shared" ref="G200:H200" si="40">G201</f>
        <v>2766</v>
      </c>
      <c r="H200" s="20">
        <f t="shared" si="40"/>
        <v>2916.1</v>
      </c>
    </row>
    <row r="201" spans="1:8" s="7" customFormat="1" ht="25.5" x14ac:dyDescent="0.2">
      <c r="A201" s="28" t="s">
        <v>73</v>
      </c>
      <c r="B201" s="24" t="s">
        <v>28</v>
      </c>
      <c r="C201" s="24" t="s">
        <v>14</v>
      </c>
      <c r="D201" s="70" t="s">
        <v>645</v>
      </c>
      <c r="E201" s="24" t="s">
        <v>65</v>
      </c>
      <c r="F201" s="55">
        <f>'изм июнь вед стр-ра'!G568</f>
        <v>3381.4995800000002</v>
      </c>
      <c r="G201" s="55">
        <f>'изм июнь вед стр-ра'!H568</f>
        <v>2766</v>
      </c>
      <c r="H201" s="55">
        <f>'изм июнь вед стр-ра'!I568</f>
        <v>2916.1</v>
      </c>
    </row>
    <row r="202" spans="1:8" s="7" customFormat="1" ht="38.25" x14ac:dyDescent="0.2">
      <c r="A202" s="17" t="s">
        <v>649</v>
      </c>
      <c r="B202" s="19" t="s">
        <v>28</v>
      </c>
      <c r="C202" s="19" t="s">
        <v>14</v>
      </c>
      <c r="D202" s="19" t="s">
        <v>648</v>
      </c>
      <c r="E202" s="19"/>
      <c r="F202" s="20">
        <f>F203</f>
        <v>13831.296999999999</v>
      </c>
      <c r="G202" s="20">
        <f t="shared" ref="G202:H202" si="41">G203</f>
        <v>6666.7</v>
      </c>
      <c r="H202" s="20">
        <f t="shared" si="41"/>
        <v>6666.7</v>
      </c>
    </row>
    <row r="203" spans="1:8" s="7" customFormat="1" ht="25.5" x14ac:dyDescent="0.2">
      <c r="A203" s="28" t="s">
        <v>119</v>
      </c>
      <c r="B203" s="24" t="s">
        <v>28</v>
      </c>
      <c r="C203" s="24" t="s">
        <v>14</v>
      </c>
      <c r="D203" s="19" t="s">
        <v>648</v>
      </c>
      <c r="E203" s="24" t="s">
        <v>62</v>
      </c>
      <c r="F203" s="25">
        <f>'изм июнь вед стр-ра'!G570</f>
        <v>13831.296999999999</v>
      </c>
      <c r="G203" s="25">
        <f>'изм июнь вед стр-ра'!H570</f>
        <v>6666.7</v>
      </c>
      <c r="H203" s="25">
        <f>'изм июнь вед стр-ра'!I570</f>
        <v>6666.7</v>
      </c>
    </row>
    <row r="204" spans="1:8" s="7" customFormat="1" ht="25.5" x14ac:dyDescent="0.2">
      <c r="A204" s="17" t="s">
        <v>305</v>
      </c>
      <c r="B204" s="19" t="s">
        <v>28</v>
      </c>
      <c r="C204" s="19" t="s">
        <v>14</v>
      </c>
      <c r="D204" s="19" t="s">
        <v>625</v>
      </c>
      <c r="E204" s="19"/>
      <c r="F204" s="20">
        <f>F205</f>
        <v>0</v>
      </c>
      <c r="G204" s="20">
        <f>G205</f>
        <v>250</v>
      </c>
      <c r="H204" s="20">
        <f>H205</f>
        <v>0</v>
      </c>
    </row>
    <row r="205" spans="1:8" s="7" customFormat="1" ht="25.5" x14ac:dyDescent="0.2">
      <c r="A205" s="28" t="s">
        <v>73</v>
      </c>
      <c r="B205" s="24" t="s">
        <v>28</v>
      </c>
      <c r="C205" s="24" t="s">
        <v>14</v>
      </c>
      <c r="D205" s="19" t="s">
        <v>627</v>
      </c>
      <c r="E205" s="24" t="s">
        <v>65</v>
      </c>
      <c r="F205" s="25">
        <f>'изм июнь вед стр-ра'!G572</f>
        <v>0</v>
      </c>
      <c r="G205" s="25">
        <f>'изм июнь вед стр-ра'!H572</f>
        <v>250</v>
      </c>
      <c r="H205" s="25">
        <f>'изм июнь вед стр-ра'!I572</f>
        <v>0</v>
      </c>
    </row>
    <row r="206" spans="1:8" s="7" customFormat="1" ht="25.5" x14ac:dyDescent="0.2">
      <c r="A206" s="17" t="s">
        <v>323</v>
      </c>
      <c r="B206" s="19" t="s">
        <v>28</v>
      </c>
      <c r="C206" s="19" t="s">
        <v>14</v>
      </c>
      <c r="D206" s="19" t="s">
        <v>321</v>
      </c>
      <c r="E206" s="19"/>
      <c r="F206" s="20">
        <f>F207</f>
        <v>198.52698999999998</v>
      </c>
      <c r="G206" s="20">
        <f t="shared" ref="G206:H206" si="42">G207</f>
        <v>145.5</v>
      </c>
      <c r="H206" s="20">
        <f t="shared" si="42"/>
        <v>153.5</v>
      </c>
    </row>
    <row r="207" spans="1:8" s="7" customFormat="1" ht="25.5" x14ac:dyDescent="0.2">
      <c r="A207" s="28" t="s">
        <v>73</v>
      </c>
      <c r="B207" s="24" t="s">
        <v>28</v>
      </c>
      <c r="C207" s="24" t="s">
        <v>14</v>
      </c>
      <c r="D207" s="24" t="s">
        <v>322</v>
      </c>
      <c r="E207" s="24" t="s">
        <v>65</v>
      </c>
      <c r="F207" s="25">
        <f>'изм июнь вед стр-ра'!G574</f>
        <v>198.52698999999998</v>
      </c>
      <c r="G207" s="25">
        <f>'изм июнь вед стр-ра'!H574</f>
        <v>145.5</v>
      </c>
      <c r="H207" s="25">
        <f>'изм июнь вед стр-ра'!I574</f>
        <v>153.5</v>
      </c>
    </row>
    <row r="208" spans="1:8" s="72" customFormat="1" x14ac:dyDescent="0.2">
      <c r="A208" s="68" t="s">
        <v>259</v>
      </c>
      <c r="B208" s="70" t="s">
        <v>28</v>
      </c>
      <c r="C208" s="70" t="s">
        <v>14</v>
      </c>
      <c r="D208" s="70" t="s">
        <v>258</v>
      </c>
      <c r="E208" s="70"/>
      <c r="F208" s="71">
        <f>F209</f>
        <v>650</v>
      </c>
      <c r="G208" s="71">
        <f>G209</f>
        <v>650</v>
      </c>
      <c r="H208" s="71">
        <f>H209</f>
        <v>650</v>
      </c>
    </row>
    <row r="209" spans="1:8" s="72" customFormat="1" ht="25.5" x14ac:dyDescent="0.2">
      <c r="A209" s="80" t="s">
        <v>119</v>
      </c>
      <c r="B209" s="75" t="s">
        <v>28</v>
      </c>
      <c r="C209" s="75" t="s">
        <v>14</v>
      </c>
      <c r="D209" s="75" t="s">
        <v>258</v>
      </c>
      <c r="E209" s="75" t="s">
        <v>62</v>
      </c>
      <c r="F209" s="55">
        <f>'изм июнь вед стр-ра'!G576</f>
        <v>650</v>
      </c>
      <c r="G209" s="55">
        <f>'изм июнь вед стр-ра'!H576</f>
        <v>650</v>
      </c>
      <c r="H209" s="55">
        <f>'изм июнь вед стр-ра'!I576</f>
        <v>650</v>
      </c>
    </row>
    <row r="210" spans="1:8" s="21" customFormat="1" ht="25.5" x14ac:dyDescent="0.2">
      <c r="A210" s="18" t="s">
        <v>260</v>
      </c>
      <c r="B210" s="19" t="s">
        <v>28</v>
      </c>
      <c r="C210" s="19" t="s">
        <v>14</v>
      </c>
      <c r="D210" s="19" t="s">
        <v>528</v>
      </c>
      <c r="E210" s="19"/>
      <c r="F210" s="20">
        <f>F211</f>
        <v>3500</v>
      </c>
      <c r="G210" s="20">
        <f>G211</f>
        <v>3500</v>
      </c>
      <c r="H210" s="20">
        <f>H211</f>
        <v>2000</v>
      </c>
    </row>
    <row r="211" spans="1:8" s="21" customFormat="1" ht="25.5" x14ac:dyDescent="0.2">
      <c r="A211" s="28" t="s">
        <v>119</v>
      </c>
      <c r="B211" s="24" t="s">
        <v>28</v>
      </c>
      <c r="C211" s="24" t="s">
        <v>14</v>
      </c>
      <c r="D211" s="24" t="s">
        <v>261</v>
      </c>
      <c r="E211" s="24" t="s">
        <v>62</v>
      </c>
      <c r="F211" s="25">
        <f>'изм июнь вед стр-ра'!G578</f>
        <v>3500</v>
      </c>
      <c r="G211" s="25">
        <f>'изм июнь вед стр-ра'!H578</f>
        <v>3500</v>
      </c>
      <c r="H211" s="25">
        <f>'изм июнь вед стр-ра'!I578</f>
        <v>2000</v>
      </c>
    </row>
    <row r="212" spans="1:8" s="21" customFormat="1" x14ac:dyDescent="0.2">
      <c r="A212" s="18" t="s">
        <v>263</v>
      </c>
      <c r="B212" s="24" t="s">
        <v>28</v>
      </c>
      <c r="C212" s="24" t="s">
        <v>14</v>
      </c>
      <c r="D212" s="19" t="s">
        <v>262</v>
      </c>
      <c r="E212" s="24"/>
      <c r="F212" s="25">
        <f>F213</f>
        <v>582.6</v>
      </c>
      <c r="G212" s="25">
        <f>G213</f>
        <v>500</v>
      </c>
      <c r="H212" s="25">
        <f>H213</f>
        <v>354.3</v>
      </c>
    </row>
    <row r="213" spans="1:8" s="21" customFormat="1" ht="25.5" x14ac:dyDescent="0.2">
      <c r="A213" s="28" t="s">
        <v>119</v>
      </c>
      <c r="B213" s="24" t="s">
        <v>28</v>
      </c>
      <c r="C213" s="24" t="s">
        <v>14</v>
      </c>
      <c r="D213" s="24" t="s">
        <v>262</v>
      </c>
      <c r="E213" s="24" t="s">
        <v>62</v>
      </c>
      <c r="F213" s="25">
        <f>'изм июнь вед стр-ра'!G580</f>
        <v>582.6</v>
      </c>
      <c r="G213" s="25">
        <f>'изм июнь вед стр-ра'!H580</f>
        <v>500</v>
      </c>
      <c r="H213" s="25">
        <f>'изм июнь вед стр-ра'!I580</f>
        <v>354.3</v>
      </c>
    </row>
    <row r="214" spans="1:8" s="72" customFormat="1" ht="25.5" x14ac:dyDescent="0.2">
      <c r="A214" s="68" t="s">
        <v>265</v>
      </c>
      <c r="B214" s="70" t="s">
        <v>28</v>
      </c>
      <c r="C214" s="70" t="s">
        <v>14</v>
      </c>
      <c r="D214" s="98" t="s">
        <v>264</v>
      </c>
      <c r="E214" s="70"/>
      <c r="F214" s="71">
        <f>F216+F215</f>
        <v>9492.1</v>
      </c>
      <c r="G214" s="71">
        <f t="shared" ref="G214:H214" si="43">G216+G215</f>
        <v>6155.6</v>
      </c>
      <c r="H214" s="71">
        <f t="shared" si="43"/>
        <v>2790.2</v>
      </c>
    </row>
    <row r="215" spans="1:8" s="72" customFormat="1" ht="25.5" x14ac:dyDescent="0.2">
      <c r="A215" s="28" t="s">
        <v>73</v>
      </c>
      <c r="B215" s="24" t="s">
        <v>28</v>
      </c>
      <c r="C215" s="24" t="s">
        <v>14</v>
      </c>
      <c r="D215" s="16" t="s">
        <v>264</v>
      </c>
      <c r="E215" s="70" t="s">
        <v>65</v>
      </c>
      <c r="F215" s="71">
        <f>'изм июнь вед стр-ра'!G582</f>
        <v>286</v>
      </c>
      <c r="G215" s="71">
        <f>'изм июнь вед стр-ра'!H582</f>
        <v>0</v>
      </c>
      <c r="H215" s="71">
        <f>'изм июнь вед стр-ра'!I582</f>
        <v>0</v>
      </c>
    </row>
    <row r="216" spans="1:8" s="21" customFormat="1" ht="25.5" x14ac:dyDescent="0.2">
      <c r="A216" s="28" t="s">
        <v>119</v>
      </c>
      <c r="B216" s="24" t="s">
        <v>28</v>
      </c>
      <c r="C216" s="24" t="s">
        <v>14</v>
      </c>
      <c r="D216" s="16" t="s">
        <v>264</v>
      </c>
      <c r="E216" s="24" t="s">
        <v>62</v>
      </c>
      <c r="F216" s="25">
        <f>'изм июнь вед стр-ра'!G583</f>
        <v>9206.1</v>
      </c>
      <c r="G216" s="25">
        <f>'изм июнь вед стр-ра'!H583</f>
        <v>6155.6</v>
      </c>
      <c r="H216" s="25">
        <f>'изм июнь вед стр-ра'!I583</f>
        <v>2790.2</v>
      </c>
    </row>
    <row r="217" spans="1:8" s="21" customFormat="1" x14ac:dyDescent="0.2">
      <c r="A217" s="18" t="s">
        <v>316</v>
      </c>
      <c r="B217" s="19" t="s">
        <v>28</v>
      </c>
      <c r="C217" s="19" t="s">
        <v>14</v>
      </c>
      <c r="D217" s="16" t="s">
        <v>317</v>
      </c>
      <c r="E217" s="19"/>
      <c r="F217" s="20">
        <f>F218</f>
        <v>4000</v>
      </c>
      <c r="G217" s="20">
        <f t="shared" ref="G217:H217" si="44">G218</f>
        <v>0</v>
      </c>
      <c r="H217" s="20">
        <f t="shared" si="44"/>
        <v>0</v>
      </c>
    </row>
    <row r="218" spans="1:8" s="21" customFormat="1" ht="25.5" x14ac:dyDescent="0.2">
      <c r="A218" s="28" t="s">
        <v>119</v>
      </c>
      <c r="B218" s="24" t="s">
        <v>28</v>
      </c>
      <c r="C218" s="24" t="s">
        <v>14</v>
      </c>
      <c r="D218" s="16" t="s">
        <v>317</v>
      </c>
      <c r="E218" s="24" t="s">
        <v>62</v>
      </c>
      <c r="F218" s="25">
        <f>'изм июнь вед стр-ра'!G585</f>
        <v>4000</v>
      </c>
      <c r="G218" s="25">
        <f>'изм июнь вед стр-ра'!H585</f>
        <v>0</v>
      </c>
      <c r="H218" s="25">
        <f>'изм июнь вед стр-ра'!I585</f>
        <v>0</v>
      </c>
    </row>
    <row r="219" spans="1:8" ht="25.5" x14ac:dyDescent="0.2">
      <c r="A219" s="28" t="s">
        <v>620</v>
      </c>
      <c r="B219" s="24" t="s">
        <v>28</v>
      </c>
      <c r="C219" s="16" t="s">
        <v>14</v>
      </c>
      <c r="D219" s="24" t="s">
        <v>621</v>
      </c>
      <c r="E219" s="25"/>
      <c r="F219" s="25">
        <f>F220</f>
        <v>1068</v>
      </c>
      <c r="G219" s="25">
        <f t="shared" ref="G219:H219" si="45">G220</f>
        <v>1068</v>
      </c>
      <c r="H219" s="25">
        <f t="shared" si="45"/>
        <v>1068</v>
      </c>
    </row>
    <row r="220" spans="1:8" ht="25.5" x14ac:dyDescent="0.2">
      <c r="A220" s="28" t="s">
        <v>73</v>
      </c>
      <c r="B220" s="24" t="s">
        <v>28</v>
      </c>
      <c r="C220" s="16" t="s">
        <v>14</v>
      </c>
      <c r="D220" s="24" t="s">
        <v>621</v>
      </c>
      <c r="E220" s="25" t="s">
        <v>65</v>
      </c>
      <c r="F220" s="25">
        <f>'изм июнь вед стр-ра'!G587</f>
        <v>1068</v>
      </c>
      <c r="G220" s="25">
        <f>'изм июнь вед стр-ра'!H587</f>
        <v>1068</v>
      </c>
      <c r="H220" s="25">
        <f>'изм июнь вед стр-ра'!I587</f>
        <v>1068</v>
      </c>
    </row>
    <row r="221" spans="1:8" ht="45" customHeight="1" x14ac:dyDescent="0.2">
      <c r="A221" s="18" t="s">
        <v>693</v>
      </c>
      <c r="B221" s="24" t="s">
        <v>695</v>
      </c>
      <c r="C221" s="16" t="s">
        <v>14</v>
      </c>
      <c r="D221" s="24" t="s">
        <v>692</v>
      </c>
      <c r="E221" s="25">
        <v>200</v>
      </c>
      <c r="F221" s="25">
        <f>F222</f>
        <v>283.7</v>
      </c>
      <c r="G221" s="25"/>
      <c r="H221" s="25"/>
    </row>
    <row r="222" spans="1:8" ht="25.5" x14ac:dyDescent="0.2">
      <c r="A222" s="28" t="s">
        <v>73</v>
      </c>
      <c r="B222" s="24" t="s">
        <v>28</v>
      </c>
      <c r="C222" s="16" t="s">
        <v>14</v>
      </c>
      <c r="D222" s="24" t="s">
        <v>692</v>
      </c>
      <c r="E222" s="25">
        <v>200</v>
      </c>
      <c r="F222" s="25">
        <f>'изм июнь вед стр-ра'!G589</f>
        <v>283.7</v>
      </c>
      <c r="G222" s="25"/>
      <c r="H222" s="25"/>
    </row>
    <row r="223" spans="1:8" ht="51" x14ac:dyDescent="0.2">
      <c r="A223" s="18" t="s">
        <v>669</v>
      </c>
      <c r="B223" s="19" t="s">
        <v>28</v>
      </c>
      <c r="C223" s="19" t="s">
        <v>14</v>
      </c>
      <c r="D223" s="19" t="s">
        <v>696</v>
      </c>
      <c r="E223" s="20"/>
      <c r="F223" s="20">
        <f>F224</f>
        <v>25000</v>
      </c>
      <c r="G223" s="20"/>
      <c r="H223" s="20"/>
    </row>
    <row r="224" spans="1:8" s="26" customFormat="1" ht="25.5" x14ac:dyDescent="0.2">
      <c r="A224" s="28" t="s">
        <v>119</v>
      </c>
      <c r="B224" s="24" t="s">
        <v>695</v>
      </c>
      <c r="C224" s="24" t="s">
        <v>14</v>
      </c>
      <c r="D224" s="24" t="s">
        <v>696</v>
      </c>
      <c r="E224" s="25">
        <v>600</v>
      </c>
      <c r="F224" s="25">
        <f>'изм июнь вед стр-ра'!G591</f>
        <v>25000</v>
      </c>
      <c r="G224" s="25"/>
      <c r="H224" s="25"/>
    </row>
    <row r="225" spans="1:8" s="72" customFormat="1" ht="15.75" customHeight="1" x14ac:dyDescent="0.2">
      <c r="A225" s="63" t="s">
        <v>33</v>
      </c>
      <c r="B225" s="65" t="s">
        <v>28</v>
      </c>
      <c r="C225" s="65" t="s">
        <v>28</v>
      </c>
      <c r="D225" s="65"/>
      <c r="E225" s="65"/>
      <c r="F225" s="66">
        <f>F226+F229</f>
        <v>20782.900000000001</v>
      </c>
      <c r="G225" s="66">
        <f t="shared" ref="G225:H225" si="46">G226+G229</f>
        <v>19354.7</v>
      </c>
      <c r="H225" s="66">
        <f t="shared" si="46"/>
        <v>19137.7</v>
      </c>
    </row>
    <row r="226" spans="1:8" s="21" customFormat="1" ht="25.5" x14ac:dyDescent="0.2">
      <c r="A226" s="18" t="s">
        <v>267</v>
      </c>
      <c r="B226" s="19" t="s">
        <v>28</v>
      </c>
      <c r="C226" s="19" t="s">
        <v>28</v>
      </c>
      <c r="D226" s="19" t="s">
        <v>266</v>
      </c>
      <c r="E226" s="19"/>
      <c r="F226" s="20">
        <f>F227+F228</f>
        <v>5480.6</v>
      </c>
      <c r="G226" s="20">
        <f t="shared" ref="G226:H226" si="47">G227+G228</f>
        <v>4942.5</v>
      </c>
      <c r="H226" s="20">
        <f t="shared" si="47"/>
        <v>4942.5</v>
      </c>
    </row>
    <row r="227" spans="1:8" s="21" customFormat="1" ht="51" x14ac:dyDescent="0.2">
      <c r="A227" s="30" t="s">
        <v>63</v>
      </c>
      <c r="B227" s="24" t="s">
        <v>28</v>
      </c>
      <c r="C227" s="24" t="s">
        <v>28</v>
      </c>
      <c r="D227" s="24" t="s">
        <v>266</v>
      </c>
      <c r="E227" s="24" t="s">
        <v>64</v>
      </c>
      <c r="F227" s="25">
        <f>'изм июнь вед стр-ра'!G594</f>
        <v>5040.2000000000007</v>
      </c>
      <c r="G227" s="25">
        <f>'изм июнь вед стр-ра'!H594</f>
        <v>4896.1000000000004</v>
      </c>
      <c r="H227" s="25">
        <f>'изм июнь вед стр-ра'!I594</f>
        <v>4896.1000000000004</v>
      </c>
    </row>
    <row r="228" spans="1:8" s="21" customFormat="1" ht="25.5" x14ac:dyDescent="0.2">
      <c r="A228" s="28" t="s">
        <v>73</v>
      </c>
      <c r="B228" s="24" t="s">
        <v>28</v>
      </c>
      <c r="C228" s="24" t="s">
        <v>28</v>
      </c>
      <c r="D228" s="24" t="s">
        <v>266</v>
      </c>
      <c r="E228" s="24" t="s">
        <v>65</v>
      </c>
      <c r="F228" s="25">
        <f>'изм июнь вед стр-ра'!G595</f>
        <v>440.4</v>
      </c>
      <c r="G228" s="25">
        <f>'изм июнь вед стр-ра'!H595</f>
        <v>46.4</v>
      </c>
      <c r="H228" s="25">
        <f>'изм июнь вед стр-ра'!I595</f>
        <v>46.4</v>
      </c>
    </row>
    <row r="229" spans="1:8" s="21" customFormat="1" ht="38.25" x14ac:dyDescent="0.2">
      <c r="A229" s="18" t="s">
        <v>269</v>
      </c>
      <c r="B229" s="24" t="s">
        <v>28</v>
      </c>
      <c r="C229" s="24" t="s">
        <v>28</v>
      </c>
      <c r="D229" s="19" t="s">
        <v>268</v>
      </c>
      <c r="E229" s="5"/>
      <c r="F229" s="6">
        <f>F230</f>
        <v>15302.3</v>
      </c>
      <c r="G229" s="6">
        <f>G230</f>
        <v>14412.2</v>
      </c>
      <c r="H229" s="6">
        <f>H230</f>
        <v>14195.2</v>
      </c>
    </row>
    <row r="230" spans="1:8" s="21" customFormat="1" ht="25.5" x14ac:dyDescent="0.2">
      <c r="A230" s="28" t="s">
        <v>119</v>
      </c>
      <c r="B230" s="24" t="s">
        <v>28</v>
      </c>
      <c r="C230" s="24" t="s">
        <v>28</v>
      </c>
      <c r="D230" s="24" t="s">
        <v>268</v>
      </c>
      <c r="E230" s="24" t="s">
        <v>62</v>
      </c>
      <c r="F230" s="25">
        <f>'изм июнь вед стр-ра'!G597</f>
        <v>15302.3</v>
      </c>
      <c r="G230" s="25">
        <f>'изм июнь вед стр-ра'!H597</f>
        <v>14412.2</v>
      </c>
      <c r="H230" s="25">
        <f>'изм июнь вед стр-ра'!I597</f>
        <v>14195.2</v>
      </c>
    </row>
    <row r="231" spans="1:8" s="21" customFormat="1" ht="15.75" x14ac:dyDescent="0.25">
      <c r="A231" s="122" t="s">
        <v>34</v>
      </c>
      <c r="B231" s="121" t="s">
        <v>17</v>
      </c>
      <c r="C231" s="121" t="s">
        <v>350</v>
      </c>
      <c r="D231" s="121"/>
      <c r="E231" s="121"/>
      <c r="F231" s="176">
        <f>F232+F245+F314+F303+F289</f>
        <v>1318031.1349999998</v>
      </c>
      <c r="G231" s="176">
        <f>G232+G245+G314+G303+G289</f>
        <v>1247950.3999999999</v>
      </c>
      <c r="H231" s="176">
        <f>H232+H245+H314+H303+H289</f>
        <v>1226945</v>
      </c>
    </row>
    <row r="232" spans="1:8" s="72" customFormat="1" x14ac:dyDescent="0.2">
      <c r="A232" s="63" t="s">
        <v>35</v>
      </c>
      <c r="B232" s="65" t="s">
        <v>17</v>
      </c>
      <c r="C232" s="65" t="s">
        <v>10</v>
      </c>
      <c r="D232" s="65"/>
      <c r="E232" s="65"/>
      <c r="F232" s="66">
        <f>F236+F240+F233</f>
        <v>474101.79999999993</v>
      </c>
      <c r="G232" s="66">
        <f t="shared" ref="G232:H232" si="48">G236+G240+G233</f>
        <v>440739.5</v>
      </c>
      <c r="H232" s="66">
        <f t="shared" si="48"/>
        <v>431654</v>
      </c>
    </row>
    <row r="233" spans="1:8" s="72" customFormat="1" ht="25.5" x14ac:dyDescent="0.2">
      <c r="A233" s="82" t="s">
        <v>137</v>
      </c>
      <c r="B233" s="70" t="s">
        <v>17</v>
      </c>
      <c r="C233" s="70" t="s">
        <v>10</v>
      </c>
      <c r="D233" s="70" t="s">
        <v>136</v>
      </c>
      <c r="E233" s="83"/>
      <c r="F233" s="84">
        <f>F235+F234</f>
        <v>5264.8</v>
      </c>
      <c r="G233" s="84">
        <f t="shared" ref="G233:H233" si="49">G235+G234</f>
        <v>866</v>
      </c>
      <c r="H233" s="84">
        <f t="shared" si="49"/>
        <v>866</v>
      </c>
    </row>
    <row r="234" spans="1:8" s="72" customFormat="1" ht="25.5" x14ac:dyDescent="0.2">
      <c r="A234" s="28" t="s">
        <v>73</v>
      </c>
      <c r="B234" s="75" t="s">
        <v>17</v>
      </c>
      <c r="C234" s="75" t="s">
        <v>10</v>
      </c>
      <c r="D234" s="75" t="s">
        <v>136</v>
      </c>
      <c r="E234" s="75" t="s">
        <v>65</v>
      </c>
      <c r="F234" s="55">
        <f>'изм июнь вед стр-ра'!G247</f>
        <v>727.8</v>
      </c>
      <c r="G234" s="55">
        <f>'изм июнь вед стр-ра'!H247</f>
        <v>148.9</v>
      </c>
      <c r="H234" s="55">
        <f>'изм июнь вед стр-ра'!I247</f>
        <v>148.9</v>
      </c>
    </row>
    <row r="235" spans="1:8" s="72" customFormat="1" ht="25.5" x14ac:dyDescent="0.2">
      <c r="A235" s="80" t="s">
        <v>119</v>
      </c>
      <c r="B235" s="75" t="s">
        <v>17</v>
      </c>
      <c r="C235" s="75" t="s">
        <v>10</v>
      </c>
      <c r="D235" s="75" t="s">
        <v>136</v>
      </c>
      <c r="E235" s="75" t="s">
        <v>62</v>
      </c>
      <c r="F235" s="55">
        <f>'изм июнь вед стр-ра'!G248</f>
        <v>4537</v>
      </c>
      <c r="G235" s="55">
        <f>'изм июнь вед стр-ра'!H248</f>
        <v>717.1</v>
      </c>
      <c r="H235" s="55">
        <f>'изм июнь вед стр-ра'!I248</f>
        <v>717.1</v>
      </c>
    </row>
    <row r="236" spans="1:8" s="21" customFormat="1" ht="51" x14ac:dyDescent="0.2">
      <c r="A236" s="53" t="s">
        <v>297</v>
      </c>
      <c r="B236" s="19" t="s">
        <v>17</v>
      </c>
      <c r="C236" s="19" t="s">
        <v>10</v>
      </c>
      <c r="D236" s="19" t="s">
        <v>104</v>
      </c>
      <c r="E236" s="19"/>
      <c r="F236" s="20">
        <f>F239+F237+F238</f>
        <v>264133.59999999998</v>
      </c>
      <c r="G236" s="20">
        <f t="shared" ref="G236:H236" si="50">G239+G237+G238</f>
        <v>264200</v>
      </c>
      <c r="H236" s="20">
        <f t="shared" si="50"/>
        <v>264200</v>
      </c>
    </row>
    <row r="237" spans="1:8" s="72" customFormat="1" ht="51" x14ac:dyDescent="0.2">
      <c r="A237" s="73" t="s">
        <v>63</v>
      </c>
      <c r="B237" s="75" t="s">
        <v>17</v>
      </c>
      <c r="C237" s="75" t="s">
        <v>10</v>
      </c>
      <c r="D237" s="75" t="s">
        <v>104</v>
      </c>
      <c r="E237" s="76" t="s">
        <v>64</v>
      </c>
      <c r="F237" s="55">
        <f>'изм июнь вед стр-ра'!G250</f>
        <v>48482</v>
      </c>
      <c r="G237" s="55">
        <f>'изм июнь вед стр-ра'!H250</f>
        <v>47990</v>
      </c>
      <c r="H237" s="55">
        <f>'изм июнь вед стр-ра'!I250</f>
        <v>47990</v>
      </c>
    </row>
    <row r="238" spans="1:8" s="21" customFormat="1" ht="25.5" x14ac:dyDescent="0.2">
      <c r="A238" s="28" t="s">
        <v>73</v>
      </c>
      <c r="B238" s="24" t="s">
        <v>17</v>
      </c>
      <c r="C238" s="24" t="s">
        <v>10</v>
      </c>
      <c r="D238" s="24" t="s">
        <v>104</v>
      </c>
      <c r="E238" s="27" t="s">
        <v>65</v>
      </c>
      <c r="F238" s="55">
        <f>'изм июнь вед стр-ра'!G251</f>
        <v>186.5</v>
      </c>
      <c r="G238" s="55">
        <f>'изм июнь вед стр-ра'!H251</f>
        <v>189.2</v>
      </c>
      <c r="H238" s="55">
        <f>'изм июнь вед стр-ра'!I251</f>
        <v>189.2</v>
      </c>
    </row>
    <row r="239" spans="1:8" s="72" customFormat="1" ht="25.5" x14ac:dyDescent="0.2">
      <c r="A239" s="80" t="s">
        <v>119</v>
      </c>
      <c r="B239" s="75" t="s">
        <v>17</v>
      </c>
      <c r="C239" s="75" t="s">
        <v>10</v>
      </c>
      <c r="D239" s="75" t="s">
        <v>104</v>
      </c>
      <c r="E239" s="75" t="s">
        <v>62</v>
      </c>
      <c r="F239" s="55">
        <f>'изм июнь вед стр-ра'!G252</f>
        <v>215465.09999999998</v>
      </c>
      <c r="G239" s="55">
        <f>'изм июнь вед стр-ра'!H252</f>
        <v>216020.8</v>
      </c>
      <c r="H239" s="55">
        <f>'изм июнь вед стр-ра'!I252</f>
        <v>216020.8</v>
      </c>
    </row>
    <row r="240" spans="1:8" s="72" customFormat="1" ht="53.25" customHeight="1" x14ac:dyDescent="0.2">
      <c r="A240" s="68" t="s">
        <v>283</v>
      </c>
      <c r="B240" s="70" t="s">
        <v>17</v>
      </c>
      <c r="C240" s="70" t="s">
        <v>10</v>
      </c>
      <c r="D240" s="70" t="s">
        <v>208</v>
      </c>
      <c r="E240" s="70"/>
      <c r="F240" s="71">
        <f>F243+F242+F241+F244</f>
        <v>204703.39999999997</v>
      </c>
      <c r="G240" s="71">
        <f>G243+G242+G241+G244</f>
        <v>175673.49999999997</v>
      </c>
      <c r="H240" s="71">
        <f>H243+H242+H241+H244</f>
        <v>166587.99999999997</v>
      </c>
    </row>
    <row r="241" spans="1:8" s="72" customFormat="1" ht="39.75" customHeight="1" x14ac:dyDescent="0.2">
      <c r="A241" s="73" t="s">
        <v>63</v>
      </c>
      <c r="B241" s="75" t="s">
        <v>17</v>
      </c>
      <c r="C241" s="75" t="s">
        <v>10</v>
      </c>
      <c r="D241" s="75" t="s">
        <v>208</v>
      </c>
      <c r="E241" s="76" t="s">
        <v>64</v>
      </c>
      <c r="F241" s="71">
        <f>'изм июнь вед стр-ра'!G254</f>
        <v>29928.400000000001</v>
      </c>
      <c r="G241" s="71">
        <f>'изм июнь вед стр-ра'!H254</f>
        <v>29923.3</v>
      </c>
      <c r="H241" s="71">
        <f>'изм июнь вед стр-ра'!I254</f>
        <v>29923.3</v>
      </c>
    </row>
    <row r="242" spans="1:8" s="21" customFormat="1" ht="25.5" x14ac:dyDescent="0.2">
      <c r="A242" s="28" t="s">
        <v>73</v>
      </c>
      <c r="B242" s="24" t="s">
        <v>17</v>
      </c>
      <c r="C242" s="24" t="s">
        <v>10</v>
      </c>
      <c r="D242" s="24" t="s">
        <v>208</v>
      </c>
      <c r="E242" s="27" t="s">
        <v>65</v>
      </c>
      <c r="F242" s="71">
        <f>'изм июнь вед стр-ра'!G255</f>
        <v>14217.4</v>
      </c>
      <c r="G242" s="71">
        <f>'изм июнь вед стр-ра'!H255</f>
        <v>10370.299999999999</v>
      </c>
      <c r="H242" s="71">
        <f>'изм июнь вед стр-ра'!I255</f>
        <v>9150</v>
      </c>
    </row>
    <row r="243" spans="1:8" s="21" customFormat="1" ht="25.5" x14ac:dyDescent="0.2">
      <c r="A243" s="28" t="s">
        <v>119</v>
      </c>
      <c r="B243" s="24" t="s">
        <v>17</v>
      </c>
      <c r="C243" s="24" t="s">
        <v>10</v>
      </c>
      <c r="D243" s="24" t="s">
        <v>208</v>
      </c>
      <c r="E243" s="24" t="s">
        <v>62</v>
      </c>
      <c r="F243" s="71">
        <f>'изм июнь вед стр-ра'!G256</f>
        <v>160348.29999999999</v>
      </c>
      <c r="G243" s="71">
        <f>'изм июнь вед стр-ра'!H256</f>
        <v>135290.6</v>
      </c>
      <c r="H243" s="71">
        <f>'изм июнь вед стр-ра'!I256</f>
        <v>127425.4</v>
      </c>
    </row>
    <row r="244" spans="1:8" s="72" customFormat="1" x14ac:dyDescent="0.2">
      <c r="A244" s="80" t="s">
        <v>69</v>
      </c>
      <c r="B244" s="75" t="s">
        <v>17</v>
      </c>
      <c r="C244" s="75" t="s">
        <v>10</v>
      </c>
      <c r="D244" s="75" t="s">
        <v>208</v>
      </c>
      <c r="E244" s="75" t="s">
        <v>70</v>
      </c>
      <c r="F244" s="71">
        <f>'изм июнь вед стр-ра'!G257</f>
        <v>209.3</v>
      </c>
      <c r="G244" s="71">
        <f>'изм июнь вед стр-ра'!H257</f>
        <v>89.3</v>
      </c>
      <c r="H244" s="71">
        <f>'изм июнь вед стр-ра'!I257</f>
        <v>89.3</v>
      </c>
    </row>
    <row r="245" spans="1:8" s="72" customFormat="1" x14ac:dyDescent="0.2">
      <c r="A245" s="63" t="s">
        <v>36</v>
      </c>
      <c r="B245" s="65" t="s">
        <v>17</v>
      </c>
      <c r="C245" s="65" t="s">
        <v>12</v>
      </c>
      <c r="D245" s="65"/>
      <c r="E245" s="65"/>
      <c r="F245" s="66">
        <f>F256+F260+F264+F267+F269+F273+F286+F283+F278+F246+F253+F251+F281+F276+F249</f>
        <v>602119.33499999985</v>
      </c>
      <c r="G245" s="66">
        <f t="shared" ref="G245:H245" si="51">G256+G260+G264+G267+G269+G273+G286+G283+G278+G246+G253+G251+G281+G276+G249</f>
        <v>574137.59999999986</v>
      </c>
      <c r="H245" s="66">
        <f t="shared" si="51"/>
        <v>561881.59999999998</v>
      </c>
    </row>
    <row r="246" spans="1:8" s="72" customFormat="1" ht="25.5" x14ac:dyDescent="0.2">
      <c r="A246" s="82" t="s">
        <v>137</v>
      </c>
      <c r="B246" s="70" t="s">
        <v>17</v>
      </c>
      <c r="C246" s="70" t="s">
        <v>12</v>
      </c>
      <c r="D246" s="70" t="s">
        <v>136</v>
      </c>
      <c r="E246" s="83"/>
      <c r="F246" s="84">
        <f>F248+F247</f>
        <v>8633.6</v>
      </c>
      <c r="G246" s="84">
        <f t="shared" ref="G246:H246" si="52">G248+G247</f>
        <v>1419.7</v>
      </c>
      <c r="H246" s="84">
        <f t="shared" si="52"/>
        <v>1419.7</v>
      </c>
    </row>
    <row r="247" spans="1:8" s="72" customFormat="1" ht="25.5" x14ac:dyDescent="0.2">
      <c r="A247" s="28" t="s">
        <v>73</v>
      </c>
      <c r="B247" s="75" t="s">
        <v>17</v>
      </c>
      <c r="C247" s="75" t="s">
        <v>12</v>
      </c>
      <c r="D247" s="75" t="s">
        <v>136</v>
      </c>
      <c r="E247" s="75" t="s">
        <v>65</v>
      </c>
      <c r="F247" s="55">
        <f>'изм июнь вед стр-ра'!G264</f>
        <v>1562.1</v>
      </c>
      <c r="G247" s="55">
        <f>'изм июнь вед стр-ра'!H264</f>
        <v>316.8</v>
      </c>
      <c r="H247" s="55">
        <f>'изм июнь вед стр-ра'!I264</f>
        <v>316.8</v>
      </c>
    </row>
    <row r="248" spans="1:8" s="72" customFormat="1" ht="25.5" x14ac:dyDescent="0.2">
      <c r="A248" s="80" t="s">
        <v>119</v>
      </c>
      <c r="B248" s="75" t="s">
        <v>17</v>
      </c>
      <c r="C248" s="75" t="s">
        <v>12</v>
      </c>
      <c r="D248" s="75" t="s">
        <v>136</v>
      </c>
      <c r="E248" s="75" t="s">
        <v>62</v>
      </c>
      <c r="F248" s="55">
        <f>'изм июнь вед стр-ра'!G265</f>
        <v>7071.5</v>
      </c>
      <c r="G248" s="55">
        <f>'изм июнь вед стр-ра'!H265</f>
        <v>1102.9000000000001</v>
      </c>
      <c r="H248" s="55">
        <f>'изм июнь вед стр-ра'!I265</f>
        <v>1102.9000000000001</v>
      </c>
    </row>
    <row r="249" spans="1:8" x14ac:dyDescent="0.2">
      <c r="A249" s="18" t="s">
        <v>147</v>
      </c>
      <c r="B249" s="19" t="s">
        <v>17</v>
      </c>
      <c r="C249" s="19" t="s">
        <v>12</v>
      </c>
      <c r="D249" s="24" t="s">
        <v>146</v>
      </c>
      <c r="E249" s="19"/>
      <c r="F249" s="20">
        <f>F250</f>
        <v>2000</v>
      </c>
      <c r="G249" s="20">
        <f>G250</f>
        <v>0</v>
      </c>
      <c r="H249" s="20">
        <f>H250</f>
        <v>0</v>
      </c>
    </row>
    <row r="250" spans="1:8" s="26" customFormat="1" ht="25.5" x14ac:dyDescent="0.2">
      <c r="A250" s="28" t="s">
        <v>119</v>
      </c>
      <c r="B250" s="19" t="s">
        <v>17</v>
      </c>
      <c r="C250" s="19" t="s">
        <v>12</v>
      </c>
      <c r="D250" s="24" t="s">
        <v>146</v>
      </c>
      <c r="E250" s="24" t="s">
        <v>62</v>
      </c>
      <c r="F250" s="25">
        <f>'изм июнь вед стр-ра'!G260</f>
        <v>2000</v>
      </c>
      <c r="G250" s="25">
        <v>0</v>
      </c>
      <c r="H250" s="25">
        <v>0</v>
      </c>
    </row>
    <row r="251" spans="1:8" s="9" customFormat="1" ht="25.5" x14ac:dyDescent="0.2">
      <c r="A251" s="18" t="s">
        <v>339</v>
      </c>
      <c r="B251" s="19" t="s">
        <v>17</v>
      </c>
      <c r="C251" s="19" t="s">
        <v>12</v>
      </c>
      <c r="D251" s="19" t="s">
        <v>542</v>
      </c>
      <c r="E251" s="19"/>
      <c r="F251" s="20">
        <f>F252</f>
        <v>2518.13</v>
      </c>
      <c r="G251" s="20">
        <f t="shared" ref="G251:H251" si="53">G252</f>
        <v>0</v>
      </c>
      <c r="H251" s="20">
        <f t="shared" si="53"/>
        <v>0</v>
      </c>
    </row>
    <row r="252" spans="1:8" s="9" customFormat="1" ht="25.5" x14ac:dyDescent="0.2">
      <c r="A252" s="28" t="s">
        <v>119</v>
      </c>
      <c r="B252" s="24" t="s">
        <v>17</v>
      </c>
      <c r="C252" s="24" t="s">
        <v>12</v>
      </c>
      <c r="D252" s="24" t="s">
        <v>542</v>
      </c>
      <c r="E252" s="24" t="s">
        <v>62</v>
      </c>
      <c r="F252" s="25">
        <f>'изм июнь вед стр-ра'!G262</f>
        <v>2518.13</v>
      </c>
      <c r="G252" s="25">
        <f>'изм июнь вед стр-ра'!H262</f>
        <v>0</v>
      </c>
      <c r="H252" s="25">
        <f>'изм июнь вед стр-ра'!I262</f>
        <v>0</v>
      </c>
    </row>
    <row r="253" spans="1:8" ht="38.25" x14ac:dyDescent="0.2">
      <c r="A253" s="18" t="s">
        <v>680</v>
      </c>
      <c r="B253" s="19" t="s">
        <v>17</v>
      </c>
      <c r="C253" s="19" t="s">
        <v>12</v>
      </c>
      <c r="D253" s="19" t="s">
        <v>540</v>
      </c>
      <c r="E253" s="20"/>
      <c r="F253" s="20">
        <f>F255+F254</f>
        <v>14556.4</v>
      </c>
      <c r="G253" s="20">
        <f t="shared" ref="G253:H253" si="54">G255+G254</f>
        <v>43669.1</v>
      </c>
      <c r="H253" s="20">
        <f t="shared" si="54"/>
        <v>43669.1</v>
      </c>
    </row>
    <row r="254" spans="1:8" ht="51" x14ac:dyDescent="0.2">
      <c r="A254" s="73" t="s">
        <v>63</v>
      </c>
      <c r="B254" s="24" t="s">
        <v>17</v>
      </c>
      <c r="C254" s="24" t="s">
        <v>12</v>
      </c>
      <c r="D254" s="24" t="s">
        <v>540</v>
      </c>
      <c r="E254" s="25">
        <v>100</v>
      </c>
      <c r="F254" s="25">
        <f>'изм июнь вед стр-ра'!G267</f>
        <v>1562.4</v>
      </c>
      <c r="G254" s="25">
        <f>'изм июнь вед стр-ра'!H267</f>
        <v>4687.2</v>
      </c>
      <c r="H254" s="25">
        <f>'изм июнь вед стр-ра'!I267</f>
        <v>4687.2</v>
      </c>
    </row>
    <row r="255" spans="1:8" ht="25.5" x14ac:dyDescent="0.2">
      <c r="A255" s="28" t="s">
        <v>119</v>
      </c>
      <c r="B255" s="24" t="s">
        <v>17</v>
      </c>
      <c r="C255" s="24" t="s">
        <v>12</v>
      </c>
      <c r="D255" s="24" t="s">
        <v>540</v>
      </c>
      <c r="E255" s="25" t="s">
        <v>62</v>
      </c>
      <c r="F255" s="25">
        <f>'изм июнь вед стр-ра'!G268</f>
        <v>12994</v>
      </c>
      <c r="G255" s="25">
        <f>'изм июнь вед стр-ра'!H268</f>
        <v>38981.9</v>
      </c>
      <c r="H255" s="25">
        <f>'изм июнь вед стр-ра'!I268</f>
        <v>38981.9</v>
      </c>
    </row>
    <row r="256" spans="1:8" s="21" customFormat="1" ht="25.5" x14ac:dyDescent="0.2">
      <c r="A256" s="18" t="s">
        <v>200</v>
      </c>
      <c r="B256" s="19" t="s">
        <v>17</v>
      </c>
      <c r="C256" s="19" t="s">
        <v>12</v>
      </c>
      <c r="D256" s="19" t="s">
        <v>102</v>
      </c>
      <c r="E256" s="19"/>
      <c r="F256" s="20">
        <f>F257+F258+F259</f>
        <v>50552</v>
      </c>
      <c r="G256" s="20">
        <f>G257+G258+G259</f>
        <v>50552</v>
      </c>
      <c r="H256" s="20">
        <f>H257+H258+H259</f>
        <v>50552</v>
      </c>
    </row>
    <row r="257" spans="1:8" s="72" customFormat="1" ht="51" x14ac:dyDescent="0.2">
      <c r="A257" s="73" t="s">
        <v>63</v>
      </c>
      <c r="B257" s="75" t="s">
        <v>17</v>
      </c>
      <c r="C257" s="75" t="s">
        <v>12</v>
      </c>
      <c r="D257" s="75" t="s">
        <v>102</v>
      </c>
      <c r="E257" s="76" t="s">
        <v>64</v>
      </c>
      <c r="F257" s="55">
        <f>'изм июнь вед стр-ра'!G270</f>
        <v>35906.6</v>
      </c>
      <c r="G257" s="55">
        <f>'изм июнь вед стр-ра'!H270</f>
        <v>35906.6</v>
      </c>
      <c r="H257" s="55">
        <f>'изм июнь вед стр-ра'!I270</f>
        <v>35906.6</v>
      </c>
    </row>
    <row r="258" spans="1:8" s="72" customFormat="1" ht="25.5" x14ac:dyDescent="0.2">
      <c r="A258" s="80" t="s">
        <v>73</v>
      </c>
      <c r="B258" s="75" t="s">
        <v>17</v>
      </c>
      <c r="C258" s="75" t="s">
        <v>12</v>
      </c>
      <c r="D258" s="75" t="s">
        <v>102</v>
      </c>
      <c r="E258" s="76" t="s">
        <v>65</v>
      </c>
      <c r="F258" s="55">
        <f>'изм июнь вед стр-ра'!G271</f>
        <v>14203.5</v>
      </c>
      <c r="G258" s="55">
        <f>'изм июнь вед стр-ра'!H271</f>
        <v>14203.5</v>
      </c>
      <c r="H258" s="55">
        <f>'изм июнь вед стр-ра'!I271</f>
        <v>14203.5</v>
      </c>
    </row>
    <row r="259" spans="1:8" s="21" customFormat="1" x14ac:dyDescent="0.2">
      <c r="A259" s="28" t="s">
        <v>69</v>
      </c>
      <c r="B259" s="24" t="s">
        <v>17</v>
      </c>
      <c r="C259" s="24" t="s">
        <v>12</v>
      </c>
      <c r="D259" s="24" t="s">
        <v>102</v>
      </c>
      <c r="E259" s="24" t="s">
        <v>70</v>
      </c>
      <c r="F259" s="55">
        <f>'изм июнь вед стр-ра'!G272</f>
        <v>441.9</v>
      </c>
      <c r="G259" s="55">
        <f>'изм июнь вед стр-ра'!H272</f>
        <v>441.9</v>
      </c>
      <c r="H259" s="55">
        <f>'изм июнь вед стр-ра'!I272</f>
        <v>441.9</v>
      </c>
    </row>
    <row r="260" spans="1:8" s="21" customFormat="1" ht="63.75" x14ac:dyDescent="0.2">
      <c r="A260" s="18" t="s">
        <v>454</v>
      </c>
      <c r="B260" s="19" t="s">
        <v>17</v>
      </c>
      <c r="C260" s="19" t="s">
        <v>12</v>
      </c>
      <c r="D260" s="19" t="s">
        <v>100</v>
      </c>
      <c r="E260" s="19"/>
      <c r="F260" s="20">
        <f>F261+F262+F263</f>
        <v>425356</v>
      </c>
      <c r="G260" s="20">
        <f>G261+G262+G263</f>
        <v>425320</v>
      </c>
      <c r="H260" s="20">
        <f>H261+H262+H263</f>
        <v>425320</v>
      </c>
    </row>
    <row r="261" spans="1:8" s="72" customFormat="1" ht="51" x14ac:dyDescent="0.2">
      <c r="A261" s="73" t="s">
        <v>63</v>
      </c>
      <c r="B261" s="75" t="s">
        <v>17</v>
      </c>
      <c r="C261" s="75" t="s">
        <v>12</v>
      </c>
      <c r="D261" s="75" t="s">
        <v>100</v>
      </c>
      <c r="E261" s="76" t="s">
        <v>64</v>
      </c>
      <c r="F261" s="55">
        <f>'изм июнь вед стр-ра'!G274</f>
        <v>68800.900000000009</v>
      </c>
      <c r="G261" s="55">
        <f>'изм июнь вед стр-ра'!H274</f>
        <v>68800.900000000009</v>
      </c>
      <c r="H261" s="55">
        <f>'изм июнь вед стр-ра'!I274</f>
        <v>68800.900000000009</v>
      </c>
    </row>
    <row r="262" spans="1:8" s="72" customFormat="1" ht="25.5" x14ac:dyDescent="0.2">
      <c r="A262" s="80" t="s">
        <v>73</v>
      </c>
      <c r="B262" s="75" t="s">
        <v>17</v>
      </c>
      <c r="C262" s="75" t="s">
        <v>12</v>
      </c>
      <c r="D262" s="75" t="s">
        <v>100</v>
      </c>
      <c r="E262" s="76" t="s">
        <v>65</v>
      </c>
      <c r="F262" s="55">
        <f>'изм июнь вед стр-ра'!G275</f>
        <v>2061.1</v>
      </c>
      <c r="G262" s="55">
        <f>'изм июнь вед стр-ра'!H275</f>
        <v>2061.1</v>
      </c>
      <c r="H262" s="55">
        <f>'изм июнь вед стр-ра'!I275</f>
        <v>2061.1</v>
      </c>
    </row>
    <row r="263" spans="1:8" s="72" customFormat="1" ht="25.5" x14ac:dyDescent="0.2">
      <c r="A263" s="80" t="s">
        <v>119</v>
      </c>
      <c r="B263" s="75" t="s">
        <v>17</v>
      </c>
      <c r="C263" s="75" t="s">
        <v>12</v>
      </c>
      <c r="D263" s="75" t="s">
        <v>100</v>
      </c>
      <c r="E263" s="75" t="s">
        <v>62</v>
      </c>
      <c r="F263" s="55">
        <f>'изм июнь вед стр-ра'!G276</f>
        <v>354494</v>
      </c>
      <c r="G263" s="55">
        <f>'изм июнь вед стр-ра'!H276</f>
        <v>354458</v>
      </c>
      <c r="H263" s="55">
        <f>'изм июнь вед стр-ра'!I276</f>
        <v>354458</v>
      </c>
    </row>
    <row r="264" spans="1:8" s="21" customFormat="1" ht="38.25" x14ac:dyDescent="0.2">
      <c r="A264" s="18" t="s">
        <v>201</v>
      </c>
      <c r="B264" s="19" t="s">
        <v>17</v>
      </c>
      <c r="C264" s="19" t="s">
        <v>12</v>
      </c>
      <c r="D264" s="19" t="s">
        <v>101</v>
      </c>
      <c r="E264" s="19"/>
      <c r="F264" s="20">
        <f>F265+F266</f>
        <v>4380.1000000000004</v>
      </c>
      <c r="G264" s="20">
        <f t="shared" ref="G264:H264" si="55">G265+G266</f>
        <v>3880.1</v>
      </c>
      <c r="H264" s="20">
        <f t="shared" si="55"/>
        <v>3880.1</v>
      </c>
    </row>
    <row r="265" spans="1:8" s="21" customFormat="1" ht="25.5" x14ac:dyDescent="0.2">
      <c r="A265" s="28" t="s">
        <v>73</v>
      </c>
      <c r="B265" s="24" t="s">
        <v>17</v>
      </c>
      <c r="C265" s="24" t="s">
        <v>12</v>
      </c>
      <c r="D265" s="24" t="s">
        <v>101</v>
      </c>
      <c r="E265" s="27" t="s">
        <v>65</v>
      </c>
      <c r="F265" s="25">
        <f>'изм июнь вед стр-ра'!G278</f>
        <v>3473.3</v>
      </c>
      <c r="G265" s="25">
        <f>'изм июнь вед стр-ра'!H278</f>
        <v>3880.1</v>
      </c>
      <c r="H265" s="25">
        <f>'изм июнь вед стр-ра'!I278</f>
        <v>3880.1</v>
      </c>
    </row>
    <row r="266" spans="1:8" s="26" customFormat="1" x14ac:dyDescent="0.2">
      <c r="A266" s="28" t="s">
        <v>66</v>
      </c>
      <c r="B266" s="24" t="s">
        <v>17</v>
      </c>
      <c r="C266" s="24" t="s">
        <v>12</v>
      </c>
      <c r="D266" s="24" t="s">
        <v>101</v>
      </c>
      <c r="E266" s="27" t="s">
        <v>67</v>
      </c>
      <c r="F266" s="25">
        <v>906.8</v>
      </c>
      <c r="G266" s="25">
        <v>0</v>
      </c>
      <c r="H266" s="25">
        <v>0</v>
      </c>
    </row>
    <row r="267" spans="1:8" s="21" customFormat="1" ht="51" x14ac:dyDescent="0.2">
      <c r="A267" s="18" t="s">
        <v>283</v>
      </c>
      <c r="B267" s="19" t="s">
        <v>17</v>
      </c>
      <c r="C267" s="19" t="s">
        <v>12</v>
      </c>
      <c r="D267" s="19" t="s">
        <v>203</v>
      </c>
      <c r="E267" s="19"/>
      <c r="F267" s="20">
        <f>F268</f>
        <v>73195.299999999988</v>
      </c>
      <c r="G267" s="20">
        <f>G268</f>
        <v>39999.5</v>
      </c>
      <c r="H267" s="20">
        <f>H268</f>
        <v>28557.599999999999</v>
      </c>
    </row>
    <row r="268" spans="1:8" s="21" customFormat="1" ht="25.5" x14ac:dyDescent="0.2">
      <c r="A268" s="28" t="s">
        <v>119</v>
      </c>
      <c r="B268" s="24" t="s">
        <v>17</v>
      </c>
      <c r="C268" s="24" t="s">
        <v>12</v>
      </c>
      <c r="D268" s="24" t="s">
        <v>203</v>
      </c>
      <c r="E268" s="24" t="s">
        <v>62</v>
      </c>
      <c r="F268" s="25">
        <f>'изм июнь вед стр-ра'!G283</f>
        <v>73195.299999999988</v>
      </c>
      <c r="G268" s="25">
        <f>'изм июнь вед стр-ра'!H283</f>
        <v>39999.5</v>
      </c>
      <c r="H268" s="25">
        <f>'изм июнь вед стр-ра'!I283</f>
        <v>28557.599999999999</v>
      </c>
    </row>
    <row r="269" spans="1:8" s="72" customFormat="1" ht="51" x14ac:dyDescent="0.2">
      <c r="A269" s="68" t="s">
        <v>206</v>
      </c>
      <c r="B269" s="70" t="s">
        <v>17</v>
      </c>
      <c r="C269" s="70" t="s">
        <v>12</v>
      </c>
      <c r="D269" s="70" t="s">
        <v>205</v>
      </c>
      <c r="E269" s="70"/>
      <c r="F269" s="71">
        <f>F270+F271+F272</f>
        <v>7165.5000000000009</v>
      </c>
      <c r="G269" s="71">
        <f>G270+G271+G272</f>
        <v>3720.1</v>
      </c>
      <c r="H269" s="71">
        <f>H270+H271+H272</f>
        <v>2905.9999999999995</v>
      </c>
    </row>
    <row r="270" spans="1:8" s="72" customFormat="1" ht="51" x14ac:dyDescent="0.2">
      <c r="A270" s="73" t="s">
        <v>63</v>
      </c>
      <c r="B270" s="75" t="s">
        <v>17</v>
      </c>
      <c r="C270" s="75" t="s">
        <v>12</v>
      </c>
      <c r="D270" s="75" t="s">
        <v>205</v>
      </c>
      <c r="E270" s="76" t="s">
        <v>64</v>
      </c>
      <c r="F270" s="55">
        <f>'изм июнь вед стр-ра'!G285</f>
        <v>3.3</v>
      </c>
      <c r="G270" s="55">
        <f>'изм июнь вед стр-ра'!H285</f>
        <v>0</v>
      </c>
      <c r="H270" s="55">
        <f>'изм июнь вед стр-ра'!I285</f>
        <v>0</v>
      </c>
    </row>
    <row r="271" spans="1:8" s="21" customFormat="1" ht="25.5" x14ac:dyDescent="0.2">
      <c r="A271" s="28" t="s">
        <v>73</v>
      </c>
      <c r="B271" s="24" t="s">
        <v>17</v>
      </c>
      <c r="C271" s="24" t="s">
        <v>12</v>
      </c>
      <c r="D271" s="24" t="s">
        <v>205</v>
      </c>
      <c r="E271" s="27" t="s">
        <v>65</v>
      </c>
      <c r="F271" s="55">
        <f>'изм июнь вед стр-ра'!G286</f>
        <v>6667.4000000000005</v>
      </c>
      <c r="G271" s="55">
        <f>'изм июнь вед стр-ра'!H286</f>
        <v>3467</v>
      </c>
      <c r="H271" s="55">
        <f>'изм июнь вед стр-ра'!I286</f>
        <v>2652.8999999999996</v>
      </c>
    </row>
    <row r="272" spans="1:8" s="21" customFormat="1" x14ac:dyDescent="0.2">
      <c r="A272" s="28" t="s">
        <v>69</v>
      </c>
      <c r="B272" s="24" t="s">
        <v>17</v>
      </c>
      <c r="C272" s="24" t="s">
        <v>12</v>
      </c>
      <c r="D272" s="24" t="s">
        <v>205</v>
      </c>
      <c r="E272" s="24" t="s">
        <v>70</v>
      </c>
      <c r="F272" s="55">
        <f>'изм июнь вед стр-ра'!G287</f>
        <v>494.79999999999995</v>
      </c>
      <c r="G272" s="55">
        <f>'изм июнь вед стр-ра'!H287</f>
        <v>253.10000000000002</v>
      </c>
      <c r="H272" s="55">
        <f>'изм июнь вед стр-ра'!I287</f>
        <v>253.10000000000002</v>
      </c>
    </row>
    <row r="273" spans="1:8" s="21" customFormat="1" ht="51" x14ac:dyDescent="0.2">
      <c r="A273" s="18" t="s">
        <v>206</v>
      </c>
      <c r="B273" s="19" t="s">
        <v>17</v>
      </c>
      <c r="C273" s="19" t="s">
        <v>12</v>
      </c>
      <c r="D273" s="19" t="s">
        <v>209</v>
      </c>
      <c r="E273" s="19"/>
      <c r="F273" s="20">
        <f>F274+F275</f>
        <v>712.9</v>
      </c>
      <c r="G273" s="20">
        <f t="shared" ref="G273:H273" si="56">G274+G275</f>
        <v>592.79999999999995</v>
      </c>
      <c r="H273" s="20">
        <f t="shared" si="56"/>
        <v>592.79999999999995</v>
      </c>
    </row>
    <row r="274" spans="1:8" s="21" customFormat="1" ht="25.5" x14ac:dyDescent="0.2">
      <c r="A274" s="28" t="s">
        <v>73</v>
      </c>
      <c r="B274" s="24" t="s">
        <v>17</v>
      </c>
      <c r="C274" s="24" t="s">
        <v>12</v>
      </c>
      <c r="D274" s="24" t="s">
        <v>209</v>
      </c>
      <c r="E274" s="27" t="s">
        <v>65</v>
      </c>
      <c r="F274" s="25">
        <f>'изм июнь вед стр-ра'!G289</f>
        <v>661.8</v>
      </c>
      <c r="G274" s="25">
        <f>'изм июнь вед стр-ра'!H289</f>
        <v>540.79999999999995</v>
      </c>
      <c r="H274" s="25">
        <f>'изм июнь вед стр-ра'!I289</f>
        <v>540.79999999999995</v>
      </c>
    </row>
    <row r="275" spans="1:8" s="26" customFormat="1" ht="12" customHeight="1" x14ac:dyDescent="0.2">
      <c r="A275" s="28" t="s">
        <v>69</v>
      </c>
      <c r="B275" s="24" t="s">
        <v>17</v>
      </c>
      <c r="C275" s="24" t="s">
        <v>12</v>
      </c>
      <c r="D275" s="24" t="s">
        <v>209</v>
      </c>
      <c r="E275" s="27" t="s">
        <v>70</v>
      </c>
      <c r="F275" s="25">
        <f>'изм июнь вед стр-ра'!G290</f>
        <v>51.1</v>
      </c>
      <c r="G275" s="25">
        <f>'изм июнь вед стр-ра'!H290</f>
        <v>52</v>
      </c>
      <c r="H275" s="25">
        <f>'изм июнь вед стр-ра'!I290</f>
        <v>52</v>
      </c>
    </row>
    <row r="276" spans="1:8" ht="76.5" x14ac:dyDescent="0.2">
      <c r="A276" s="18" t="s">
        <v>590</v>
      </c>
      <c r="B276" s="19" t="s">
        <v>17</v>
      </c>
      <c r="C276" s="19" t="s">
        <v>12</v>
      </c>
      <c r="D276" s="19" t="s">
        <v>589</v>
      </c>
      <c r="E276" s="19"/>
      <c r="F276" s="20">
        <f>F277</f>
        <v>3525.6</v>
      </c>
      <c r="G276" s="20">
        <f t="shared" ref="G276:H276" si="57">G277</f>
        <v>3525.6</v>
      </c>
      <c r="H276" s="20">
        <f t="shared" si="57"/>
        <v>3525.6</v>
      </c>
    </row>
    <row r="277" spans="1:8" s="26" customFormat="1" ht="25.5" x14ac:dyDescent="0.2">
      <c r="A277" s="28" t="s">
        <v>73</v>
      </c>
      <c r="B277" s="24" t="s">
        <v>17</v>
      </c>
      <c r="C277" s="24" t="s">
        <v>12</v>
      </c>
      <c r="D277" s="24" t="s">
        <v>589</v>
      </c>
      <c r="E277" s="27" t="s">
        <v>62</v>
      </c>
      <c r="F277" s="25">
        <f>'изм июнь вед стр-ра'!G292</f>
        <v>3525.6</v>
      </c>
      <c r="G277" s="25">
        <f>'изм июнь вед стр-ра'!H292</f>
        <v>3525.6</v>
      </c>
      <c r="H277" s="25">
        <f>'изм июнь вед стр-ра'!I292</f>
        <v>3525.6</v>
      </c>
    </row>
    <row r="278" spans="1:8" s="21" customFormat="1" ht="25.5" x14ac:dyDescent="0.2">
      <c r="A278" s="18" t="s">
        <v>202</v>
      </c>
      <c r="B278" s="19" t="s">
        <v>17</v>
      </c>
      <c r="C278" s="19" t="s">
        <v>12</v>
      </c>
      <c r="D278" s="19" t="s">
        <v>116</v>
      </c>
      <c r="E278" s="19"/>
      <c r="F278" s="20">
        <f>F280+F279</f>
        <v>249.70000000000002</v>
      </c>
      <c r="G278" s="20">
        <f t="shared" ref="G278:H278" si="58">G280+G279</f>
        <v>249.7</v>
      </c>
      <c r="H278" s="20">
        <f t="shared" si="58"/>
        <v>249.7</v>
      </c>
    </row>
    <row r="279" spans="1:8" s="26" customFormat="1" ht="25.5" x14ac:dyDescent="0.2">
      <c r="A279" s="28" t="s">
        <v>73</v>
      </c>
      <c r="B279" s="24" t="s">
        <v>17</v>
      </c>
      <c r="C279" s="24" t="s">
        <v>12</v>
      </c>
      <c r="D279" s="24" t="s">
        <v>116</v>
      </c>
      <c r="E279" s="27" t="s">
        <v>65</v>
      </c>
      <c r="F279" s="25">
        <f>'изм июнь вед стр-ра'!G294</f>
        <v>38.400000000000006</v>
      </c>
      <c r="G279" s="25">
        <f>'изм июнь вед стр-ра'!H294</f>
        <v>57.7</v>
      </c>
      <c r="H279" s="25">
        <f>'изм июнь вед стр-ра'!I294</f>
        <v>57.7</v>
      </c>
    </row>
    <row r="280" spans="1:8" s="21" customFormat="1" ht="25.5" x14ac:dyDescent="0.2">
      <c r="A280" s="28" t="s">
        <v>119</v>
      </c>
      <c r="B280" s="24" t="s">
        <v>17</v>
      </c>
      <c r="C280" s="24" t="s">
        <v>12</v>
      </c>
      <c r="D280" s="24" t="s">
        <v>116</v>
      </c>
      <c r="E280" s="24" t="s">
        <v>62</v>
      </c>
      <c r="F280" s="25">
        <f>'изм июнь вед стр-ра'!G295</f>
        <v>211.3</v>
      </c>
      <c r="G280" s="25">
        <f>'изм июнь вед стр-ра'!H295</f>
        <v>192</v>
      </c>
      <c r="H280" s="25">
        <f>'изм июнь вед стр-ра'!I295</f>
        <v>192</v>
      </c>
    </row>
    <row r="281" spans="1:8" ht="38.25" x14ac:dyDescent="0.2">
      <c r="A281" s="18" t="s">
        <v>675</v>
      </c>
      <c r="B281" s="19" t="s">
        <v>17</v>
      </c>
      <c r="C281" s="19" t="s">
        <v>12</v>
      </c>
      <c r="D281" s="19" t="s">
        <v>571</v>
      </c>
      <c r="E281" s="19"/>
      <c r="F281" s="20">
        <f>F282</f>
        <v>7815.1049999999996</v>
      </c>
      <c r="G281" s="20">
        <f t="shared" ref="G281:H281" si="59">G282</f>
        <v>0</v>
      </c>
      <c r="H281" s="20">
        <f t="shared" si="59"/>
        <v>0</v>
      </c>
    </row>
    <row r="282" spans="1:8" ht="25.5" x14ac:dyDescent="0.2">
      <c r="A282" s="28" t="s">
        <v>73</v>
      </c>
      <c r="B282" s="24" t="s">
        <v>17</v>
      </c>
      <c r="C282" s="24" t="s">
        <v>12</v>
      </c>
      <c r="D282" s="19" t="s">
        <v>571</v>
      </c>
      <c r="E282" s="24" t="s">
        <v>65</v>
      </c>
      <c r="F282" s="25">
        <f>'изм июнь вед стр-ра'!G281</f>
        <v>7815.1049999999996</v>
      </c>
      <c r="G282" s="25">
        <f>'изм июнь вед стр-ра'!H281</f>
        <v>0</v>
      </c>
      <c r="H282" s="25">
        <f>'изм июнь вед стр-ра'!I281</f>
        <v>0</v>
      </c>
    </row>
    <row r="283" spans="1:8" s="21" customFormat="1" ht="25.5" x14ac:dyDescent="0.2">
      <c r="A283" s="18" t="s">
        <v>207</v>
      </c>
      <c r="B283" s="19" t="s">
        <v>17</v>
      </c>
      <c r="C283" s="19" t="s">
        <v>12</v>
      </c>
      <c r="D283" s="19" t="s">
        <v>117</v>
      </c>
      <c r="E283" s="19"/>
      <c r="F283" s="20">
        <f>F285+F284</f>
        <v>1209</v>
      </c>
      <c r="G283" s="20">
        <f>G285+G284</f>
        <v>1209</v>
      </c>
      <c r="H283" s="20">
        <f>H285+H284</f>
        <v>1209</v>
      </c>
    </row>
    <row r="284" spans="1:8" s="9" customFormat="1" x14ac:dyDescent="0.2">
      <c r="A284" s="28" t="s">
        <v>66</v>
      </c>
      <c r="B284" s="24" t="s">
        <v>17</v>
      </c>
      <c r="C284" s="24" t="s">
        <v>12</v>
      </c>
      <c r="D284" s="19" t="s">
        <v>117</v>
      </c>
      <c r="E284" s="24" t="s">
        <v>67</v>
      </c>
      <c r="F284" s="25">
        <f>'изм июнь вед стр-ра'!G297</f>
        <v>31.1</v>
      </c>
      <c r="G284" s="25">
        <f>'изм июнь вед стр-ра'!H297</f>
        <v>31.1</v>
      </c>
      <c r="H284" s="25">
        <f>'изм июнь вед стр-ра'!I297</f>
        <v>31.1</v>
      </c>
    </row>
    <row r="285" spans="1:8" s="21" customFormat="1" ht="25.5" x14ac:dyDescent="0.2">
      <c r="A285" s="28" t="s">
        <v>119</v>
      </c>
      <c r="B285" s="24" t="s">
        <v>17</v>
      </c>
      <c r="C285" s="24" t="s">
        <v>12</v>
      </c>
      <c r="D285" s="19" t="s">
        <v>117</v>
      </c>
      <c r="E285" s="24" t="s">
        <v>62</v>
      </c>
      <c r="F285" s="25">
        <f>'изм июнь вед стр-ра'!G298</f>
        <v>1177.9000000000001</v>
      </c>
      <c r="G285" s="25">
        <f>'изм июнь вед стр-ра'!H298</f>
        <v>1177.9000000000001</v>
      </c>
      <c r="H285" s="25">
        <f>'изм июнь вед стр-ра'!I298</f>
        <v>1177.9000000000001</v>
      </c>
    </row>
    <row r="286" spans="1:8" s="72" customFormat="1" x14ac:dyDescent="0.2">
      <c r="A286" s="68" t="s">
        <v>286</v>
      </c>
      <c r="B286" s="70" t="s">
        <v>17</v>
      </c>
      <c r="C286" s="70" t="s">
        <v>12</v>
      </c>
      <c r="D286" s="70" t="s">
        <v>276</v>
      </c>
      <c r="E286" s="70"/>
      <c r="F286" s="71">
        <f>F288+F287</f>
        <v>250</v>
      </c>
      <c r="G286" s="71">
        <f>G288+G287</f>
        <v>0</v>
      </c>
      <c r="H286" s="71">
        <f>H288+H287</f>
        <v>0</v>
      </c>
    </row>
    <row r="287" spans="1:8" s="21" customFormat="1" x14ac:dyDescent="0.2">
      <c r="A287" s="28" t="s">
        <v>66</v>
      </c>
      <c r="B287" s="24" t="s">
        <v>17</v>
      </c>
      <c r="C287" s="24" t="s">
        <v>12</v>
      </c>
      <c r="D287" s="19" t="s">
        <v>276</v>
      </c>
      <c r="E287" s="24" t="s">
        <v>67</v>
      </c>
      <c r="F287" s="25">
        <f>'изм июнь вед стр-ра'!G300</f>
        <v>20</v>
      </c>
      <c r="G287" s="25">
        <f>'изм июнь вед стр-ра'!H300</f>
        <v>0</v>
      </c>
      <c r="H287" s="25">
        <f>'изм июнь вед стр-ра'!I300</f>
        <v>0</v>
      </c>
    </row>
    <row r="288" spans="1:8" s="72" customFormat="1" ht="25.5" x14ac:dyDescent="0.2">
      <c r="A288" s="80" t="s">
        <v>119</v>
      </c>
      <c r="B288" s="75" t="s">
        <v>17</v>
      </c>
      <c r="C288" s="75" t="s">
        <v>12</v>
      </c>
      <c r="D288" s="70" t="s">
        <v>276</v>
      </c>
      <c r="E288" s="75" t="s">
        <v>62</v>
      </c>
      <c r="F288" s="25">
        <f>'изм июнь вед стр-ра'!G301</f>
        <v>230</v>
      </c>
      <c r="G288" s="25">
        <f>'изм июнь вед стр-ра'!H301</f>
        <v>0</v>
      </c>
      <c r="H288" s="25">
        <f>'изм июнь вед стр-ра'!I301</f>
        <v>0</v>
      </c>
    </row>
    <row r="289" spans="1:8" s="21" customFormat="1" x14ac:dyDescent="0.2">
      <c r="A289" s="11" t="s">
        <v>277</v>
      </c>
      <c r="B289" s="8" t="s">
        <v>17</v>
      </c>
      <c r="C289" s="8" t="s">
        <v>14</v>
      </c>
      <c r="D289" s="8"/>
      <c r="E289" s="8"/>
      <c r="F289" s="4">
        <f>F298+F294+F292+F290+F301+F296</f>
        <v>166981.20000000001</v>
      </c>
      <c r="G289" s="4">
        <f t="shared" ref="G289:H289" si="60">G298+G294+G292+G290+G301+G296</f>
        <v>167957.6</v>
      </c>
      <c r="H289" s="4">
        <f t="shared" si="60"/>
        <v>168993</v>
      </c>
    </row>
    <row r="290" spans="1:8" s="21" customFormat="1" ht="25.5" x14ac:dyDescent="0.2">
      <c r="A290" s="17" t="s">
        <v>137</v>
      </c>
      <c r="B290" s="19" t="s">
        <v>17</v>
      </c>
      <c r="C290" s="19" t="s">
        <v>14</v>
      </c>
      <c r="D290" s="19" t="s">
        <v>136</v>
      </c>
      <c r="E290" s="5"/>
      <c r="F290" s="6">
        <f>F291</f>
        <v>2108.1999999999998</v>
      </c>
      <c r="G290" s="6">
        <f t="shared" ref="G290:H290" si="61">G291</f>
        <v>335.4</v>
      </c>
      <c r="H290" s="6">
        <f t="shared" si="61"/>
        <v>335.4</v>
      </c>
    </row>
    <row r="291" spans="1:8" s="21" customFormat="1" ht="25.5" x14ac:dyDescent="0.2">
      <c r="A291" s="28" t="s">
        <v>119</v>
      </c>
      <c r="B291" s="24" t="s">
        <v>17</v>
      </c>
      <c r="C291" s="24" t="s">
        <v>14</v>
      </c>
      <c r="D291" s="24" t="s">
        <v>136</v>
      </c>
      <c r="E291" s="24" t="s">
        <v>62</v>
      </c>
      <c r="F291" s="25">
        <f>'изм июнь вед стр-ра'!G304+'изм июнь вед стр-ра'!G399</f>
        <v>2108.1999999999998</v>
      </c>
      <c r="G291" s="25">
        <f>'изм июнь вед стр-ра'!H304+'изм июнь вед стр-ра'!H399</f>
        <v>335.4</v>
      </c>
      <c r="H291" s="25">
        <f>'изм июнь вед стр-ра'!I304+'изм июнь вед стр-ра'!I399</f>
        <v>335.4</v>
      </c>
    </row>
    <row r="292" spans="1:8" s="21" customFormat="1" x14ac:dyDescent="0.2">
      <c r="A292" s="18" t="s">
        <v>145</v>
      </c>
      <c r="B292" s="19" t="s">
        <v>17</v>
      </c>
      <c r="C292" s="19" t="s">
        <v>14</v>
      </c>
      <c r="D292" s="19" t="s">
        <v>144</v>
      </c>
      <c r="E292" s="19"/>
      <c r="F292" s="20">
        <f>F293</f>
        <v>0</v>
      </c>
      <c r="G292" s="20">
        <f t="shared" ref="G292:H292" si="62">G293</f>
        <v>16812.599999999999</v>
      </c>
      <c r="H292" s="20">
        <f t="shared" si="62"/>
        <v>16812.599999999999</v>
      </c>
    </row>
    <row r="293" spans="1:8" s="26" customFormat="1" ht="23.25" customHeight="1" x14ac:dyDescent="0.2">
      <c r="A293" s="28" t="s">
        <v>79</v>
      </c>
      <c r="B293" s="24" t="s">
        <v>17</v>
      </c>
      <c r="C293" s="24" t="s">
        <v>14</v>
      </c>
      <c r="D293" s="24" t="s">
        <v>144</v>
      </c>
      <c r="E293" s="24" t="s">
        <v>68</v>
      </c>
      <c r="F293" s="25">
        <f>'изм июнь вед стр-ра'!G401</f>
        <v>0</v>
      </c>
      <c r="G293" s="25">
        <f>'изм июнь вед стр-ра'!H401</f>
        <v>16812.599999999999</v>
      </c>
      <c r="H293" s="25">
        <f>'изм июнь вед стр-ра'!I401</f>
        <v>16812.599999999999</v>
      </c>
    </row>
    <row r="294" spans="1:8" s="21" customFormat="1" ht="25.5" x14ac:dyDescent="0.2">
      <c r="A294" s="18" t="s">
        <v>202</v>
      </c>
      <c r="B294" s="19" t="s">
        <v>17</v>
      </c>
      <c r="C294" s="19" t="s">
        <v>14</v>
      </c>
      <c r="D294" s="19" t="s">
        <v>116</v>
      </c>
      <c r="E294" s="19"/>
      <c r="F294" s="20">
        <f>F295</f>
        <v>115.3</v>
      </c>
      <c r="G294" s="20">
        <f t="shared" ref="G294:H294" si="63">G295</f>
        <v>115.3</v>
      </c>
      <c r="H294" s="20">
        <f t="shared" si="63"/>
        <v>115.3</v>
      </c>
    </row>
    <row r="295" spans="1:8" s="21" customFormat="1" ht="25.5" x14ac:dyDescent="0.2">
      <c r="A295" s="28" t="s">
        <v>119</v>
      </c>
      <c r="B295" s="24" t="s">
        <v>17</v>
      </c>
      <c r="C295" s="24" t="s">
        <v>14</v>
      </c>
      <c r="D295" s="24" t="s">
        <v>116</v>
      </c>
      <c r="E295" s="24" t="s">
        <v>62</v>
      </c>
      <c r="F295" s="25">
        <f>'изм июнь вед стр-ра'!G306</f>
        <v>115.3</v>
      </c>
      <c r="G295" s="25">
        <f>'изм июнь вед стр-ра'!H306</f>
        <v>115.3</v>
      </c>
      <c r="H295" s="25">
        <f>'изм июнь вед стр-ра'!I306</f>
        <v>115.3</v>
      </c>
    </row>
    <row r="296" spans="1:8" s="12" customFormat="1" ht="51" x14ac:dyDescent="0.2">
      <c r="A296" s="17" t="s">
        <v>671</v>
      </c>
      <c r="B296" s="19" t="s">
        <v>17</v>
      </c>
      <c r="C296" s="19" t="s">
        <v>14</v>
      </c>
      <c r="D296" s="19" t="s">
        <v>672</v>
      </c>
      <c r="E296" s="5"/>
      <c r="F296" s="6">
        <f>F297</f>
        <v>0</v>
      </c>
      <c r="G296" s="6">
        <f>G297</f>
        <v>0</v>
      </c>
      <c r="H296" s="6">
        <f>H297</f>
        <v>4550</v>
      </c>
    </row>
    <row r="297" spans="1:8" s="26" customFormat="1" ht="25.5" x14ac:dyDescent="0.2">
      <c r="A297" s="28" t="s">
        <v>119</v>
      </c>
      <c r="B297" s="24" t="s">
        <v>17</v>
      </c>
      <c r="C297" s="24" t="s">
        <v>14</v>
      </c>
      <c r="D297" s="24" t="s">
        <v>672</v>
      </c>
      <c r="E297" s="24" t="s">
        <v>62</v>
      </c>
      <c r="F297" s="25">
        <v>0</v>
      </c>
      <c r="G297" s="25">
        <v>0</v>
      </c>
      <c r="H297" s="25">
        <f>'изм июнь вед стр-ра'!I403</f>
        <v>4550</v>
      </c>
    </row>
    <row r="298" spans="1:8" s="21" customFormat="1" ht="52.5" customHeight="1" x14ac:dyDescent="0.2">
      <c r="A298" s="18" t="s">
        <v>283</v>
      </c>
      <c r="B298" s="19" t="s">
        <v>17</v>
      </c>
      <c r="C298" s="19" t="s">
        <v>14</v>
      </c>
      <c r="D298" s="19" t="s">
        <v>204</v>
      </c>
      <c r="E298" s="19"/>
      <c r="F298" s="20">
        <f>F300+F299</f>
        <v>149553</v>
      </c>
      <c r="G298" s="20">
        <f t="shared" ref="G298:H298" si="64">G300+G299</f>
        <v>136088.70000000001</v>
      </c>
      <c r="H298" s="20">
        <f t="shared" si="64"/>
        <v>132574.1</v>
      </c>
    </row>
    <row r="299" spans="1:8" s="26" customFormat="1" x14ac:dyDescent="0.2">
      <c r="A299" s="28" t="s">
        <v>66</v>
      </c>
      <c r="B299" s="24" t="s">
        <v>17</v>
      </c>
      <c r="C299" s="24" t="s">
        <v>14</v>
      </c>
      <c r="D299" s="24" t="s">
        <v>204</v>
      </c>
      <c r="E299" s="27" t="s">
        <v>67</v>
      </c>
      <c r="F299" s="25">
        <f>'изм июнь вед стр-ра'!G405</f>
        <v>30</v>
      </c>
      <c r="G299" s="25">
        <f>'изм июнь вед стр-ра'!H405</f>
        <v>0</v>
      </c>
      <c r="H299" s="25">
        <f>'изм июнь вед стр-ра'!I405</f>
        <v>0</v>
      </c>
    </row>
    <row r="300" spans="1:8" s="21" customFormat="1" ht="25.5" x14ac:dyDescent="0.2">
      <c r="A300" s="28" t="s">
        <v>119</v>
      </c>
      <c r="B300" s="24" t="s">
        <v>17</v>
      </c>
      <c r="C300" s="24" t="s">
        <v>14</v>
      </c>
      <c r="D300" s="24" t="s">
        <v>204</v>
      </c>
      <c r="E300" s="24" t="s">
        <v>62</v>
      </c>
      <c r="F300" s="55">
        <f>'изм июнь вед стр-ра'!G406+'изм июнь вед стр-ра'!G308</f>
        <v>149523</v>
      </c>
      <c r="G300" s="55">
        <f>'изм июнь вед стр-ра'!H406+'изм июнь вед стр-ра'!H308</f>
        <v>136088.70000000001</v>
      </c>
      <c r="H300" s="55">
        <f>'изм июнь вед стр-ра'!I406+'изм июнь вед стр-ра'!I308</f>
        <v>132574.1</v>
      </c>
    </row>
    <row r="301" spans="1:8" ht="25.5" x14ac:dyDescent="0.2">
      <c r="A301" s="18" t="s">
        <v>545</v>
      </c>
      <c r="B301" s="19" t="s">
        <v>17</v>
      </c>
      <c r="C301" s="19" t="s">
        <v>14</v>
      </c>
      <c r="D301" s="19" t="s">
        <v>546</v>
      </c>
      <c r="E301" s="19"/>
      <c r="F301" s="55">
        <f>F302</f>
        <v>15204.7</v>
      </c>
      <c r="G301" s="55">
        <f t="shared" ref="G301:H301" si="65">G302</f>
        <v>14605.6</v>
      </c>
      <c r="H301" s="55">
        <f t="shared" si="65"/>
        <v>14605.6</v>
      </c>
    </row>
    <row r="302" spans="1:8" ht="25.5" x14ac:dyDescent="0.2">
      <c r="A302" s="28" t="s">
        <v>119</v>
      </c>
      <c r="B302" s="24" t="s">
        <v>17</v>
      </c>
      <c r="C302" s="24" t="s">
        <v>14</v>
      </c>
      <c r="D302" s="24" t="s">
        <v>546</v>
      </c>
      <c r="E302" s="24" t="s">
        <v>62</v>
      </c>
      <c r="F302" s="55">
        <f>'изм июнь вед стр-ра'!G310</f>
        <v>15204.7</v>
      </c>
      <c r="G302" s="55">
        <f>'изм июнь вед стр-ра'!H310</f>
        <v>14605.6</v>
      </c>
      <c r="H302" s="55">
        <f>'изм июнь вед стр-ра'!I310</f>
        <v>14605.6</v>
      </c>
    </row>
    <row r="303" spans="1:8" s="21" customFormat="1" x14ac:dyDescent="0.2">
      <c r="A303" s="11" t="s">
        <v>652</v>
      </c>
      <c r="B303" s="8" t="s">
        <v>17</v>
      </c>
      <c r="C303" s="8" t="s">
        <v>17</v>
      </c>
      <c r="D303" s="8"/>
      <c r="E303" s="8"/>
      <c r="F303" s="4">
        <f>F306+F304+F308+F311</f>
        <v>1226</v>
      </c>
      <c r="G303" s="4">
        <f t="shared" ref="G303:H303" si="66">G306+G304+G308+G311</f>
        <v>340.7</v>
      </c>
      <c r="H303" s="4">
        <f t="shared" si="66"/>
        <v>340.7</v>
      </c>
    </row>
    <row r="304" spans="1:8" s="21" customFormat="1" x14ac:dyDescent="0.2">
      <c r="A304" s="18" t="s">
        <v>230</v>
      </c>
      <c r="B304" s="19" t="s">
        <v>17</v>
      </c>
      <c r="C304" s="19" t="s">
        <v>17</v>
      </c>
      <c r="D304" s="19" t="s">
        <v>118</v>
      </c>
      <c r="E304" s="19"/>
      <c r="F304" s="20">
        <f t="shared" ref="F304:H304" si="67">F305</f>
        <v>219.6</v>
      </c>
      <c r="G304" s="20">
        <f t="shared" si="67"/>
        <v>219.6</v>
      </c>
      <c r="H304" s="20">
        <f t="shared" si="67"/>
        <v>219.6</v>
      </c>
    </row>
    <row r="305" spans="1:8" s="21" customFormat="1" ht="51" x14ac:dyDescent="0.2">
      <c r="A305" s="23" t="s">
        <v>63</v>
      </c>
      <c r="B305" s="24" t="s">
        <v>17</v>
      </c>
      <c r="C305" s="24" t="s">
        <v>17</v>
      </c>
      <c r="D305" s="24" t="s">
        <v>118</v>
      </c>
      <c r="E305" s="27" t="s">
        <v>64</v>
      </c>
      <c r="F305" s="25">
        <f>'изм июнь вед стр-ра'!G451</f>
        <v>219.6</v>
      </c>
      <c r="G305" s="25">
        <f>'изм июнь вед стр-ра'!H451</f>
        <v>219.6</v>
      </c>
      <c r="H305" s="25">
        <f>'изм июнь вед стр-ра'!I451</f>
        <v>219.6</v>
      </c>
    </row>
    <row r="306" spans="1:8" s="21" customFormat="1" ht="25.5" x14ac:dyDescent="0.2">
      <c r="A306" s="18" t="s">
        <v>149</v>
      </c>
      <c r="B306" s="19" t="s">
        <v>17</v>
      </c>
      <c r="C306" s="19" t="s">
        <v>17</v>
      </c>
      <c r="D306" s="19" t="s">
        <v>148</v>
      </c>
      <c r="E306" s="19"/>
      <c r="F306" s="20">
        <f>F307</f>
        <v>121.1</v>
      </c>
      <c r="G306" s="20">
        <f>G307</f>
        <v>121.1</v>
      </c>
      <c r="H306" s="20">
        <f>H307</f>
        <v>121.1</v>
      </c>
    </row>
    <row r="307" spans="1:8" s="21" customFormat="1" ht="25.5" x14ac:dyDescent="0.2">
      <c r="A307" s="28" t="s">
        <v>73</v>
      </c>
      <c r="B307" s="24" t="s">
        <v>17</v>
      </c>
      <c r="C307" s="24" t="s">
        <v>17</v>
      </c>
      <c r="D307" s="24" t="s">
        <v>148</v>
      </c>
      <c r="E307" s="27" t="s">
        <v>65</v>
      </c>
      <c r="F307" s="25">
        <f>'изм июнь вед стр-ра'!G113+'изм июнь вед стр-ра'!G151</f>
        <v>121.1</v>
      </c>
      <c r="G307" s="25">
        <f>'изм июнь вед стр-ра'!H113+'изм июнь вед стр-ра'!H151</f>
        <v>121.1</v>
      </c>
      <c r="H307" s="25">
        <f>'изм июнь вед стр-ра'!I113+'изм июнь вед стр-ра'!I151</f>
        <v>121.1</v>
      </c>
    </row>
    <row r="308" spans="1:8" ht="25.5" x14ac:dyDescent="0.2">
      <c r="A308" s="18" t="s">
        <v>561</v>
      </c>
      <c r="B308" s="19" t="s">
        <v>17</v>
      </c>
      <c r="C308" s="19" t="s">
        <v>17</v>
      </c>
      <c r="D308" s="19" t="s">
        <v>560</v>
      </c>
      <c r="E308" s="19"/>
      <c r="F308" s="20">
        <f>F310+F309</f>
        <v>32</v>
      </c>
      <c r="G308" s="20">
        <f>G310+G309</f>
        <v>0</v>
      </c>
      <c r="H308" s="20">
        <f>H310+H309</f>
        <v>0</v>
      </c>
    </row>
    <row r="309" spans="1:8" ht="51" x14ac:dyDescent="0.2">
      <c r="A309" s="23" t="s">
        <v>63</v>
      </c>
      <c r="B309" s="24" t="s">
        <v>17</v>
      </c>
      <c r="C309" s="24" t="s">
        <v>17</v>
      </c>
      <c r="D309" s="24" t="s">
        <v>560</v>
      </c>
      <c r="E309" s="27" t="s">
        <v>64</v>
      </c>
      <c r="F309" s="25">
        <f>'изм июнь вед стр-ра'!G448</f>
        <v>19.33426</v>
      </c>
      <c r="G309" s="25">
        <f>'изм июнь вед стр-ра'!H448</f>
        <v>0</v>
      </c>
      <c r="H309" s="25">
        <f>'изм июнь вед стр-ра'!I448</f>
        <v>0</v>
      </c>
    </row>
    <row r="310" spans="1:8" ht="25.5" x14ac:dyDescent="0.2">
      <c r="A310" s="28" t="s">
        <v>73</v>
      </c>
      <c r="B310" s="24" t="s">
        <v>17</v>
      </c>
      <c r="C310" s="24" t="s">
        <v>17</v>
      </c>
      <c r="D310" s="24" t="s">
        <v>560</v>
      </c>
      <c r="E310" s="27" t="s">
        <v>65</v>
      </c>
      <c r="F310" s="25">
        <f>'изм июнь вед стр-ра'!G449</f>
        <v>12.66574</v>
      </c>
      <c r="G310" s="25">
        <f>'изм июнь вед стр-ра'!H449</f>
        <v>0</v>
      </c>
      <c r="H310" s="25">
        <f>'изм июнь вед стр-ра'!I449</f>
        <v>0</v>
      </c>
    </row>
    <row r="311" spans="1:8" ht="38.25" x14ac:dyDescent="0.2">
      <c r="A311" s="18" t="s">
        <v>285</v>
      </c>
      <c r="B311" s="19" t="s">
        <v>17</v>
      </c>
      <c r="C311" s="19" t="s">
        <v>17</v>
      </c>
      <c r="D311" s="19" t="s">
        <v>211</v>
      </c>
      <c r="E311" s="19"/>
      <c r="F311" s="20">
        <f>F312+F313</f>
        <v>853.30000000000007</v>
      </c>
      <c r="G311" s="20">
        <f>G312+G313</f>
        <v>0</v>
      </c>
      <c r="H311" s="20">
        <f>H312+H313</f>
        <v>0</v>
      </c>
    </row>
    <row r="312" spans="1:8" s="26" customFormat="1" ht="49.5" customHeight="1" x14ac:dyDescent="0.2">
      <c r="A312" s="30" t="s">
        <v>63</v>
      </c>
      <c r="B312" s="24" t="s">
        <v>17</v>
      </c>
      <c r="C312" s="24" t="s">
        <v>17</v>
      </c>
      <c r="D312" s="24" t="s">
        <v>211</v>
      </c>
      <c r="E312" s="27" t="s">
        <v>64</v>
      </c>
      <c r="F312" s="25">
        <f>'изм июнь вед стр-ра'!G313</f>
        <v>43.1</v>
      </c>
      <c r="G312" s="25">
        <f>'изм июнь вед стр-ра'!H313</f>
        <v>0</v>
      </c>
      <c r="H312" s="25">
        <f>'изм июнь вед стр-ра'!I313</f>
        <v>0</v>
      </c>
    </row>
    <row r="313" spans="1:8" s="26" customFormat="1" ht="25.5" x14ac:dyDescent="0.2">
      <c r="A313" s="28" t="s">
        <v>119</v>
      </c>
      <c r="B313" s="24" t="s">
        <v>17</v>
      </c>
      <c r="C313" s="24" t="s">
        <v>17</v>
      </c>
      <c r="D313" s="24" t="s">
        <v>211</v>
      </c>
      <c r="E313" s="24" t="s">
        <v>62</v>
      </c>
      <c r="F313" s="25">
        <f>'изм июнь вед стр-ра'!G314</f>
        <v>810.2</v>
      </c>
      <c r="G313" s="25">
        <f>'изм июнь вед стр-ра'!H314</f>
        <v>0</v>
      </c>
      <c r="H313" s="25">
        <f>'изм июнь вед стр-ра'!I314</f>
        <v>0</v>
      </c>
    </row>
    <row r="314" spans="1:8" s="72" customFormat="1" x14ac:dyDescent="0.2">
      <c r="A314" s="63" t="s">
        <v>38</v>
      </c>
      <c r="B314" s="65" t="s">
        <v>17</v>
      </c>
      <c r="C314" s="65" t="s">
        <v>24</v>
      </c>
      <c r="D314" s="65"/>
      <c r="E314" s="65"/>
      <c r="F314" s="66">
        <f>F320+F323+F325+F328+F332+F335+F337+F317+F315</f>
        <v>73602.800000000017</v>
      </c>
      <c r="G314" s="66">
        <f t="shared" ref="G314:H314" si="68">G320+G323+G325+G328+G332+G335+G337+G317+G315</f>
        <v>64775</v>
      </c>
      <c r="H314" s="66">
        <f t="shared" si="68"/>
        <v>64075.7</v>
      </c>
    </row>
    <row r="315" spans="1:8" s="72" customFormat="1" ht="25.5" x14ac:dyDescent="0.2">
      <c r="A315" s="82" t="s">
        <v>137</v>
      </c>
      <c r="B315" s="70" t="s">
        <v>17</v>
      </c>
      <c r="C315" s="70" t="s">
        <v>24</v>
      </c>
      <c r="D315" s="70" t="s">
        <v>136</v>
      </c>
      <c r="E315" s="83"/>
      <c r="F315" s="84">
        <f>F316</f>
        <v>129.1</v>
      </c>
      <c r="G315" s="84">
        <f t="shared" ref="G315:H315" si="69">G316</f>
        <v>26</v>
      </c>
      <c r="H315" s="84">
        <f t="shared" si="69"/>
        <v>26</v>
      </c>
    </row>
    <row r="316" spans="1:8" s="72" customFormat="1" ht="25.5" x14ac:dyDescent="0.2">
      <c r="A316" s="80" t="s">
        <v>119</v>
      </c>
      <c r="B316" s="75" t="s">
        <v>17</v>
      </c>
      <c r="C316" s="75" t="s">
        <v>24</v>
      </c>
      <c r="D316" s="75" t="s">
        <v>136</v>
      </c>
      <c r="E316" s="75" t="s">
        <v>62</v>
      </c>
      <c r="F316" s="55">
        <f>'изм июнь вед стр-ра'!G317</f>
        <v>129.1</v>
      </c>
      <c r="G316" s="55">
        <f>'изм июнь вед стр-ра'!H317</f>
        <v>26</v>
      </c>
      <c r="H316" s="55">
        <f>'изм июнь вед стр-ра'!I317</f>
        <v>26</v>
      </c>
    </row>
    <row r="317" spans="1:8" s="21" customFormat="1" ht="25.5" x14ac:dyDescent="0.2">
      <c r="A317" s="18" t="s">
        <v>160</v>
      </c>
      <c r="B317" s="19" t="s">
        <v>17</v>
      </c>
      <c r="C317" s="19" t="s">
        <v>24</v>
      </c>
      <c r="D317" s="19" t="s">
        <v>115</v>
      </c>
      <c r="E317" s="19"/>
      <c r="F317" s="20">
        <f>F319+F318</f>
        <v>4445</v>
      </c>
      <c r="G317" s="20">
        <f t="shared" ref="G317:H317" si="70">G319+G318</f>
        <v>4445</v>
      </c>
      <c r="H317" s="20">
        <f t="shared" si="70"/>
        <v>4445</v>
      </c>
    </row>
    <row r="318" spans="1:8" s="21" customFormat="1" ht="25.5" x14ac:dyDescent="0.2">
      <c r="A318" s="28" t="s">
        <v>73</v>
      </c>
      <c r="B318" s="24" t="s">
        <v>17</v>
      </c>
      <c r="C318" s="24" t="s">
        <v>24</v>
      </c>
      <c r="D318" s="24" t="s">
        <v>115</v>
      </c>
      <c r="E318" s="24" t="s">
        <v>65</v>
      </c>
      <c r="F318" s="25">
        <f>'изм июнь вед стр-ра'!G319</f>
        <v>113.4</v>
      </c>
      <c r="G318" s="25">
        <f>'изм июнь вед стр-ра'!H319</f>
        <v>101.25</v>
      </c>
      <c r="H318" s="25">
        <f>'изм июнь вед стр-ра'!I319</f>
        <v>101.25</v>
      </c>
    </row>
    <row r="319" spans="1:8" s="72" customFormat="1" ht="25.5" x14ac:dyDescent="0.2">
      <c r="A319" s="80" t="s">
        <v>119</v>
      </c>
      <c r="B319" s="75" t="s">
        <v>17</v>
      </c>
      <c r="C319" s="75" t="s">
        <v>24</v>
      </c>
      <c r="D319" s="75" t="s">
        <v>115</v>
      </c>
      <c r="E319" s="75" t="s">
        <v>62</v>
      </c>
      <c r="F319" s="55">
        <f>'изм июнь вед стр-ра'!G320+'изм июнь вед стр-ра'!G409</f>
        <v>4331.6000000000004</v>
      </c>
      <c r="G319" s="55">
        <f>'изм июнь вед стр-ра'!H320+'изм июнь вед стр-ра'!H409</f>
        <v>4343.75</v>
      </c>
      <c r="H319" s="55">
        <f>'изм июнь вед стр-ра'!I320+'изм июнь вед стр-ра'!I409</f>
        <v>4343.75</v>
      </c>
    </row>
    <row r="320" spans="1:8" s="21" customFormat="1" ht="102" x14ac:dyDescent="0.2">
      <c r="A320" s="18" t="s">
        <v>337</v>
      </c>
      <c r="B320" s="5" t="s">
        <v>17</v>
      </c>
      <c r="C320" s="5" t="s">
        <v>24</v>
      </c>
      <c r="D320" s="5" t="s">
        <v>103</v>
      </c>
      <c r="E320" s="19"/>
      <c r="F320" s="20">
        <f>F321+F322</f>
        <v>3542.8</v>
      </c>
      <c r="G320" s="20">
        <f>G321+G322</f>
        <v>3542.8</v>
      </c>
      <c r="H320" s="20">
        <f>H321+H322</f>
        <v>3542.8</v>
      </c>
    </row>
    <row r="321" spans="1:8" s="21" customFormat="1" ht="51" x14ac:dyDescent="0.2">
      <c r="A321" s="23" t="s">
        <v>63</v>
      </c>
      <c r="B321" s="24" t="s">
        <v>17</v>
      </c>
      <c r="C321" s="24" t="s">
        <v>24</v>
      </c>
      <c r="D321" s="24" t="s">
        <v>103</v>
      </c>
      <c r="E321" s="27" t="s">
        <v>64</v>
      </c>
      <c r="F321" s="25">
        <f>'изм июнь вед стр-ра'!G331</f>
        <v>3166.3</v>
      </c>
      <c r="G321" s="25">
        <f>'изм июнь вед стр-ра'!H331</f>
        <v>3166.3</v>
      </c>
      <c r="H321" s="25">
        <f>'изм июнь вед стр-ра'!I331</f>
        <v>3166.3</v>
      </c>
    </row>
    <row r="322" spans="1:8" s="21" customFormat="1" ht="25.5" x14ac:dyDescent="0.2">
      <c r="A322" s="28" t="s">
        <v>73</v>
      </c>
      <c r="B322" s="24" t="s">
        <v>17</v>
      </c>
      <c r="C322" s="24" t="s">
        <v>24</v>
      </c>
      <c r="D322" s="24" t="s">
        <v>103</v>
      </c>
      <c r="E322" s="27" t="s">
        <v>65</v>
      </c>
      <c r="F322" s="25">
        <f>'изм июнь вед стр-ра'!G332</f>
        <v>376.5</v>
      </c>
      <c r="G322" s="25">
        <f>'изм июнь вед стр-ра'!H332</f>
        <v>376.5</v>
      </c>
      <c r="H322" s="25">
        <f>'изм июнь вед стр-ра'!I332</f>
        <v>376.5</v>
      </c>
    </row>
    <row r="323" spans="1:8" s="21" customFormat="1" ht="25.5" x14ac:dyDescent="0.2">
      <c r="A323" s="18" t="s">
        <v>284</v>
      </c>
      <c r="B323" s="19" t="s">
        <v>17</v>
      </c>
      <c r="C323" s="19" t="s">
        <v>24</v>
      </c>
      <c r="D323" s="19" t="s">
        <v>210</v>
      </c>
      <c r="E323" s="19"/>
      <c r="F323" s="20">
        <f>F324</f>
        <v>140</v>
      </c>
      <c r="G323" s="20">
        <f t="shared" ref="G323:H323" si="71">G324</f>
        <v>0</v>
      </c>
      <c r="H323" s="20">
        <f t="shared" si="71"/>
        <v>0</v>
      </c>
    </row>
    <row r="324" spans="1:8" s="26" customFormat="1" ht="25.5" x14ac:dyDescent="0.2">
      <c r="A324" s="28" t="s">
        <v>119</v>
      </c>
      <c r="B324" s="24" t="s">
        <v>17</v>
      </c>
      <c r="C324" s="24" t="s">
        <v>24</v>
      </c>
      <c r="D324" s="24" t="s">
        <v>210</v>
      </c>
      <c r="E324" s="24" t="s">
        <v>62</v>
      </c>
      <c r="F324" s="25">
        <f>'изм июнь вед стр-ра'!G322</f>
        <v>140</v>
      </c>
      <c r="G324" s="25">
        <f>'изм июнь вед стр-ра'!H322</f>
        <v>0</v>
      </c>
      <c r="H324" s="25">
        <f>'изм июнь вед стр-ра'!I322</f>
        <v>0</v>
      </c>
    </row>
    <row r="325" spans="1:8" s="72" customFormat="1" ht="25.5" x14ac:dyDescent="0.2">
      <c r="A325" s="68" t="s">
        <v>284</v>
      </c>
      <c r="B325" s="70" t="s">
        <v>17</v>
      </c>
      <c r="C325" s="70" t="s">
        <v>24</v>
      </c>
      <c r="D325" s="70" t="s">
        <v>161</v>
      </c>
      <c r="E325" s="70"/>
      <c r="F325" s="71">
        <f>F327+F326</f>
        <v>326.3</v>
      </c>
      <c r="G325" s="71">
        <f t="shared" ref="G325:H325" si="72">G327+G326</f>
        <v>59.4</v>
      </c>
      <c r="H325" s="71">
        <f t="shared" si="72"/>
        <v>59.4</v>
      </c>
    </row>
    <row r="326" spans="1:8" s="21" customFormat="1" ht="25.5" x14ac:dyDescent="0.2">
      <c r="A326" s="28" t="s">
        <v>73</v>
      </c>
      <c r="B326" s="24" t="s">
        <v>17</v>
      </c>
      <c r="C326" s="24" t="s">
        <v>24</v>
      </c>
      <c r="D326" s="24" t="s">
        <v>161</v>
      </c>
      <c r="E326" s="24" t="s">
        <v>65</v>
      </c>
      <c r="F326" s="25">
        <f>'изм июнь вед стр-ра'!G324</f>
        <v>4.5</v>
      </c>
      <c r="G326" s="25">
        <f>'изм июнь вед стр-ра'!H324</f>
        <v>0</v>
      </c>
      <c r="H326" s="25">
        <f>'изм июнь вед стр-ра'!I324</f>
        <v>0</v>
      </c>
    </row>
    <row r="327" spans="1:8" s="72" customFormat="1" ht="25.5" x14ac:dyDescent="0.2">
      <c r="A327" s="80" t="s">
        <v>119</v>
      </c>
      <c r="B327" s="75" t="s">
        <v>17</v>
      </c>
      <c r="C327" s="75" t="s">
        <v>24</v>
      </c>
      <c r="D327" s="75" t="s">
        <v>161</v>
      </c>
      <c r="E327" s="75" t="s">
        <v>62</v>
      </c>
      <c r="F327" s="55">
        <f>'изм июнь вед стр-ра'!G325+'изм июнь вед стр-ра'!G411</f>
        <v>321.8</v>
      </c>
      <c r="G327" s="55">
        <f>'изм июнь вед стр-ра'!H325+'изм июнь вед стр-ра'!H411</f>
        <v>59.4</v>
      </c>
      <c r="H327" s="55">
        <f>'изм июнь вед стр-ра'!I325+'изм июнь вед стр-ра'!I411</f>
        <v>59.4</v>
      </c>
    </row>
    <row r="328" spans="1:8" s="72" customFormat="1" ht="25.5" x14ac:dyDescent="0.2">
      <c r="A328" s="68" t="s">
        <v>213</v>
      </c>
      <c r="B328" s="70" t="s">
        <v>17</v>
      </c>
      <c r="C328" s="70" t="s">
        <v>24</v>
      </c>
      <c r="D328" s="70" t="s">
        <v>212</v>
      </c>
      <c r="E328" s="70"/>
      <c r="F328" s="71">
        <f>F331+F330+F329</f>
        <v>567.70000000000005</v>
      </c>
      <c r="G328" s="71">
        <f t="shared" ref="G328:H328" si="73">G331+G330+G329</f>
        <v>516.1</v>
      </c>
      <c r="H328" s="71">
        <f t="shared" si="73"/>
        <v>516.1</v>
      </c>
    </row>
    <row r="329" spans="1:8" s="26" customFormat="1" ht="51" x14ac:dyDescent="0.2">
      <c r="A329" s="30" t="s">
        <v>63</v>
      </c>
      <c r="B329" s="24" t="s">
        <v>17</v>
      </c>
      <c r="C329" s="24" t="s">
        <v>24</v>
      </c>
      <c r="D329" s="24" t="s">
        <v>212</v>
      </c>
      <c r="E329" s="24" t="s">
        <v>64</v>
      </c>
      <c r="F329" s="25">
        <f>'изм июнь вед стр-ра'!G327</f>
        <v>20.6</v>
      </c>
      <c r="G329" s="25">
        <f>'изм июнь вед стр-ра'!H327</f>
        <v>20.6</v>
      </c>
      <c r="H329" s="25">
        <f>'изм июнь вед стр-ра'!I327</f>
        <v>20.6</v>
      </c>
    </row>
    <row r="330" spans="1:8" s="77" customFormat="1" ht="25.5" x14ac:dyDescent="0.2">
      <c r="A330" s="80" t="s">
        <v>73</v>
      </c>
      <c r="B330" s="75" t="s">
        <v>17</v>
      </c>
      <c r="C330" s="75" t="s">
        <v>24</v>
      </c>
      <c r="D330" s="75" t="s">
        <v>212</v>
      </c>
      <c r="E330" s="75" t="s">
        <v>65</v>
      </c>
      <c r="F330" s="25">
        <f>'изм июнь вед стр-ра'!G328</f>
        <v>51.6</v>
      </c>
      <c r="G330" s="25">
        <f>'изм июнь вед стр-ра'!H328</f>
        <v>0</v>
      </c>
      <c r="H330" s="25">
        <f>'изм июнь вед стр-ра'!I328</f>
        <v>0</v>
      </c>
    </row>
    <row r="331" spans="1:8" s="21" customFormat="1" ht="25.5" x14ac:dyDescent="0.2">
      <c r="A331" s="28" t="s">
        <v>119</v>
      </c>
      <c r="B331" s="24" t="s">
        <v>17</v>
      </c>
      <c r="C331" s="24" t="s">
        <v>24</v>
      </c>
      <c r="D331" s="24" t="s">
        <v>212</v>
      </c>
      <c r="E331" s="24" t="s">
        <v>62</v>
      </c>
      <c r="F331" s="25">
        <f>'изм июнь вед стр-ра'!G329</f>
        <v>495.5</v>
      </c>
      <c r="G331" s="25">
        <f>'изм июнь вед стр-ра'!H329</f>
        <v>495.5</v>
      </c>
      <c r="H331" s="25">
        <f>'изм июнь вед стр-ра'!I329</f>
        <v>495.5</v>
      </c>
    </row>
    <row r="332" spans="1:8" s="72" customFormat="1" ht="25.5" x14ac:dyDescent="0.2">
      <c r="A332" s="68" t="s">
        <v>287</v>
      </c>
      <c r="B332" s="70" t="s">
        <v>17</v>
      </c>
      <c r="C332" s="70" t="s">
        <v>24</v>
      </c>
      <c r="D332" s="70" t="s">
        <v>214</v>
      </c>
      <c r="E332" s="70"/>
      <c r="F332" s="71">
        <f>F333+F334</f>
        <v>4467.2</v>
      </c>
      <c r="G332" s="71">
        <f>G333+G334</f>
        <v>4407.2</v>
      </c>
      <c r="H332" s="71">
        <f>H333+H334</f>
        <v>4407.2</v>
      </c>
    </row>
    <row r="333" spans="1:8" s="21" customFormat="1" ht="51" x14ac:dyDescent="0.2">
      <c r="A333" s="30" t="s">
        <v>63</v>
      </c>
      <c r="B333" s="24" t="s">
        <v>17</v>
      </c>
      <c r="C333" s="24" t="s">
        <v>24</v>
      </c>
      <c r="D333" s="24" t="s">
        <v>214</v>
      </c>
      <c r="E333" s="27" t="s">
        <v>64</v>
      </c>
      <c r="F333" s="25">
        <f>'изм июнь вед стр-ра'!G334</f>
        <v>4427.2</v>
      </c>
      <c r="G333" s="25">
        <f>'изм июнь вед стр-ра'!H334</f>
        <v>4407.2</v>
      </c>
      <c r="H333" s="25">
        <f>'изм июнь вед стр-ра'!I334</f>
        <v>4407.2</v>
      </c>
    </row>
    <row r="334" spans="1:8" s="72" customFormat="1" ht="25.5" x14ac:dyDescent="0.2">
      <c r="A334" s="80" t="s">
        <v>73</v>
      </c>
      <c r="B334" s="75" t="s">
        <v>17</v>
      </c>
      <c r="C334" s="75" t="s">
        <v>24</v>
      </c>
      <c r="D334" s="75" t="s">
        <v>214</v>
      </c>
      <c r="E334" s="76" t="s">
        <v>65</v>
      </c>
      <c r="F334" s="25">
        <f>'изм июнь вед стр-ра'!G335</f>
        <v>40</v>
      </c>
      <c r="G334" s="25">
        <f>'изм июнь вед стр-ра'!H335</f>
        <v>0</v>
      </c>
      <c r="H334" s="25">
        <f>'изм июнь вед стр-ра'!I335</f>
        <v>0</v>
      </c>
    </row>
    <row r="335" spans="1:8" s="72" customFormat="1" ht="25.5" x14ac:dyDescent="0.2">
      <c r="A335" s="68" t="s">
        <v>287</v>
      </c>
      <c r="B335" s="70" t="s">
        <v>17</v>
      </c>
      <c r="C335" s="70" t="s">
        <v>24</v>
      </c>
      <c r="D335" s="70" t="s">
        <v>215</v>
      </c>
      <c r="E335" s="70"/>
      <c r="F335" s="71">
        <f>F336</f>
        <v>22781.300000000003</v>
      </c>
      <c r="G335" s="71">
        <f>G336</f>
        <v>21478.7</v>
      </c>
      <c r="H335" s="71">
        <f>H336</f>
        <v>21108.5</v>
      </c>
    </row>
    <row r="336" spans="1:8" s="21" customFormat="1" ht="25.5" x14ac:dyDescent="0.2">
      <c r="A336" s="28" t="s">
        <v>119</v>
      </c>
      <c r="B336" s="24" t="s">
        <v>17</v>
      </c>
      <c r="C336" s="24" t="s">
        <v>24</v>
      </c>
      <c r="D336" s="24" t="s">
        <v>215</v>
      </c>
      <c r="E336" s="24" t="s">
        <v>62</v>
      </c>
      <c r="F336" s="25">
        <f>'изм июнь вед стр-ра'!G337</f>
        <v>22781.300000000003</v>
      </c>
      <c r="G336" s="25">
        <f>'изм июнь вед стр-ра'!H337</f>
        <v>21478.7</v>
      </c>
      <c r="H336" s="25">
        <f>'изм июнь вед стр-ра'!I337</f>
        <v>21108.5</v>
      </c>
    </row>
    <row r="337" spans="1:8" s="72" customFormat="1" ht="25.5" x14ac:dyDescent="0.2">
      <c r="A337" s="68" t="s">
        <v>287</v>
      </c>
      <c r="B337" s="70" t="s">
        <v>17</v>
      </c>
      <c r="C337" s="70" t="s">
        <v>24</v>
      </c>
      <c r="D337" s="70" t="s">
        <v>216</v>
      </c>
      <c r="E337" s="70"/>
      <c r="F337" s="71">
        <f>F338+F339+F340+F341</f>
        <v>37203.4</v>
      </c>
      <c r="G337" s="71">
        <f>G338+G339+G340+G341</f>
        <v>30299.8</v>
      </c>
      <c r="H337" s="71">
        <f>H338+H339+H340+H341</f>
        <v>29970.699999999997</v>
      </c>
    </row>
    <row r="338" spans="1:8" s="21" customFormat="1" ht="51" x14ac:dyDescent="0.2">
      <c r="A338" s="30" t="s">
        <v>63</v>
      </c>
      <c r="B338" s="24" t="s">
        <v>17</v>
      </c>
      <c r="C338" s="24" t="s">
        <v>24</v>
      </c>
      <c r="D338" s="24" t="s">
        <v>216</v>
      </c>
      <c r="E338" s="27" t="s">
        <v>64</v>
      </c>
      <c r="F338" s="25">
        <f>'изм июнь вед стр-ра'!G339</f>
        <v>15015.2</v>
      </c>
      <c r="G338" s="25">
        <f>'изм июнь вед стр-ра'!H339</f>
        <v>12092.899999999998</v>
      </c>
      <c r="H338" s="25">
        <f>'изм июнь вед стр-ра'!I339</f>
        <v>12092.899999999998</v>
      </c>
    </row>
    <row r="339" spans="1:8" s="72" customFormat="1" ht="25.5" x14ac:dyDescent="0.2">
      <c r="A339" s="80" t="s">
        <v>73</v>
      </c>
      <c r="B339" s="75" t="s">
        <v>17</v>
      </c>
      <c r="C339" s="75" t="s">
        <v>24</v>
      </c>
      <c r="D339" s="75" t="s">
        <v>216</v>
      </c>
      <c r="E339" s="76" t="s">
        <v>65</v>
      </c>
      <c r="F339" s="25">
        <f>'изм июнь вед стр-ра'!G340</f>
        <v>2636.3999999999996</v>
      </c>
      <c r="G339" s="25">
        <f>'изм июнь вед стр-ра'!H340</f>
        <v>0</v>
      </c>
      <c r="H339" s="25">
        <f>'изм июнь вед стр-ра'!I340</f>
        <v>0</v>
      </c>
    </row>
    <row r="340" spans="1:8" s="72" customFormat="1" ht="25.5" x14ac:dyDescent="0.2">
      <c r="A340" s="80" t="s">
        <v>119</v>
      </c>
      <c r="B340" s="75" t="s">
        <v>17</v>
      </c>
      <c r="C340" s="75" t="s">
        <v>24</v>
      </c>
      <c r="D340" s="75" t="s">
        <v>216</v>
      </c>
      <c r="E340" s="75" t="s">
        <v>62</v>
      </c>
      <c r="F340" s="25">
        <f>'изм июнь вед стр-ра'!G341</f>
        <v>19510.7</v>
      </c>
      <c r="G340" s="25">
        <f>'изм июнь вед стр-ра'!H341</f>
        <v>18206.900000000001</v>
      </c>
      <c r="H340" s="25">
        <f>'изм июнь вед стр-ра'!I341</f>
        <v>17877.8</v>
      </c>
    </row>
    <row r="341" spans="1:8" s="72" customFormat="1" x14ac:dyDescent="0.2">
      <c r="A341" s="80" t="s">
        <v>69</v>
      </c>
      <c r="B341" s="75" t="s">
        <v>17</v>
      </c>
      <c r="C341" s="75" t="s">
        <v>24</v>
      </c>
      <c r="D341" s="75" t="s">
        <v>216</v>
      </c>
      <c r="E341" s="75" t="s">
        <v>70</v>
      </c>
      <c r="F341" s="25">
        <f>'изм июнь вед стр-ра'!G342</f>
        <v>41.099999999999994</v>
      </c>
      <c r="G341" s="25">
        <f>'изм июнь вед стр-ра'!H342</f>
        <v>0</v>
      </c>
      <c r="H341" s="25">
        <f>'изм июнь вед стр-ра'!I342</f>
        <v>0</v>
      </c>
    </row>
    <row r="342" spans="1:8" s="21" customFormat="1" ht="15.75" x14ac:dyDescent="0.25">
      <c r="A342" s="122" t="s">
        <v>529</v>
      </c>
      <c r="B342" s="121" t="s">
        <v>40</v>
      </c>
      <c r="C342" s="121" t="s">
        <v>350</v>
      </c>
      <c r="D342" s="121"/>
      <c r="E342" s="121"/>
      <c r="F342" s="176">
        <f>F343+F358</f>
        <v>112343</v>
      </c>
      <c r="G342" s="176">
        <f>G343+G358</f>
        <v>101652.7</v>
      </c>
      <c r="H342" s="176">
        <f>H343+H358</f>
        <v>99644.5</v>
      </c>
    </row>
    <row r="343" spans="1:8" s="67" customFormat="1" x14ac:dyDescent="0.2">
      <c r="A343" s="63" t="s">
        <v>41</v>
      </c>
      <c r="B343" s="65" t="s">
        <v>40</v>
      </c>
      <c r="C343" s="65" t="s">
        <v>10</v>
      </c>
      <c r="D343" s="65"/>
      <c r="E343" s="65"/>
      <c r="F343" s="66">
        <f>F350+F353+F355+F346+F348+F344</f>
        <v>90804.800000000003</v>
      </c>
      <c r="G343" s="66">
        <f t="shared" ref="G343:H343" si="74">G350+G353+G355+G346+G348+G344</f>
        <v>80676.399999999994</v>
      </c>
      <c r="H343" s="66">
        <f t="shared" si="74"/>
        <v>78668.2</v>
      </c>
    </row>
    <row r="344" spans="1:8" s="12" customFormat="1" ht="25.5" x14ac:dyDescent="0.2">
      <c r="A344" s="17" t="s">
        <v>137</v>
      </c>
      <c r="B344" s="19" t="s">
        <v>40</v>
      </c>
      <c r="C344" s="19" t="s">
        <v>10</v>
      </c>
      <c r="D344" s="19" t="s">
        <v>136</v>
      </c>
      <c r="E344" s="5"/>
      <c r="F344" s="6">
        <f>F345</f>
        <v>2442.6</v>
      </c>
      <c r="G344" s="6">
        <f>G345</f>
        <v>520.20000000000005</v>
      </c>
      <c r="H344" s="6">
        <f>H345</f>
        <v>520.20000000000005</v>
      </c>
    </row>
    <row r="345" spans="1:8" s="26" customFormat="1" ht="25.5" x14ac:dyDescent="0.2">
      <c r="A345" s="28" t="s">
        <v>119</v>
      </c>
      <c r="B345" s="24" t="s">
        <v>40</v>
      </c>
      <c r="C345" s="24" t="s">
        <v>10</v>
      </c>
      <c r="D345" s="24" t="s">
        <v>136</v>
      </c>
      <c r="E345" s="24" t="s">
        <v>62</v>
      </c>
      <c r="F345" s="25">
        <f>'изм июнь вед стр-ра'!G415</f>
        <v>2442.6</v>
      </c>
      <c r="G345" s="25">
        <f>'изм июнь вед стр-ра'!H415</f>
        <v>520.20000000000005</v>
      </c>
      <c r="H345" s="25">
        <f>'изм июнь вед стр-ра'!I415</f>
        <v>520.20000000000005</v>
      </c>
    </row>
    <row r="346" spans="1:8" s="72" customFormat="1" x14ac:dyDescent="0.2">
      <c r="A346" s="68" t="s">
        <v>147</v>
      </c>
      <c r="B346" s="70" t="s">
        <v>40</v>
      </c>
      <c r="C346" s="70" t="s">
        <v>10</v>
      </c>
      <c r="D346" s="75" t="s">
        <v>146</v>
      </c>
      <c r="E346" s="70"/>
      <c r="F346" s="71">
        <f>F347</f>
        <v>4598</v>
      </c>
      <c r="G346" s="71">
        <f t="shared" ref="G346:H346" si="75">G347</f>
        <v>0</v>
      </c>
      <c r="H346" s="71">
        <f t="shared" si="75"/>
        <v>0</v>
      </c>
    </row>
    <row r="347" spans="1:8" s="77" customFormat="1" ht="25.5" x14ac:dyDescent="0.2">
      <c r="A347" s="80" t="s">
        <v>73</v>
      </c>
      <c r="B347" s="75" t="s">
        <v>40</v>
      </c>
      <c r="C347" s="75" t="s">
        <v>10</v>
      </c>
      <c r="D347" s="75" t="s">
        <v>146</v>
      </c>
      <c r="E347" s="75" t="s">
        <v>65</v>
      </c>
      <c r="F347" s="55">
        <f>'изм июнь вед стр-ра'!G417</f>
        <v>4598</v>
      </c>
      <c r="G347" s="55">
        <f>'изм июнь вед стр-ра'!H417</f>
        <v>0</v>
      </c>
      <c r="H347" s="55">
        <f>'изм июнь вед стр-ра'!I417</f>
        <v>0</v>
      </c>
    </row>
    <row r="348" spans="1:8" s="21" customFormat="1" ht="38.25" x14ac:dyDescent="0.2">
      <c r="A348" s="18" t="s">
        <v>306</v>
      </c>
      <c r="B348" s="19" t="s">
        <v>40</v>
      </c>
      <c r="C348" s="19" t="s">
        <v>10</v>
      </c>
      <c r="D348" s="19" t="s">
        <v>307</v>
      </c>
      <c r="E348" s="19"/>
      <c r="F348" s="20">
        <f>F349</f>
        <v>4425</v>
      </c>
      <c r="G348" s="20">
        <f>G349</f>
        <v>4425</v>
      </c>
      <c r="H348" s="20">
        <f>H349</f>
        <v>4425</v>
      </c>
    </row>
    <row r="349" spans="1:8" s="21" customFormat="1" ht="25.5" x14ac:dyDescent="0.2">
      <c r="A349" s="28" t="s">
        <v>119</v>
      </c>
      <c r="B349" s="24" t="s">
        <v>40</v>
      </c>
      <c r="C349" s="24" t="s">
        <v>10</v>
      </c>
      <c r="D349" s="24" t="s">
        <v>307</v>
      </c>
      <c r="E349" s="24" t="s">
        <v>62</v>
      </c>
      <c r="F349" s="25">
        <f>'изм июнь вед стр-ра'!G419</f>
        <v>4425</v>
      </c>
      <c r="G349" s="25">
        <f>'изм июнь вед стр-ра'!H419</f>
        <v>4425</v>
      </c>
      <c r="H349" s="25">
        <f>'изм июнь вед стр-ра'!I419</f>
        <v>4425</v>
      </c>
    </row>
    <row r="350" spans="1:8" s="21" customFormat="1" x14ac:dyDescent="0.2">
      <c r="A350" s="18" t="s">
        <v>224</v>
      </c>
      <c r="B350" s="19" t="s">
        <v>40</v>
      </c>
      <c r="C350" s="19" t="s">
        <v>10</v>
      </c>
      <c r="D350" s="19" t="s">
        <v>223</v>
      </c>
      <c r="E350" s="19"/>
      <c r="F350" s="20">
        <f>F352+F351</f>
        <v>55982.6</v>
      </c>
      <c r="G350" s="20">
        <f>G352+G351</f>
        <v>53505</v>
      </c>
      <c r="H350" s="20">
        <f>H352+H351</f>
        <v>51942.3</v>
      </c>
    </row>
    <row r="351" spans="1:8" s="26" customFormat="1" x14ac:dyDescent="0.2">
      <c r="A351" s="28" t="s">
        <v>66</v>
      </c>
      <c r="B351" s="24" t="s">
        <v>40</v>
      </c>
      <c r="C351" s="24" t="s">
        <v>10</v>
      </c>
      <c r="D351" s="24" t="s">
        <v>223</v>
      </c>
      <c r="E351" s="27" t="s">
        <v>67</v>
      </c>
      <c r="F351" s="25">
        <f>'изм июнь вед стр-ра'!G421</f>
        <v>15</v>
      </c>
      <c r="G351" s="25">
        <f>'изм июнь вед стр-ра'!H421</f>
        <v>0</v>
      </c>
      <c r="H351" s="25">
        <f>'изм июнь вед стр-ра'!I421</f>
        <v>0</v>
      </c>
    </row>
    <row r="352" spans="1:8" s="26" customFormat="1" ht="25.5" x14ac:dyDescent="0.2">
      <c r="A352" s="28" t="s">
        <v>119</v>
      </c>
      <c r="B352" s="24" t="s">
        <v>40</v>
      </c>
      <c r="C352" s="24" t="s">
        <v>10</v>
      </c>
      <c r="D352" s="24" t="s">
        <v>223</v>
      </c>
      <c r="E352" s="24" t="s">
        <v>62</v>
      </c>
      <c r="F352" s="25">
        <f>'изм июнь вед стр-ра'!G422</f>
        <v>55967.6</v>
      </c>
      <c r="G352" s="25">
        <f>'изм июнь вед стр-ра'!H422</f>
        <v>53505</v>
      </c>
      <c r="H352" s="25">
        <f>'изм июнь вед стр-ра'!I422</f>
        <v>51942.3</v>
      </c>
    </row>
    <row r="353" spans="1:8" s="21" customFormat="1" x14ac:dyDescent="0.2">
      <c r="A353" s="18" t="s">
        <v>226</v>
      </c>
      <c r="B353" s="19" t="s">
        <v>40</v>
      </c>
      <c r="C353" s="19" t="s">
        <v>10</v>
      </c>
      <c r="D353" s="19" t="s">
        <v>225</v>
      </c>
      <c r="E353" s="19"/>
      <c r="F353" s="20">
        <f>F354</f>
        <v>4202.2</v>
      </c>
      <c r="G353" s="20">
        <f>G354</f>
        <v>4059.4</v>
      </c>
      <c r="H353" s="20">
        <f>H354</f>
        <v>3992.5</v>
      </c>
    </row>
    <row r="354" spans="1:8" s="26" customFormat="1" ht="25.5" x14ac:dyDescent="0.2">
      <c r="A354" s="28" t="s">
        <v>119</v>
      </c>
      <c r="B354" s="24" t="s">
        <v>40</v>
      </c>
      <c r="C354" s="24" t="s">
        <v>10</v>
      </c>
      <c r="D354" s="24" t="s">
        <v>225</v>
      </c>
      <c r="E354" s="24" t="s">
        <v>62</v>
      </c>
      <c r="F354" s="25">
        <f>'изм июнь вед стр-ра'!G424</f>
        <v>4202.2</v>
      </c>
      <c r="G354" s="25">
        <f>'изм июнь вед стр-ра'!H424</f>
        <v>4059.4</v>
      </c>
      <c r="H354" s="25">
        <f>'изм июнь вед стр-ра'!I424</f>
        <v>3992.5</v>
      </c>
    </row>
    <row r="355" spans="1:8" s="21" customFormat="1" x14ac:dyDescent="0.2">
      <c r="A355" s="18" t="s">
        <v>228</v>
      </c>
      <c r="B355" s="19" t="s">
        <v>40</v>
      </c>
      <c r="C355" s="19" t="s">
        <v>10</v>
      </c>
      <c r="D355" s="19" t="s">
        <v>227</v>
      </c>
      <c r="E355" s="19"/>
      <c r="F355" s="20">
        <f>F357+F356</f>
        <v>19154.400000000001</v>
      </c>
      <c r="G355" s="20">
        <f>G357+G356</f>
        <v>18166.8</v>
      </c>
      <c r="H355" s="20">
        <f>H357+H356</f>
        <v>17788.2</v>
      </c>
    </row>
    <row r="356" spans="1:8" s="26" customFormat="1" x14ac:dyDescent="0.2">
      <c r="A356" s="28" t="s">
        <v>66</v>
      </c>
      <c r="B356" s="24" t="s">
        <v>40</v>
      </c>
      <c r="C356" s="24" t="s">
        <v>10</v>
      </c>
      <c r="D356" s="24" t="s">
        <v>227</v>
      </c>
      <c r="E356" s="27" t="s">
        <v>67</v>
      </c>
      <c r="F356" s="25">
        <f>'изм июнь вед стр-ра'!G426</f>
        <v>15</v>
      </c>
      <c r="G356" s="25">
        <f>'изм июнь вед стр-ра'!H426</f>
        <v>0</v>
      </c>
      <c r="H356" s="25">
        <f>'изм июнь вед стр-ра'!I426</f>
        <v>0</v>
      </c>
    </row>
    <row r="357" spans="1:8" s="26" customFormat="1" ht="25.5" x14ac:dyDescent="0.2">
      <c r="A357" s="28" t="s">
        <v>119</v>
      </c>
      <c r="B357" s="24" t="s">
        <v>40</v>
      </c>
      <c r="C357" s="24" t="s">
        <v>10</v>
      </c>
      <c r="D357" s="24" t="s">
        <v>227</v>
      </c>
      <c r="E357" s="24" t="s">
        <v>62</v>
      </c>
      <c r="F357" s="25">
        <f>'изм июнь вед стр-ра'!G427</f>
        <v>19139.400000000001</v>
      </c>
      <c r="G357" s="25">
        <f>'изм июнь вед стр-ра'!H427</f>
        <v>18166.8</v>
      </c>
      <c r="H357" s="25">
        <f>'изм июнь вед стр-ра'!I427</f>
        <v>17788.2</v>
      </c>
    </row>
    <row r="358" spans="1:8" s="67" customFormat="1" ht="16.5" customHeight="1" x14ac:dyDescent="0.2">
      <c r="A358" s="63" t="s">
        <v>23</v>
      </c>
      <c r="B358" s="65" t="s">
        <v>40</v>
      </c>
      <c r="C358" s="65" t="s">
        <v>16</v>
      </c>
      <c r="D358" s="65"/>
      <c r="E358" s="65"/>
      <c r="F358" s="66">
        <f>F359+F363</f>
        <v>21538.200000000004</v>
      </c>
      <c r="G358" s="66">
        <f>G359+G363</f>
        <v>20976.3</v>
      </c>
      <c r="H358" s="66">
        <f>H359+H363</f>
        <v>20976.3</v>
      </c>
    </row>
    <row r="359" spans="1:8" s="72" customFormat="1" x14ac:dyDescent="0.2">
      <c r="A359" s="68" t="s">
        <v>288</v>
      </c>
      <c r="B359" s="70" t="s">
        <v>40</v>
      </c>
      <c r="C359" s="70" t="s">
        <v>16</v>
      </c>
      <c r="D359" s="70" t="s">
        <v>229</v>
      </c>
      <c r="E359" s="70"/>
      <c r="F359" s="71">
        <f>F360+F361+F362</f>
        <v>1290.9000000000001</v>
      </c>
      <c r="G359" s="71">
        <f>G360+G361+G362</f>
        <v>1222.5</v>
      </c>
      <c r="H359" s="71">
        <f>H360+H361+H362</f>
        <v>1222.5</v>
      </c>
    </row>
    <row r="360" spans="1:8" s="77" customFormat="1" ht="51.75" customHeight="1" x14ac:dyDescent="0.2">
      <c r="A360" s="78" t="s">
        <v>63</v>
      </c>
      <c r="B360" s="75" t="s">
        <v>40</v>
      </c>
      <c r="C360" s="75" t="s">
        <v>16</v>
      </c>
      <c r="D360" s="75" t="s">
        <v>229</v>
      </c>
      <c r="E360" s="76" t="s">
        <v>64</v>
      </c>
      <c r="F360" s="55">
        <f>'изм июнь вед стр-ра'!G430</f>
        <v>1190.2</v>
      </c>
      <c r="G360" s="55">
        <f>'изм июнь вед стр-ра'!H430</f>
        <v>1186.8</v>
      </c>
      <c r="H360" s="55">
        <f>'изм июнь вед стр-ра'!I430</f>
        <v>1186.8</v>
      </c>
    </row>
    <row r="361" spans="1:8" s="77" customFormat="1" ht="25.5" x14ac:dyDescent="0.2">
      <c r="A361" s="80" t="s">
        <v>73</v>
      </c>
      <c r="B361" s="75" t="s">
        <v>40</v>
      </c>
      <c r="C361" s="75" t="s">
        <v>16</v>
      </c>
      <c r="D361" s="75" t="s">
        <v>229</v>
      </c>
      <c r="E361" s="76" t="s">
        <v>65</v>
      </c>
      <c r="F361" s="55">
        <f>'изм июнь вед стр-ра'!G431</f>
        <v>95.5</v>
      </c>
      <c r="G361" s="55">
        <f>'изм июнь вед стр-ра'!H431</f>
        <v>35.700000000000003</v>
      </c>
      <c r="H361" s="55">
        <f>'изм июнь вед стр-ра'!I431</f>
        <v>35.700000000000003</v>
      </c>
    </row>
    <row r="362" spans="1:8" s="26" customFormat="1" x14ac:dyDescent="0.2">
      <c r="A362" s="28" t="s">
        <v>69</v>
      </c>
      <c r="B362" s="24" t="s">
        <v>40</v>
      </c>
      <c r="C362" s="24" t="s">
        <v>16</v>
      </c>
      <c r="D362" s="24" t="s">
        <v>229</v>
      </c>
      <c r="E362" s="24" t="s">
        <v>70</v>
      </c>
      <c r="F362" s="55">
        <f>'изм июнь вед стр-ра'!G432</f>
        <v>5.2</v>
      </c>
      <c r="G362" s="55">
        <f>'изм июнь вед стр-ра'!H432</f>
        <v>0</v>
      </c>
      <c r="H362" s="55">
        <f>'изм июнь вед стр-ра'!I432</f>
        <v>0</v>
      </c>
    </row>
    <row r="363" spans="1:8" s="72" customFormat="1" x14ac:dyDescent="0.2">
      <c r="A363" s="68" t="s">
        <v>288</v>
      </c>
      <c r="B363" s="70" t="s">
        <v>40</v>
      </c>
      <c r="C363" s="70" t="s">
        <v>16</v>
      </c>
      <c r="D363" s="70" t="s">
        <v>335</v>
      </c>
      <c r="E363" s="70"/>
      <c r="F363" s="71">
        <f>F364+F365</f>
        <v>20247.300000000003</v>
      </c>
      <c r="G363" s="71">
        <f t="shared" ref="G363:H363" si="76">G364+G365</f>
        <v>19753.8</v>
      </c>
      <c r="H363" s="71">
        <f t="shared" si="76"/>
        <v>19753.8</v>
      </c>
    </row>
    <row r="364" spans="1:8" s="77" customFormat="1" ht="52.5" customHeight="1" x14ac:dyDescent="0.2">
      <c r="A364" s="78" t="s">
        <v>63</v>
      </c>
      <c r="B364" s="75" t="s">
        <v>40</v>
      </c>
      <c r="C364" s="75" t="s">
        <v>16</v>
      </c>
      <c r="D364" s="75" t="s">
        <v>335</v>
      </c>
      <c r="E364" s="76" t="s">
        <v>64</v>
      </c>
      <c r="F364" s="55">
        <f>'изм июнь вед стр-ра'!G434</f>
        <v>19696.100000000002</v>
      </c>
      <c r="G364" s="55">
        <f>'изм июнь вед стр-ра'!H434</f>
        <v>19692.7</v>
      </c>
      <c r="H364" s="55">
        <f>'изм июнь вед стр-ра'!I434</f>
        <v>19692.7</v>
      </c>
    </row>
    <row r="365" spans="1:8" s="77" customFormat="1" ht="25.5" x14ac:dyDescent="0.2">
      <c r="A365" s="80" t="s">
        <v>73</v>
      </c>
      <c r="B365" s="75" t="s">
        <v>40</v>
      </c>
      <c r="C365" s="75" t="s">
        <v>16</v>
      </c>
      <c r="D365" s="75" t="s">
        <v>335</v>
      </c>
      <c r="E365" s="76" t="s">
        <v>65</v>
      </c>
      <c r="F365" s="55">
        <f>'изм июнь вед стр-ра'!G435</f>
        <v>551.20000000000005</v>
      </c>
      <c r="G365" s="55">
        <f>'изм июнь вед стр-ра'!H435</f>
        <v>61.1</v>
      </c>
      <c r="H365" s="55">
        <f>'изм июнь вед стр-ра'!I435</f>
        <v>61.1</v>
      </c>
    </row>
    <row r="366" spans="1:8" s="21" customFormat="1" ht="15.75" x14ac:dyDescent="0.25">
      <c r="A366" s="122" t="s">
        <v>49</v>
      </c>
      <c r="B366" s="121" t="s">
        <v>48</v>
      </c>
      <c r="C366" s="121" t="s">
        <v>350</v>
      </c>
      <c r="D366" s="121"/>
      <c r="E366" s="121"/>
      <c r="F366" s="176">
        <f>F367+F371+F385+F436+F464</f>
        <v>877840.1452899999</v>
      </c>
      <c r="G366" s="176">
        <f>G367+G371+G385+G436+G464</f>
        <v>798905.18599999999</v>
      </c>
      <c r="H366" s="176">
        <f>H367+H371+H385+H436+H464</f>
        <v>1146842.6000000001</v>
      </c>
    </row>
    <row r="367" spans="1:8" s="72" customFormat="1" x14ac:dyDescent="0.2">
      <c r="A367" s="63" t="s">
        <v>50</v>
      </c>
      <c r="B367" s="65" t="s">
        <v>48</v>
      </c>
      <c r="C367" s="65" t="s">
        <v>10</v>
      </c>
      <c r="D367" s="65"/>
      <c r="E367" s="65"/>
      <c r="F367" s="66">
        <f>F368</f>
        <v>10230</v>
      </c>
      <c r="G367" s="66">
        <f>G368</f>
        <v>9482</v>
      </c>
      <c r="H367" s="66">
        <f>H368</f>
        <v>9482</v>
      </c>
    </row>
    <row r="368" spans="1:8" s="72" customFormat="1" ht="76.5" x14ac:dyDescent="0.2">
      <c r="A368" s="68" t="s">
        <v>231</v>
      </c>
      <c r="B368" s="70" t="s">
        <v>48</v>
      </c>
      <c r="C368" s="70" t="s">
        <v>10</v>
      </c>
      <c r="D368" s="70" t="s">
        <v>232</v>
      </c>
      <c r="E368" s="70"/>
      <c r="F368" s="71">
        <f>F370+F369</f>
        <v>10230</v>
      </c>
      <c r="G368" s="71">
        <f>G370+G369</f>
        <v>9482</v>
      </c>
      <c r="H368" s="71">
        <f>H370+H369</f>
        <v>9482</v>
      </c>
    </row>
    <row r="369" spans="1:8" s="72" customFormat="1" ht="25.5" x14ac:dyDescent="0.2">
      <c r="A369" s="80" t="s">
        <v>73</v>
      </c>
      <c r="B369" s="75" t="s">
        <v>48</v>
      </c>
      <c r="C369" s="75" t="s">
        <v>10</v>
      </c>
      <c r="D369" s="75" t="s">
        <v>232</v>
      </c>
      <c r="E369" s="76" t="s">
        <v>65</v>
      </c>
      <c r="F369" s="55">
        <f>'изм июнь вед стр-ра'!G455</f>
        <v>47.2</v>
      </c>
      <c r="G369" s="55">
        <f>'изм июнь вед стр-ра'!H455</f>
        <v>47.2</v>
      </c>
      <c r="H369" s="55">
        <f>'изм июнь вед стр-ра'!I455</f>
        <v>47.2</v>
      </c>
    </row>
    <row r="370" spans="1:8" s="72" customFormat="1" x14ac:dyDescent="0.2">
      <c r="A370" s="80" t="s">
        <v>66</v>
      </c>
      <c r="B370" s="75" t="s">
        <v>48</v>
      </c>
      <c r="C370" s="75" t="s">
        <v>10</v>
      </c>
      <c r="D370" s="75" t="s">
        <v>232</v>
      </c>
      <c r="E370" s="75" t="s">
        <v>67</v>
      </c>
      <c r="F370" s="55">
        <f>'изм июнь вед стр-ра'!G456</f>
        <v>10182.799999999999</v>
      </c>
      <c r="G370" s="55">
        <f>'изм июнь вед стр-ра'!H456</f>
        <v>9434.7999999999993</v>
      </c>
      <c r="H370" s="55">
        <f>'изм июнь вед стр-ра'!I456</f>
        <v>9434.7999999999993</v>
      </c>
    </row>
    <row r="371" spans="1:8" s="72" customFormat="1" x14ac:dyDescent="0.2">
      <c r="A371" s="63" t="s">
        <v>51</v>
      </c>
      <c r="B371" s="65" t="s">
        <v>48</v>
      </c>
      <c r="C371" s="65" t="s">
        <v>12</v>
      </c>
      <c r="D371" s="65"/>
      <c r="E371" s="65"/>
      <c r="F371" s="66">
        <f>F374+F376+F383+F380+F372</f>
        <v>188021.43400000001</v>
      </c>
      <c r="G371" s="66">
        <f t="shared" ref="G371:H371" si="77">G374+G376+G383+G380+G372</f>
        <v>185470.08599999998</v>
      </c>
      <c r="H371" s="66">
        <f t="shared" si="77"/>
        <v>185030.39999999999</v>
      </c>
    </row>
    <row r="372" spans="1:8" ht="127.5" x14ac:dyDescent="0.2">
      <c r="A372" s="18" t="s">
        <v>698</v>
      </c>
      <c r="B372" s="19" t="s">
        <v>48</v>
      </c>
      <c r="C372" s="19" t="s">
        <v>12</v>
      </c>
      <c r="D372" s="19" t="s">
        <v>699</v>
      </c>
      <c r="E372" s="19"/>
      <c r="F372" s="20">
        <f>F373</f>
        <v>1335</v>
      </c>
      <c r="G372" s="20">
        <f t="shared" ref="G372:H372" si="78">G373</f>
        <v>0</v>
      </c>
      <c r="H372" s="20">
        <f t="shared" si="78"/>
        <v>0</v>
      </c>
    </row>
    <row r="373" spans="1:8" ht="51" x14ac:dyDescent="0.2">
      <c r="A373" s="23" t="s">
        <v>63</v>
      </c>
      <c r="B373" s="19" t="s">
        <v>48</v>
      </c>
      <c r="C373" s="19" t="s">
        <v>12</v>
      </c>
      <c r="D373" s="19" t="s">
        <v>699</v>
      </c>
      <c r="E373" s="19" t="s">
        <v>64</v>
      </c>
      <c r="F373" s="20">
        <f>'изм июнь вед стр-ра'!G459</f>
        <v>1335</v>
      </c>
      <c r="G373" s="20">
        <f>'изм июнь вед стр-ра'!H459</f>
        <v>0</v>
      </c>
      <c r="H373" s="20">
        <f>'изм июнь вед стр-ра'!I459</f>
        <v>0</v>
      </c>
    </row>
    <row r="374" spans="1:8" s="72" customFormat="1" ht="76.5" x14ac:dyDescent="0.2">
      <c r="A374" s="68" t="s">
        <v>616</v>
      </c>
      <c r="B374" s="70" t="s">
        <v>48</v>
      </c>
      <c r="C374" s="70" t="s">
        <v>12</v>
      </c>
      <c r="D374" s="70" t="s">
        <v>615</v>
      </c>
      <c r="E374" s="70"/>
      <c r="F374" s="71">
        <f>F375</f>
        <v>133452.79999999999</v>
      </c>
      <c r="G374" s="71">
        <f>G375</f>
        <v>133452.79999999999</v>
      </c>
      <c r="H374" s="71">
        <f>H375</f>
        <v>133452.79999999999</v>
      </c>
    </row>
    <row r="375" spans="1:8" s="72" customFormat="1" ht="25.5" x14ac:dyDescent="0.2">
      <c r="A375" s="80" t="s">
        <v>119</v>
      </c>
      <c r="B375" s="75" t="s">
        <v>48</v>
      </c>
      <c r="C375" s="75" t="s">
        <v>12</v>
      </c>
      <c r="D375" s="75" t="s">
        <v>615</v>
      </c>
      <c r="E375" s="75" t="s">
        <v>62</v>
      </c>
      <c r="F375" s="55">
        <f>'изм июнь вед стр-ра'!G461</f>
        <v>133452.79999999999</v>
      </c>
      <c r="G375" s="55">
        <f>'изм июнь вед стр-ра'!H461</f>
        <v>133452.79999999999</v>
      </c>
      <c r="H375" s="55">
        <f>'изм июнь вед стр-ра'!I461</f>
        <v>133452.79999999999</v>
      </c>
    </row>
    <row r="376" spans="1:8" s="72" customFormat="1" ht="63.75" x14ac:dyDescent="0.2">
      <c r="A376" s="68" t="s">
        <v>233</v>
      </c>
      <c r="B376" s="70" t="s">
        <v>48</v>
      </c>
      <c r="C376" s="70" t="s">
        <v>12</v>
      </c>
      <c r="D376" s="70" t="s">
        <v>94</v>
      </c>
      <c r="E376" s="70"/>
      <c r="F376" s="71">
        <f>F377+F378+F379</f>
        <v>51567.600000000006</v>
      </c>
      <c r="G376" s="71">
        <f t="shared" ref="G376:H376" si="79">G377+G378+G379</f>
        <v>51567.600000000006</v>
      </c>
      <c r="H376" s="71">
        <f t="shared" si="79"/>
        <v>51567.600000000006</v>
      </c>
    </row>
    <row r="377" spans="1:8" s="72" customFormat="1" ht="51" x14ac:dyDescent="0.2">
      <c r="A377" s="73" t="s">
        <v>63</v>
      </c>
      <c r="B377" s="75" t="s">
        <v>48</v>
      </c>
      <c r="C377" s="75" t="s">
        <v>12</v>
      </c>
      <c r="D377" s="75" t="s">
        <v>94</v>
      </c>
      <c r="E377" s="76" t="s">
        <v>64</v>
      </c>
      <c r="F377" s="55">
        <f>'изм июнь вед стр-ра'!G463</f>
        <v>44444.3</v>
      </c>
      <c r="G377" s="55">
        <f>'изм июнь вед стр-ра'!H463</f>
        <v>44444.3</v>
      </c>
      <c r="H377" s="55">
        <f>'изм июнь вед стр-ра'!I463</f>
        <v>44444.3</v>
      </c>
    </row>
    <row r="378" spans="1:8" s="72" customFormat="1" ht="25.5" x14ac:dyDescent="0.2">
      <c r="A378" s="80" t="s">
        <v>73</v>
      </c>
      <c r="B378" s="75" t="s">
        <v>48</v>
      </c>
      <c r="C378" s="75" t="s">
        <v>12</v>
      </c>
      <c r="D378" s="75" t="s">
        <v>94</v>
      </c>
      <c r="E378" s="76" t="s">
        <v>65</v>
      </c>
      <c r="F378" s="55">
        <f>'изм июнь вед стр-ра'!G464</f>
        <v>6828.3</v>
      </c>
      <c r="G378" s="55">
        <f>'изм июнь вед стр-ра'!H464</f>
        <v>6828.3</v>
      </c>
      <c r="H378" s="55">
        <f>'изм июнь вед стр-ра'!I464</f>
        <v>6828.3</v>
      </c>
    </row>
    <row r="379" spans="1:8" s="72" customFormat="1" x14ac:dyDescent="0.2">
      <c r="A379" s="80" t="s">
        <v>69</v>
      </c>
      <c r="B379" s="75" t="s">
        <v>48</v>
      </c>
      <c r="C379" s="75" t="s">
        <v>12</v>
      </c>
      <c r="D379" s="75" t="s">
        <v>94</v>
      </c>
      <c r="E379" s="75" t="s">
        <v>70</v>
      </c>
      <c r="F379" s="55">
        <f>'изм июнь вед стр-ра'!G465</f>
        <v>295</v>
      </c>
      <c r="G379" s="55">
        <f>'изм июнь вед стр-ра'!H465</f>
        <v>295</v>
      </c>
      <c r="H379" s="55">
        <f>'изм июнь вед стр-ра'!I465</f>
        <v>295</v>
      </c>
    </row>
    <row r="380" spans="1:8" s="72" customFormat="1" ht="25.5" x14ac:dyDescent="0.2">
      <c r="A380" s="18" t="s">
        <v>234</v>
      </c>
      <c r="B380" s="19" t="s">
        <v>48</v>
      </c>
      <c r="C380" s="19" t="s">
        <v>12</v>
      </c>
      <c r="D380" s="19" t="s">
        <v>279</v>
      </c>
      <c r="E380" s="19"/>
      <c r="F380" s="25">
        <f>F382+F381</f>
        <v>1656.0340000000001</v>
      </c>
      <c r="G380" s="25">
        <f t="shared" ref="G380:H380" si="80">G382+G381</f>
        <v>439.68599999999998</v>
      </c>
      <c r="H380" s="25">
        <f t="shared" si="80"/>
        <v>0</v>
      </c>
    </row>
    <row r="381" spans="1:8" s="72" customFormat="1" ht="51" x14ac:dyDescent="0.2">
      <c r="A381" s="73" t="s">
        <v>63</v>
      </c>
      <c r="B381" s="24" t="s">
        <v>48</v>
      </c>
      <c r="C381" s="24" t="s">
        <v>12</v>
      </c>
      <c r="D381" s="24" t="s">
        <v>279</v>
      </c>
      <c r="E381" s="19" t="s">
        <v>64</v>
      </c>
      <c r="F381" s="25">
        <f>'изм июнь вед стр-ра'!G467</f>
        <v>20.399999999999999</v>
      </c>
      <c r="G381" s="25">
        <f>'изм июнь вед стр-ра'!H467</f>
        <v>0</v>
      </c>
      <c r="H381" s="25">
        <f>'изм июнь вед стр-ра'!I467</f>
        <v>0</v>
      </c>
    </row>
    <row r="382" spans="1:8" s="72" customFormat="1" ht="25.5" x14ac:dyDescent="0.2">
      <c r="A382" s="28" t="s">
        <v>73</v>
      </c>
      <c r="B382" s="24" t="s">
        <v>48</v>
      </c>
      <c r="C382" s="24" t="s">
        <v>12</v>
      </c>
      <c r="D382" s="24" t="s">
        <v>279</v>
      </c>
      <c r="E382" s="27" t="s">
        <v>65</v>
      </c>
      <c r="F382" s="25">
        <f>'изм июнь вед стр-ра'!G468</f>
        <v>1635.634</v>
      </c>
      <c r="G382" s="25">
        <f>'изм июнь вед стр-ра'!H468</f>
        <v>439.68599999999998</v>
      </c>
      <c r="H382" s="25">
        <f>'изм июнь вед стр-ра'!I468</f>
        <v>0</v>
      </c>
    </row>
    <row r="383" spans="1:8" s="21" customFormat="1" ht="75" customHeight="1" x14ac:dyDescent="0.2">
      <c r="A383" s="18" t="s">
        <v>236</v>
      </c>
      <c r="B383" s="19" t="s">
        <v>48</v>
      </c>
      <c r="C383" s="19" t="s">
        <v>12</v>
      </c>
      <c r="D383" s="19" t="s">
        <v>99</v>
      </c>
      <c r="E383" s="19"/>
      <c r="F383" s="20">
        <f>F384</f>
        <v>10</v>
      </c>
      <c r="G383" s="20">
        <f t="shared" ref="G383:H383" si="81">G384</f>
        <v>10</v>
      </c>
      <c r="H383" s="20">
        <f t="shared" si="81"/>
        <v>10</v>
      </c>
    </row>
    <row r="384" spans="1:8" s="77" customFormat="1" ht="51.75" customHeight="1" x14ac:dyDescent="0.2">
      <c r="A384" s="73" t="s">
        <v>63</v>
      </c>
      <c r="B384" s="75" t="s">
        <v>48</v>
      </c>
      <c r="C384" s="75" t="s">
        <v>12</v>
      </c>
      <c r="D384" s="75" t="s">
        <v>99</v>
      </c>
      <c r="E384" s="75" t="s">
        <v>64</v>
      </c>
      <c r="F384" s="55">
        <f>'изм июнь вед стр-ра'!G470</f>
        <v>10</v>
      </c>
      <c r="G384" s="55">
        <f>'изм июнь вед стр-ра'!H470</f>
        <v>10</v>
      </c>
      <c r="H384" s="55">
        <f>'изм июнь вед стр-ра'!I470</f>
        <v>10</v>
      </c>
    </row>
    <row r="385" spans="1:8" s="72" customFormat="1" x14ac:dyDescent="0.2">
      <c r="A385" s="63" t="s">
        <v>52</v>
      </c>
      <c r="B385" s="65" t="s">
        <v>48</v>
      </c>
      <c r="C385" s="65" t="s">
        <v>14</v>
      </c>
      <c r="D385" s="65"/>
      <c r="E385" s="65"/>
      <c r="F385" s="66">
        <f>F391+F401+F406+F404+F411+F413+F416+F418+F420+F386+F422+F424+F426+F429+F432+F408+F389+F395+F399+F393+F397</f>
        <v>387828.01128999999</v>
      </c>
      <c r="G385" s="66">
        <f t="shared" ref="G385:H385" si="82">G391+G401+G406+G404+G411+G413+G416+G418+G420+G386+G422+G424+G426+G429+G432+G408+G389+G395+G399+G393+G397</f>
        <v>313584.7</v>
      </c>
      <c r="H385" s="66">
        <f t="shared" si="82"/>
        <v>659072.80000000005</v>
      </c>
    </row>
    <row r="386" spans="1:8" s="21" customFormat="1" ht="51" x14ac:dyDescent="0.2">
      <c r="A386" s="18" t="s">
        <v>220</v>
      </c>
      <c r="B386" s="19" t="s">
        <v>48</v>
      </c>
      <c r="C386" s="19" t="s">
        <v>14</v>
      </c>
      <c r="D386" s="19" t="s">
        <v>344</v>
      </c>
      <c r="E386" s="19"/>
      <c r="F386" s="20">
        <f>F387+F388</f>
        <v>6903</v>
      </c>
      <c r="G386" s="20">
        <f t="shared" ref="G386:H386" si="83">G387+G388</f>
        <v>6903</v>
      </c>
      <c r="H386" s="20">
        <f t="shared" si="83"/>
        <v>6903</v>
      </c>
    </row>
    <row r="387" spans="1:8" s="21" customFormat="1" x14ac:dyDescent="0.2">
      <c r="A387" s="28" t="s">
        <v>66</v>
      </c>
      <c r="B387" s="24" t="s">
        <v>48</v>
      </c>
      <c r="C387" s="24" t="s">
        <v>14</v>
      </c>
      <c r="D387" s="24" t="s">
        <v>344</v>
      </c>
      <c r="E387" s="24" t="s">
        <v>67</v>
      </c>
      <c r="F387" s="25">
        <f>'изм июнь вед стр-ра'!G473</f>
        <v>42.5</v>
      </c>
      <c r="G387" s="25">
        <f>'изм июнь вед стр-ра'!H473</f>
        <v>42.5</v>
      </c>
      <c r="H387" s="25">
        <f>'изм июнь вед стр-ра'!I473</f>
        <v>42.5</v>
      </c>
    </row>
    <row r="388" spans="1:8" s="21" customFormat="1" ht="25.5" x14ac:dyDescent="0.2">
      <c r="A388" s="28" t="s">
        <v>119</v>
      </c>
      <c r="B388" s="24" t="s">
        <v>48</v>
      </c>
      <c r="C388" s="24" t="s">
        <v>14</v>
      </c>
      <c r="D388" s="24" t="s">
        <v>344</v>
      </c>
      <c r="E388" s="24" t="s">
        <v>62</v>
      </c>
      <c r="F388" s="25">
        <f>'изм июнь вед стр-ра'!G358</f>
        <v>6860.5</v>
      </c>
      <c r="G388" s="25">
        <f>'изм июнь вед стр-ра'!H358</f>
        <v>6860.5</v>
      </c>
      <c r="H388" s="25">
        <f>'изм июнь вед стр-ра'!I358</f>
        <v>6860.5</v>
      </c>
    </row>
    <row r="389" spans="1:8" s="21" customFormat="1" ht="51" x14ac:dyDescent="0.2">
      <c r="A389" s="18" t="s">
        <v>309</v>
      </c>
      <c r="B389" s="19" t="s">
        <v>48</v>
      </c>
      <c r="C389" s="19" t="s">
        <v>14</v>
      </c>
      <c r="D389" s="19" t="s">
        <v>308</v>
      </c>
      <c r="E389" s="19"/>
      <c r="F389" s="20">
        <f>F390</f>
        <v>654.70000000000005</v>
      </c>
      <c r="G389" s="20">
        <f>G390</f>
        <v>0</v>
      </c>
      <c r="H389" s="20">
        <f>H390</f>
        <v>654.70000000000005</v>
      </c>
    </row>
    <row r="390" spans="1:8" s="21" customFormat="1" ht="25.5" x14ac:dyDescent="0.2">
      <c r="A390" s="28" t="s">
        <v>79</v>
      </c>
      <c r="B390" s="24" t="s">
        <v>48</v>
      </c>
      <c r="C390" s="24" t="s">
        <v>14</v>
      </c>
      <c r="D390" s="24" t="s">
        <v>308</v>
      </c>
      <c r="E390" s="24" t="s">
        <v>68</v>
      </c>
      <c r="F390" s="25">
        <f>'изм июнь вед стр-ра'!G117</f>
        <v>654.70000000000005</v>
      </c>
      <c r="G390" s="25">
        <f>'изм июнь вед стр-ра'!H117</f>
        <v>0</v>
      </c>
      <c r="H390" s="25">
        <f>'изм июнь вед стр-ра'!I117</f>
        <v>654.70000000000005</v>
      </c>
    </row>
    <row r="391" spans="1:8" s="21" customFormat="1" ht="63.75" x14ac:dyDescent="0.2">
      <c r="A391" s="18" t="s">
        <v>480</v>
      </c>
      <c r="B391" s="19" t="s">
        <v>48</v>
      </c>
      <c r="C391" s="19" t="s">
        <v>14</v>
      </c>
      <c r="D391" s="19" t="s">
        <v>85</v>
      </c>
      <c r="E391" s="19"/>
      <c r="F391" s="20">
        <f>F392</f>
        <v>2618.5</v>
      </c>
      <c r="G391" s="20">
        <f t="shared" ref="G391:H391" si="84">G392</f>
        <v>0</v>
      </c>
      <c r="H391" s="20">
        <f t="shared" si="84"/>
        <v>1309.3</v>
      </c>
    </row>
    <row r="392" spans="1:8" s="21" customFormat="1" x14ac:dyDescent="0.2">
      <c r="A392" s="28" t="s">
        <v>66</v>
      </c>
      <c r="B392" s="19" t="s">
        <v>48</v>
      </c>
      <c r="C392" s="19" t="s">
        <v>14</v>
      </c>
      <c r="D392" s="19" t="s">
        <v>85</v>
      </c>
      <c r="E392" s="19" t="s">
        <v>67</v>
      </c>
      <c r="F392" s="20">
        <f>'изм июнь вед стр-ра'!G119</f>
        <v>2618.5</v>
      </c>
      <c r="G392" s="20">
        <f>'изм июнь вед стр-ра'!H119</f>
        <v>0</v>
      </c>
      <c r="H392" s="20">
        <f>'изм июнь вед стр-ра'!I119</f>
        <v>1309.3</v>
      </c>
    </row>
    <row r="393" spans="1:8" s="21" customFormat="1" ht="25.5" x14ac:dyDescent="0.2">
      <c r="A393" s="18" t="s">
        <v>290</v>
      </c>
      <c r="B393" s="19" t="s">
        <v>48</v>
      </c>
      <c r="C393" s="19" t="s">
        <v>14</v>
      </c>
      <c r="D393" s="19" t="s">
        <v>289</v>
      </c>
      <c r="E393" s="19"/>
      <c r="F393" s="20">
        <f>F394</f>
        <v>19433.5</v>
      </c>
      <c r="G393" s="20">
        <f>G394</f>
        <v>19433.5</v>
      </c>
      <c r="H393" s="20">
        <f>H394</f>
        <v>19433.5</v>
      </c>
    </row>
    <row r="394" spans="1:8" s="26" customFormat="1" ht="25.5" x14ac:dyDescent="0.2">
      <c r="A394" s="28" t="s">
        <v>79</v>
      </c>
      <c r="B394" s="24" t="s">
        <v>48</v>
      </c>
      <c r="C394" s="24" t="s">
        <v>14</v>
      </c>
      <c r="D394" s="24" t="s">
        <v>289</v>
      </c>
      <c r="E394" s="24" t="s">
        <v>68</v>
      </c>
      <c r="F394" s="25">
        <f>'изм июнь вед стр-ра'!G121</f>
        <v>19433.5</v>
      </c>
      <c r="G394" s="25">
        <f>'изм июнь вед стр-ра'!H121</f>
        <v>19433.5</v>
      </c>
      <c r="H394" s="25">
        <f>'изм июнь вед стр-ра'!I121</f>
        <v>19433.5</v>
      </c>
    </row>
    <row r="395" spans="1:8" s="21" customFormat="1" ht="38.25" x14ac:dyDescent="0.2">
      <c r="A395" s="18" t="s">
        <v>280</v>
      </c>
      <c r="B395" s="19" t="s">
        <v>48</v>
      </c>
      <c r="C395" s="19" t="s">
        <v>14</v>
      </c>
      <c r="D395" s="19" t="s">
        <v>143</v>
      </c>
      <c r="E395" s="19"/>
      <c r="F395" s="20">
        <f>F396</f>
        <v>2000</v>
      </c>
      <c r="G395" s="20">
        <f>G396</f>
        <v>0</v>
      </c>
      <c r="H395" s="20">
        <f>H396</f>
        <v>0</v>
      </c>
    </row>
    <row r="396" spans="1:8" s="26" customFormat="1" ht="25.5" x14ac:dyDescent="0.2">
      <c r="A396" s="28" t="s">
        <v>79</v>
      </c>
      <c r="B396" s="24" t="s">
        <v>48</v>
      </c>
      <c r="C396" s="24" t="s">
        <v>14</v>
      </c>
      <c r="D396" s="24" t="s">
        <v>143</v>
      </c>
      <c r="E396" s="24" t="s">
        <v>68</v>
      </c>
      <c r="F396" s="25">
        <f>'изм июнь вед стр-ра'!G123</f>
        <v>2000</v>
      </c>
      <c r="G396" s="25">
        <f>'изм июнь вед стр-ра'!H123</f>
        <v>0</v>
      </c>
      <c r="H396" s="25">
        <f>'изм июнь вед стр-ра'!I123</f>
        <v>0</v>
      </c>
    </row>
    <row r="397" spans="1:8" s="72" customFormat="1" x14ac:dyDescent="0.2">
      <c r="A397" s="68" t="s">
        <v>314</v>
      </c>
      <c r="B397" s="70" t="s">
        <v>48</v>
      </c>
      <c r="C397" s="70" t="s">
        <v>14</v>
      </c>
      <c r="D397" s="70" t="s">
        <v>313</v>
      </c>
      <c r="E397" s="70"/>
      <c r="F397" s="71">
        <f>F398</f>
        <v>3362.1112900000003</v>
      </c>
      <c r="G397" s="71">
        <f>G398</f>
        <v>1966.3</v>
      </c>
      <c r="H397" s="71">
        <f>H398</f>
        <v>1966.3</v>
      </c>
    </row>
    <row r="398" spans="1:8" s="77" customFormat="1" x14ac:dyDescent="0.2">
      <c r="A398" s="93" t="s">
        <v>66</v>
      </c>
      <c r="B398" s="75" t="s">
        <v>48</v>
      </c>
      <c r="C398" s="75" t="s">
        <v>14</v>
      </c>
      <c r="D398" s="75" t="s">
        <v>313</v>
      </c>
      <c r="E398" s="94">
        <v>300</v>
      </c>
      <c r="F398" s="55">
        <f>'изм июнь вед стр-ра'!G125</f>
        <v>3362.1112900000003</v>
      </c>
      <c r="G398" s="55">
        <f>'изм июнь вед стр-ра'!H125</f>
        <v>1966.3</v>
      </c>
      <c r="H398" s="55">
        <f>'изм июнь вед стр-ра'!I125</f>
        <v>1966.3</v>
      </c>
    </row>
    <row r="399" spans="1:8" s="72" customFormat="1" ht="25.5" x14ac:dyDescent="0.2">
      <c r="A399" s="68" t="s">
        <v>142</v>
      </c>
      <c r="B399" s="70" t="s">
        <v>48</v>
      </c>
      <c r="C399" s="70" t="s">
        <v>14</v>
      </c>
      <c r="D399" s="70" t="s">
        <v>86</v>
      </c>
      <c r="E399" s="70"/>
      <c r="F399" s="71">
        <f>F400</f>
        <v>340671.4</v>
      </c>
      <c r="G399" s="71">
        <f>G400</f>
        <v>272908.5</v>
      </c>
      <c r="H399" s="71">
        <f>H400</f>
        <v>616432.6</v>
      </c>
    </row>
    <row r="400" spans="1:8" s="77" customFormat="1" x14ac:dyDescent="0.2">
      <c r="A400" s="80" t="s">
        <v>66</v>
      </c>
      <c r="B400" s="75" t="s">
        <v>48</v>
      </c>
      <c r="C400" s="75" t="s">
        <v>14</v>
      </c>
      <c r="D400" s="75" t="s">
        <v>86</v>
      </c>
      <c r="E400" s="75" t="s">
        <v>67</v>
      </c>
      <c r="F400" s="55">
        <f>'изм июнь вед стр-ра'!G127</f>
        <v>340671.4</v>
      </c>
      <c r="G400" s="55">
        <f>'изм июнь вед стр-ра'!H127</f>
        <v>272908.5</v>
      </c>
      <c r="H400" s="55">
        <f>'изм июнь вед стр-ра'!I127</f>
        <v>616432.6</v>
      </c>
    </row>
    <row r="401" spans="1:8" s="21" customFormat="1" ht="25.5" x14ac:dyDescent="0.2">
      <c r="A401" s="18" t="s">
        <v>298</v>
      </c>
      <c r="B401" s="19" t="s">
        <v>48</v>
      </c>
      <c r="C401" s="19" t="s">
        <v>14</v>
      </c>
      <c r="D401" s="19" t="s">
        <v>81</v>
      </c>
      <c r="E401" s="19"/>
      <c r="F401" s="20">
        <f>F402+F403</f>
        <v>1600</v>
      </c>
      <c r="G401" s="20">
        <f t="shared" ref="G401:H401" si="85">G402+G403</f>
        <v>1600</v>
      </c>
      <c r="H401" s="20">
        <f t="shared" si="85"/>
        <v>1600</v>
      </c>
    </row>
    <row r="402" spans="1:8" s="21" customFormat="1" x14ac:dyDescent="0.2">
      <c r="A402" s="52" t="s">
        <v>66</v>
      </c>
      <c r="B402" s="24" t="s">
        <v>48</v>
      </c>
      <c r="C402" s="24" t="s">
        <v>14</v>
      </c>
      <c r="D402" s="24" t="s">
        <v>81</v>
      </c>
      <c r="E402" s="24" t="s">
        <v>67</v>
      </c>
      <c r="F402" s="25">
        <f>'изм июнь вед стр-ра'!G346+'изм июнь вед стр-ра'!G439</f>
        <v>258.7</v>
      </c>
      <c r="G402" s="25">
        <f>'изм июнь вед стр-ра'!H346+'изм июнь вед стр-ра'!H439</f>
        <v>258.7</v>
      </c>
      <c r="H402" s="25">
        <f>'изм июнь вед стр-ра'!I346+'изм июнь вед стр-ра'!I439</f>
        <v>258.7</v>
      </c>
    </row>
    <row r="403" spans="1:8" s="21" customFormat="1" ht="25.5" x14ac:dyDescent="0.2">
      <c r="A403" s="28" t="s">
        <v>119</v>
      </c>
      <c r="B403" s="24" t="s">
        <v>48</v>
      </c>
      <c r="C403" s="24" t="s">
        <v>14</v>
      </c>
      <c r="D403" s="24" t="s">
        <v>81</v>
      </c>
      <c r="E403" s="24" t="s">
        <v>62</v>
      </c>
      <c r="F403" s="25">
        <f>'изм июнь вед стр-ра'!G347</f>
        <v>1341.3</v>
      </c>
      <c r="G403" s="25">
        <f>'изм июнь вед стр-ра'!H347</f>
        <v>1341.3</v>
      </c>
      <c r="H403" s="25">
        <f>'изм июнь вед стр-ра'!I347</f>
        <v>1341.3</v>
      </c>
    </row>
    <row r="404" spans="1:8" s="21" customFormat="1" ht="38.25" x14ac:dyDescent="0.2">
      <c r="A404" s="18" t="s">
        <v>217</v>
      </c>
      <c r="B404" s="19" t="s">
        <v>48</v>
      </c>
      <c r="C404" s="19" t="s">
        <v>14</v>
      </c>
      <c r="D404" s="19" t="s">
        <v>106</v>
      </c>
      <c r="E404" s="19"/>
      <c r="F404" s="20">
        <f>F405</f>
        <v>207</v>
      </c>
      <c r="G404" s="20">
        <f>G405</f>
        <v>207</v>
      </c>
      <c r="H404" s="20">
        <f>H405</f>
        <v>207</v>
      </c>
    </row>
    <row r="405" spans="1:8" s="21" customFormat="1" x14ac:dyDescent="0.2">
      <c r="A405" s="52" t="s">
        <v>66</v>
      </c>
      <c r="B405" s="24" t="s">
        <v>48</v>
      </c>
      <c r="C405" s="24" t="s">
        <v>14</v>
      </c>
      <c r="D405" s="24" t="s">
        <v>106</v>
      </c>
      <c r="E405" s="29">
        <v>300</v>
      </c>
      <c r="F405" s="25">
        <f>'изм июнь вед стр-ра'!G349</f>
        <v>207</v>
      </c>
      <c r="G405" s="25">
        <f>'изм июнь вед стр-ра'!H349</f>
        <v>207</v>
      </c>
      <c r="H405" s="25">
        <f>'изм июнь вед стр-ра'!I349</f>
        <v>207</v>
      </c>
    </row>
    <row r="406" spans="1:8" s="21" customFormat="1" ht="38.25" x14ac:dyDescent="0.2">
      <c r="A406" s="46" t="s">
        <v>218</v>
      </c>
      <c r="B406" s="19" t="s">
        <v>48</v>
      </c>
      <c r="C406" s="19" t="s">
        <v>14</v>
      </c>
      <c r="D406" s="19" t="s">
        <v>105</v>
      </c>
      <c r="E406" s="19"/>
      <c r="F406" s="20">
        <f>F407</f>
        <v>570</v>
      </c>
      <c r="G406" s="20">
        <f>G407</f>
        <v>570</v>
      </c>
      <c r="H406" s="20">
        <f>H407</f>
        <v>570</v>
      </c>
    </row>
    <row r="407" spans="1:8" s="21" customFormat="1" x14ac:dyDescent="0.2">
      <c r="A407" s="52" t="s">
        <v>66</v>
      </c>
      <c r="B407" s="24" t="s">
        <v>48</v>
      </c>
      <c r="C407" s="24" t="s">
        <v>14</v>
      </c>
      <c r="D407" s="24" t="s">
        <v>105</v>
      </c>
      <c r="E407" s="24" t="s">
        <v>67</v>
      </c>
      <c r="F407" s="25">
        <f>'изм июнь вед стр-ра'!G351</f>
        <v>570</v>
      </c>
      <c r="G407" s="25">
        <f>'изм июнь вед стр-ра'!H351</f>
        <v>570</v>
      </c>
      <c r="H407" s="25">
        <f>'изм июнь вед стр-ра'!I351</f>
        <v>570</v>
      </c>
    </row>
    <row r="408" spans="1:8" s="72" customFormat="1" ht="25.5" x14ac:dyDescent="0.2">
      <c r="A408" s="95" t="s">
        <v>219</v>
      </c>
      <c r="B408" s="70" t="s">
        <v>48</v>
      </c>
      <c r="C408" s="70" t="s">
        <v>14</v>
      </c>
      <c r="D408" s="70" t="s">
        <v>112</v>
      </c>
      <c r="E408" s="70"/>
      <c r="F408" s="71">
        <f>F410+F409</f>
        <v>2005</v>
      </c>
      <c r="G408" s="71">
        <f>G410+G409</f>
        <v>2005</v>
      </c>
      <c r="H408" s="71">
        <f>H410+H409</f>
        <v>2005</v>
      </c>
    </row>
    <row r="409" spans="1:8" s="72" customFormat="1" ht="25.5" x14ac:dyDescent="0.2">
      <c r="A409" s="80" t="s">
        <v>73</v>
      </c>
      <c r="B409" s="75" t="s">
        <v>48</v>
      </c>
      <c r="C409" s="75" t="s">
        <v>14</v>
      </c>
      <c r="D409" s="75" t="s">
        <v>112</v>
      </c>
      <c r="E409" s="76" t="s">
        <v>65</v>
      </c>
      <c r="F409" s="55">
        <f>'изм июнь вед стр-ра'!G353</f>
        <v>325</v>
      </c>
      <c r="G409" s="55">
        <f>'изм июнь вед стр-ра'!H353</f>
        <v>325</v>
      </c>
      <c r="H409" s="55">
        <f>'изм июнь вед стр-ра'!I353</f>
        <v>325</v>
      </c>
    </row>
    <row r="410" spans="1:8" s="72" customFormat="1" ht="25.5" x14ac:dyDescent="0.2">
      <c r="A410" s="80" t="s">
        <v>119</v>
      </c>
      <c r="B410" s="75" t="s">
        <v>48</v>
      </c>
      <c r="C410" s="75" t="s">
        <v>14</v>
      </c>
      <c r="D410" s="75" t="s">
        <v>112</v>
      </c>
      <c r="E410" s="75" t="s">
        <v>62</v>
      </c>
      <c r="F410" s="55">
        <f>'изм июнь вед стр-ра'!G354</f>
        <v>1680</v>
      </c>
      <c r="G410" s="55">
        <f>'изм июнь вед стр-ра'!H354</f>
        <v>1680</v>
      </c>
      <c r="H410" s="55">
        <f>'изм июнь вед стр-ра'!I354</f>
        <v>1680</v>
      </c>
    </row>
    <row r="411" spans="1:8" s="21" customFormat="1" ht="63.75" x14ac:dyDescent="0.2">
      <c r="A411" s="18" t="s">
        <v>530</v>
      </c>
      <c r="B411" s="19" t="s">
        <v>48</v>
      </c>
      <c r="C411" s="19" t="s">
        <v>14</v>
      </c>
      <c r="D411" s="19" t="s">
        <v>107</v>
      </c>
      <c r="E411" s="19"/>
      <c r="F411" s="20">
        <f>F412</f>
        <v>125.89999999999998</v>
      </c>
      <c r="G411" s="20">
        <f>G412</f>
        <v>325.89999999999998</v>
      </c>
      <c r="H411" s="20">
        <f>H412</f>
        <v>325.89999999999998</v>
      </c>
    </row>
    <row r="412" spans="1:8" s="72" customFormat="1" x14ac:dyDescent="0.2">
      <c r="A412" s="80" t="s">
        <v>66</v>
      </c>
      <c r="B412" s="75" t="s">
        <v>48</v>
      </c>
      <c r="C412" s="75" t="s">
        <v>14</v>
      </c>
      <c r="D412" s="75" t="s">
        <v>107</v>
      </c>
      <c r="E412" s="75" t="s">
        <v>67</v>
      </c>
      <c r="F412" s="55">
        <f>'изм июнь вед стр-ра'!G356</f>
        <v>125.89999999999998</v>
      </c>
      <c r="G412" s="55">
        <f>'изм июнь вед стр-ра'!H356</f>
        <v>325.89999999999998</v>
      </c>
      <c r="H412" s="55">
        <f>'изм июнь вед стр-ра'!I356</f>
        <v>325.89999999999998</v>
      </c>
    </row>
    <row r="413" spans="1:8" s="21" customFormat="1" ht="76.5" x14ac:dyDescent="0.2">
      <c r="A413" s="18" t="s">
        <v>235</v>
      </c>
      <c r="B413" s="19" t="s">
        <v>48</v>
      </c>
      <c r="C413" s="19" t="s">
        <v>14</v>
      </c>
      <c r="D413" s="19" t="s">
        <v>96</v>
      </c>
      <c r="E413" s="19"/>
      <c r="F413" s="20">
        <f>F414+F415</f>
        <v>11.4</v>
      </c>
      <c r="G413" s="20">
        <f>G414+G415</f>
        <v>0</v>
      </c>
      <c r="H413" s="20">
        <f>H414+H415</f>
        <v>0</v>
      </c>
    </row>
    <row r="414" spans="1:8" s="72" customFormat="1" ht="25.5" x14ac:dyDescent="0.2">
      <c r="A414" s="80" t="s">
        <v>73</v>
      </c>
      <c r="B414" s="75" t="s">
        <v>48</v>
      </c>
      <c r="C414" s="75" t="s">
        <v>14</v>
      </c>
      <c r="D414" s="75" t="s">
        <v>96</v>
      </c>
      <c r="E414" s="76" t="s">
        <v>65</v>
      </c>
      <c r="F414" s="55">
        <f>'изм июнь вед стр-ра'!G475</f>
        <v>8.4970000000000004E-2</v>
      </c>
      <c r="G414" s="55">
        <f>'изм июнь вед стр-ра'!H475</f>
        <v>0</v>
      </c>
      <c r="H414" s="55">
        <f>'изм июнь вед стр-ра'!I475</f>
        <v>0</v>
      </c>
    </row>
    <row r="415" spans="1:8" s="72" customFormat="1" x14ac:dyDescent="0.2">
      <c r="A415" s="80" t="s">
        <v>66</v>
      </c>
      <c r="B415" s="75" t="s">
        <v>48</v>
      </c>
      <c r="C415" s="75" t="s">
        <v>14</v>
      </c>
      <c r="D415" s="75" t="s">
        <v>96</v>
      </c>
      <c r="E415" s="75" t="s">
        <v>67</v>
      </c>
      <c r="F415" s="55">
        <f>'изм июнь вед стр-ра'!G476</f>
        <v>11.31503</v>
      </c>
      <c r="G415" s="55">
        <f>'изм июнь вед стр-ра'!H476</f>
        <v>0</v>
      </c>
      <c r="H415" s="55">
        <f>'изм июнь вед стр-ра'!I476</f>
        <v>0</v>
      </c>
    </row>
    <row r="416" spans="1:8" s="21" customFormat="1" ht="63.75" x14ac:dyDescent="0.2">
      <c r="A416" s="18" t="s">
        <v>153</v>
      </c>
      <c r="B416" s="19" t="s">
        <v>48</v>
      </c>
      <c r="C416" s="19" t="s">
        <v>14</v>
      </c>
      <c r="D416" s="19" t="s">
        <v>88</v>
      </c>
      <c r="E416" s="19"/>
      <c r="F416" s="20">
        <f>F417</f>
        <v>2070</v>
      </c>
      <c r="G416" s="20">
        <f t="shared" ref="G416:H416" si="86">G417</f>
        <v>2070</v>
      </c>
      <c r="H416" s="20">
        <f t="shared" si="86"/>
        <v>2070</v>
      </c>
    </row>
    <row r="417" spans="1:8" s="21" customFormat="1" x14ac:dyDescent="0.2">
      <c r="A417" s="28" t="s">
        <v>66</v>
      </c>
      <c r="B417" s="24" t="s">
        <v>48</v>
      </c>
      <c r="C417" s="24" t="s">
        <v>14</v>
      </c>
      <c r="D417" s="24" t="s">
        <v>88</v>
      </c>
      <c r="E417" s="24" t="s">
        <v>67</v>
      </c>
      <c r="F417" s="25">
        <f>'изм июнь вед стр-ра'!G478</f>
        <v>2070</v>
      </c>
      <c r="G417" s="25">
        <f>'изм июнь вед стр-ра'!H478</f>
        <v>2070</v>
      </c>
      <c r="H417" s="25">
        <f>'изм июнь вед стр-ра'!I478</f>
        <v>2070</v>
      </c>
    </row>
    <row r="418" spans="1:8" s="21" customFormat="1" ht="127.5" x14ac:dyDescent="0.2">
      <c r="A418" s="18" t="s">
        <v>278</v>
      </c>
      <c r="B418" s="19" t="s">
        <v>48</v>
      </c>
      <c r="C418" s="19" t="s">
        <v>14</v>
      </c>
      <c r="D418" s="19" t="s">
        <v>89</v>
      </c>
      <c r="E418" s="19"/>
      <c r="F418" s="20">
        <f>F419</f>
        <v>36</v>
      </c>
      <c r="G418" s="20">
        <f t="shared" ref="G418:H418" si="87">G419</f>
        <v>36</v>
      </c>
      <c r="H418" s="20">
        <f t="shared" si="87"/>
        <v>36</v>
      </c>
    </row>
    <row r="419" spans="1:8" s="72" customFormat="1" x14ac:dyDescent="0.2">
      <c r="A419" s="80" t="s">
        <v>66</v>
      </c>
      <c r="B419" s="75" t="s">
        <v>48</v>
      </c>
      <c r="C419" s="75" t="s">
        <v>14</v>
      </c>
      <c r="D419" s="75" t="s">
        <v>89</v>
      </c>
      <c r="E419" s="75" t="s">
        <v>67</v>
      </c>
      <c r="F419" s="25">
        <f>'изм июнь вед стр-ра'!G480</f>
        <v>36</v>
      </c>
      <c r="G419" s="25">
        <f>'изм июнь вед стр-ра'!H480</f>
        <v>36</v>
      </c>
      <c r="H419" s="25">
        <f>'изм июнь вед стр-ра'!I480</f>
        <v>36</v>
      </c>
    </row>
    <row r="420" spans="1:8" s="21" customFormat="1" ht="76.5" x14ac:dyDescent="0.2">
      <c r="A420" s="18" t="s">
        <v>345</v>
      </c>
      <c r="B420" s="19" t="s">
        <v>48</v>
      </c>
      <c r="C420" s="19" t="s">
        <v>14</v>
      </c>
      <c r="D420" s="19" t="s">
        <v>90</v>
      </c>
      <c r="E420" s="19"/>
      <c r="F420" s="55">
        <f>SUM(F421:F421)</f>
        <v>260</v>
      </c>
      <c r="G420" s="55">
        <f>SUM(G421:G421)</f>
        <v>260</v>
      </c>
      <c r="H420" s="55">
        <f>SUM(H421:H421)</f>
        <v>260</v>
      </c>
    </row>
    <row r="421" spans="1:8" s="72" customFormat="1" x14ac:dyDescent="0.2">
      <c r="A421" s="80" t="s">
        <v>66</v>
      </c>
      <c r="B421" s="75" t="s">
        <v>48</v>
      </c>
      <c r="C421" s="75" t="s">
        <v>14</v>
      </c>
      <c r="D421" s="75" t="s">
        <v>90</v>
      </c>
      <c r="E421" s="75" t="s">
        <v>67</v>
      </c>
      <c r="F421" s="25">
        <f>'изм июнь вед стр-ра'!G482</f>
        <v>260</v>
      </c>
      <c r="G421" s="25">
        <f>'изм июнь вед стр-ра'!H482</f>
        <v>260</v>
      </c>
      <c r="H421" s="25">
        <f>'изм июнь вед стр-ра'!I482</f>
        <v>260</v>
      </c>
    </row>
    <row r="422" spans="1:8" s="21" customFormat="1" ht="51" x14ac:dyDescent="0.2">
      <c r="A422" s="18" t="s">
        <v>154</v>
      </c>
      <c r="B422" s="19" t="s">
        <v>48</v>
      </c>
      <c r="C422" s="19" t="s">
        <v>14</v>
      </c>
      <c r="D422" s="19" t="s">
        <v>91</v>
      </c>
      <c r="E422" s="19"/>
      <c r="F422" s="20">
        <f>F423</f>
        <v>29.1</v>
      </c>
      <c r="G422" s="20">
        <f t="shared" ref="G422:H422" si="88">G423</f>
        <v>29.1</v>
      </c>
      <c r="H422" s="20">
        <f t="shared" si="88"/>
        <v>29.1</v>
      </c>
    </row>
    <row r="423" spans="1:8" s="72" customFormat="1" x14ac:dyDescent="0.2">
      <c r="A423" s="80" t="s">
        <v>66</v>
      </c>
      <c r="B423" s="75" t="s">
        <v>48</v>
      </c>
      <c r="C423" s="75" t="s">
        <v>14</v>
      </c>
      <c r="D423" s="75" t="s">
        <v>91</v>
      </c>
      <c r="E423" s="75" t="s">
        <v>67</v>
      </c>
      <c r="F423" s="25">
        <f>'изм июнь вед стр-ра'!G484</f>
        <v>29.1</v>
      </c>
      <c r="G423" s="25">
        <f>'изм июнь вед стр-ра'!H484</f>
        <v>29.1</v>
      </c>
      <c r="H423" s="25">
        <f>'изм июнь вед стр-ра'!I484</f>
        <v>29.1</v>
      </c>
    </row>
    <row r="424" spans="1:8" s="21" customFormat="1" ht="51" x14ac:dyDescent="0.2">
      <c r="A424" s="18" t="s">
        <v>155</v>
      </c>
      <c r="B424" s="19" t="s">
        <v>48</v>
      </c>
      <c r="C424" s="19" t="s">
        <v>14</v>
      </c>
      <c r="D424" s="19" t="s">
        <v>92</v>
      </c>
      <c r="E424" s="19"/>
      <c r="F424" s="20">
        <f>F425</f>
        <v>60</v>
      </c>
      <c r="G424" s="20">
        <f t="shared" ref="G424:H424" si="89">G425</f>
        <v>60</v>
      </c>
      <c r="H424" s="20">
        <f t="shared" si="89"/>
        <v>60</v>
      </c>
    </row>
    <row r="425" spans="1:8" s="72" customFormat="1" x14ac:dyDescent="0.2">
      <c r="A425" s="80" t="s">
        <v>66</v>
      </c>
      <c r="B425" s="75" t="s">
        <v>48</v>
      </c>
      <c r="C425" s="75" t="s">
        <v>14</v>
      </c>
      <c r="D425" s="75" t="s">
        <v>92</v>
      </c>
      <c r="E425" s="75" t="s">
        <v>67</v>
      </c>
      <c r="F425" s="25">
        <f>'изм июнь вед стр-ра'!G486</f>
        <v>60</v>
      </c>
      <c r="G425" s="25">
        <f>'изм июнь вед стр-ра'!H486</f>
        <v>60</v>
      </c>
      <c r="H425" s="25">
        <f>'изм июнь вед стр-ра'!I486</f>
        <v>60</v>
      </c>
    </row>
    <row r="426" spans="1:8" s="21" customFormat="1" ht="89.25" x14ac:dyDescent="0.2">
      <c r="A426" s="18" t="s">
        <v>638</v>
      </c>
      <c r="B426" s="19" t="s">
        <v>48</v>
      </c>
      <c r="C426" s="19" t="s">
        <v>14</v>
      </c>
      <c r="D426" s="19" t="s">
        <v>618</v>
      </c>
      <c r="E426" s="19"/>
      <c r="F426" s="20">
        <f>F428+F427</f>
        <v>2523.4</v>
      </c>
      <c r="G426" s="20">
        <f>G428+G427</f>
        <v>2523.4</v>
      </c>
      <c r="H426" s="20">
        <f>H428+H427</f>
        <v>2523.4</v>
      </c>
    </row>
    <row r="427" spans="1:8" s="21" customFormat="1" ht="25.5" x14ac:dyDescent="0.2">
      <c r="A427" s="28" t="s">
        <v>73</v>
      </c>
      <c r="B427" s="24" t="s">
        <v>48</v>
      </c>
      <c r="C427" s="24" t="s">
        <v>14</v>
      </c>
      <c r="D427" s="24" t="s">
        <v>618</v>
      </c>
      <c r="E427" s="27" t="s">
        <v>65</v>
      </c>
      <c r="F427" s="25">
        <f>'изм июнь вед стр-ра'!G488</f>
        <v>33.1</v>
      </c>
      <c r="G427" s="25">
        <f>'изм июнь вед стр-ра'!H488</f>
        <v>33.1</v>
      </c>
      <c r="H427" s="25">
        <f>'изм июнь вед стр-ра'!I488</f>
        <v>33.1</v>
      </c>
    </row>
    <row r="428" spans="1:8" s="72" customFormat="1" x14ac:dyDescent="0.2">
      <c r="A428" s="80" t="s">
        <v>66</v>
      </c>
      <c r="B428" s="75" t="s">
        <v>48</v>
      </c>
      <c r="C428" s="75" t="s">
        <v>14</v>
      </c>
      <c r="D428" s="75" t="s">
        <v>618</v>
      </c>
      <c r="E428" s="75" t="s">
        <v>67</v>
      </c>
      <c r="F428" s="25">
        <f>'изм июнь вед стр-ра'!G489</f>
        <v>2490.3000000000002</v>
      </c>
      <c r="G428" s="25">
        <f>'изм июнь вед стр-ра'!H489</f>
        <v>2490.3000000000002</v>
      </c>
      <c r="H428" s="25">
        <f>'изм июнь вед стр-ра'!I489</f>
        <v>2490.3000000000002</v>
      </c>
    </row>
    <row r="429" spans="1:8" s="21" customFormat="1" ht="63.75" x14ac:dyDescent="0.2">
      <c r="A429" s="18" t="s">
        <v>281</v>
      </c>
      <c r="B429" s="19" t="s">
        <v>48</v>
      </c>
      <c r="C429" s="19" t="s">
        <v>14</v>
      </c>
      <c r="D429" s="19" t="s">
        <v>98</v>
      </c>
      <c r="E429" s="19"/>
      <c r="F429" s="20">
        <f>F431+F430</f>
        <v>1216</v>
      </c>
      <c r="G429" s="20">
        <f>G431+G430</f>
        <v>1216</v>
      </c>
      <c r="H429" s="20">
        <f>H431+H430</f>
        <v>1216</v>
      </c>
    </row>
    <row r="430" spans="1:8" s="21" customFormat="1" ht="25.5" x14ac:dyDescent="0.2">
      <c r="A430" s="28" t="s">
        <v>73</v>
      </c>
      <c r="B430" s="24" t="s">
        <v>48</v>
      </c>
      <c r="C430" s="24" t="s">
        <v>14</v>
      </c>
      <c r="D430" s="24" t="s">
        <v>98</v>
      </c>
      <c r="E430" s="27" t="s">
        <v>65</v>
      </c>
      <c r="F430" s="25">
        <f>'изм июнь вед стр-ра'!G491</f>
        <v>6</v>
      </c>
      <c r="G430" s="25">
        <f>'изм июнь вед стр-ра'!H491</f>
        <v>6</v>
      </c>
      <c r="H430" s="25">
        <f>'изм июнь вед стр-ра'!I491</f>
        <v>6</v>
      </c>
    </row>
    <row r="431" spans="1:8" s="21" customFormat="1" x14ac:dyDescent="0.2">
      <c r="A431" s="28" t="s">
        <v>66</v>
      </c>
      <c r="B431" s="24" t="s">
        <v>48</v>
      </c>
      <c r="C431" s="24" t="s">
        <v>14</v>
      </c>
      <c r="D431" s="24" t="s">
        <v>98</v>
      </c>
      <c r="E431" s="24" t="s">
        <v>67</v>
      </c>
      <c r="F431" s="25">
        <f>'изм июнь вед стр-ра'!G492</f>
        <v>1210</v>
      </c>
      <c r="G431" s="25">
        <f>'изм июнь вед стр-ра'!H492</f>
        <v>1210</v>
      </c>
      <c r="H431" s="25">
        <f>'изм июнь вед стр-ра'!I492</f>
        <v>1210</v>
      </c>
    </row>
    <row r="432" spans="1:8" s="72" customFormat="1" ht="56.25" customHeight="1" x14ac:dyDescent="0.2">
      <c r="A432" s="68" t="s">
        <v>639</v>
      </c>
      <c r="B432" s="70" t="s">
        <v>48</v>
      </c>
      <c r="C432" s="70" t="s">
        <v>14</v>
      </c>
      <c r="D432" s="70" t="s">
        <v>87</v>
      </c>
      <c r="E432" s="70"/>
      <c r="F432" s="71">
        <f>F435+F433+F434</f>
        <v>1471</v>
      </c>
      <c r="G432" s="71">
        <f t="shared" ref="G432:H432" si="90">G435+G433+G434</f>
        <v>1471</v>
      </c>
      <c r="H432" s="71">
        <f t="shared" si="90"/>
        <v>1471</v>
      </c>
    </row>
    <row r="433" spans="1:8" s="72" customFormat="1" ht="25.5" x14ac:dyDescent="0.2">
      <c r="A433" s="80" t="s">
        <v>73</v>
      </c>
      <c r="B433" s="75" t="s">
        <v>48</v>
      </c>
      <c r="C433" s="75" t="s">
        <v>14</v>
      </c>
      <c r="D433" s="75" t="s">
        <v>87</v>
      </c>
      <c r="E433" s="76" t="s">
        <v>65</v>
      </c>
      <c r="F433" s="55">
        <f>'изм июнь вед стр-ра'!G494</f>
        <v>25</v>
      </c>
      <c r="G433" s="55">
        <f>'изм июнь вед стр-ра'!H494</f>
        <v>25</v>
      </c>
      <c r="H433" s="55">
        <f>'изм июнь вед стр-ра'!I494</f>
        <v>25</v>
      </c>
    </row>
    <row r="434" spans="1:8" s="72" customFormat="1" x14ac:dyDescent="0.2">
      <c r="A434" s="80" t="s">
        <v>66</v>
      </c>
      <c r="B434" s="75" t="s">
        <v>48</v>
      </c>
      <c r="C434" s="75" t="s">
        <v>14</v>
      </c>
      <c r="D434" s="75" t="s">
        <v>87</v>
      </c>
      <c r="E434" s="75" t="s">
        <v>67</v>
      </c>
      <c r="F434" s="55">
        <f>'изм июнь вед стр-ра'!G495</f>
        <v>1276</v>
      </c>
      <c r="G434" s="55">
        <f>'изм июнь вед стр-ра'!H495</f>
        <v>1276</v>
      </c>
      <c r="H434" s="55">
        <f>'изм июнь вед стр-ра'!I495</f>
        <v>1276</v>
      </c>
    </row>
    <row r="435" spans="1:8" s="72" customFormat="1" x14ac:dyDescent="0.2">
      <c r="A435" s="80" t="s">
        <v>69</v>
      </c>
      <c r="B435" s="75" t="s">
        <v>48</v>
      </c>
      <c r="C435" s="75" t="s">
        <v>14</v>
      </c>
      <c r="D435" s="75" t="s">
        <v>87</v>
      </c>
      <c r="E435" s="75" t="s">
        <v>70</v>
      </c>
      <c r="F435" s="55">
        <f>'изм июнь вед стр-ра'!G496</f>
        <v>170</v>
      </c>
      <c r="G435" s="55">
        <f>'изм июнь вед стр-ра'!H496</f>
        <v>170</v>
      </c>
      <c r="H435" s="55">
        <f>'изм июнь вед стр-ра'!I496</f>
        <v>170</v>
      </c>
    </row>
    <row r="436" spans="1:8" s="72" customFormat="1" x14ac:dyDescent="0.2">
      <c r="A436" s="63" t="s">
        <v>53</v>
      </c>
      <c r="B436" s="65" t="s">
        <v>48</v>
      </c>
      <c r="C436" s="65" t="s">
        <v>16</v>
      </c>
      <c r="D436" s="65"/>
      <c r="E436" s="65"/>
      <c r="F436" s="66">
        <f>SUM(F437,F439,F441,F443,F445,F451,F455,F457,F460,F462)+F449+F453</f>
        <v>252252.5</v>
      </c>
      <c r="G436" s="66">
        <f t="shared" ref="G436:H436" si="91">SUM(G437,G439,G441,G443,G445,G451,G455,G457,G460,G462)+G449+G453</f>
        <v>259052.5</v>
      </c>
      <c r="H436" s="66">
        <f t="shared" si="91"/>
        <v>263489.5</v>
      </c>
    </row>
    <row r="437" spans="1:8" s="72" customFormat="1" ht="25.5" x14ac:dyDescent="0.2">
      <c r="A437" s="68" t="s">
        <v>338</v>
      </c>
      <c r="B437" s="70" t="s">
        <v>48</v>
      </c>
      <c r="C437" s="70" t="s">
        <v>16</v>
      </c>
      <c r="D437" s="70" t="s">
        <v>336</v>
      </c>
      <c r="E437" s="70"/>
      <c r="F437" s="71">
        <f>F438</f>
        <v>73264</v>
      </c>
      <c r="G437" s="71">
        <f t="shared" ref="G437:H437" si="92">G438</f>
        <v>75462</v>
      </c>
      <c r="H437" s="71">
        <f t="shared" si="92"/>
        <v>77723</v>
      </c>
    </row>
    <row r="438" spans="1:8" s="77" customFormat="1" x14ac:dyDescent="0.2">
      <c r="A438" s="80" t="s">
        <v>66</v>
      </c>
      <c r="B438" s="75" t="s">
        <v>48</v>
      </c>
      <c r="C438" s="75" t="s">
        <v>16</v>
      </c>
      <c r="D438" s="75" t="s">
        <v>336</v>
      </c>
      <c r="E438" s="75" t="s">
        <v>67</v>
      </c>
      <c r="F438" s="55">
        <f>'изм июнь вед стр-ра'!G499</f>
        <v>73264</v>
      </c>
      <c r="G438" s="55">
        <f>'изм июнь вед стр-ра'!H499</f>
        <v>75462</v>
      </c>
      <c r="H438" s="55">
        <f>'изм июнь вед стр-ра'!I499</f>
        <v>77723</v>
      </c>
    </row>
    <row r="439" spans="1:8" s="21" customFormat="1" ht="38.25" x14ac:dyDescent="0.2">
      <c r="A439" s="18" t="s">
        <v>189</v>
      </c>
      <c r="B439" s="19" t="s">
        <v>48</v>
      </c>
      <c r="C439" s="16" t="s">
        <v>16</v>
      </c>
      <c r="D439" s="19" t="s">
        <v>113</v>
      </c>
      <c r="E439" s="19"/>
      <c r="F439" s="20">
        <f>F440</f>
        <v>23875</v>
      </c>
      <c r="G439" s="20">
        <f>G440</f>
        <v>26869</v>
      </c>
      <c r="H439" s="20">
        <f>H440</f>
        <v>27046</v>
      </c>
    </row>
    <row r="440" spans="1:8" s="21" customFormat="1" ht="25.5" x14ac:dyDescent="0.2">
      <c r="A440" s="28" t="s">
        <v>79</v>
      </c>
      <c r="B440" s="24" t="s">
        <v>48</v>
      </c>
      <c r="C440" s="24" t="s">
        <v>16</v>
      </c>
      <c r="D440" s="19" t="s">
        <v>113</v>
      </c>
      <c r="E440" s="24" t="s">
        <v>68</v>
      </c>
      <c r="F440" s="25">
        <f>'изм июнь вед стр-ра'!G216</f>
        <v>23875</v>
      </c>
      <c r="G440" s="25">
        <f>'изм июнь вед стр-ра'!H216</f>
        <v>26869</v>
      </c>
      <c r="H440" s="25">
        <f>'изм июнь вед стр-ра'!I216</f>
        <v>27046</v>
      </c>
    </row>
    <row r="441" spans="1:8" s="21" customFormat="1" ht="38.25" x14ac:dyDescent="0.2">
      <c r="A441" s="18" t="s">
        <v>189</v>
      </c>
      <c r="B441" s="19" t="s">
        <v>48</v>
      </c>
      <c r="C441" s="16" t="s">
        <v>16</v>
      </c>
      <c r="D441" s="19" t="s">
        <v>291</v>
      </c>
      <c r="E441" s="19"/>
      <c r="F441" s="20">
        <f>F442</f>
        <v>58382</v>
      </c>
      <c r="G441" s="20">
        <f>G442</f>
        <v>58382</v>
      </c>
      <c r="H441" s="20">
        <f>H442</f>
        <v>58382</v>
      </c>
    </row>
    <row r="442" spans="1:8" s="72" customFormat="1" ht="25.5" x14ac:dyDescent="0.2">
      <c r="A442" s="80" t="s">
        <v>79</v>
      </c>
      <c r="B442" s="75" t="s">
        <v>48</v>
      </c>
      <c r="C442" s="75" t="s">
        <v>16</v>
      </c>
      <c r="D442" s="70" t="s">
        <v>291</v>
      </c>
      <c r="E442" s="75" t="s">
        <v>68</v>
      </c>
      <c r="F442" s="55">
        <f>'изм июнь вед стр-ра'!G218</f>
        <v>58382</v>
      </c>
      <c r="G442" s="55">
        <f>'изм июнь вед стр-ра'!H218</f>
        <v>58382</v>
      </c>
      <c r="H442" s="55">
        <f>'изм июнь вед стр-ра'!I218</f>
        <v>58382</v>
      </c>
    </row>
    <row r="443" spans="1:8" s="21" customFormat="1" ht="25.5" x14ac:dyDescent="0.2">
      <c r="A443" s="18" t="s">
        <v>221</v>
      </c>
      <c r="B443" s="19" t="s">
        <v>48</v>
      </c>
      <c r="C443" s="19" t="s">
        <v>16</v>
      </c>
      <c r="D443" s="19" t="s">
        <v>110</v>
      </c>
      <c r="E443" s="19"/>
      <c r="F443" s="20">
        <f>F444</f>
        <v>1200</v>
      </c>
      <c r="G443" s="20">
        <f t="shared" ref="G443:H443" si="93">G444</f>
        <v>1310</v>
      </c>
      <c r="H443" s="20">
        <f t="shared" si="93"/>
        <v>1330</v>
      </c>
    </row>
    <row r="444" spans="1:8" s="21" customFormat="1" x14ac:dyDescent="0.2">
      <c r="A444" s="28" t="s">
        <v>66</v>
      </c>
      <c r="B444" s="24" t="s">
        <v>48</v>
      </c>
      <c r="C444" s="24" t="s">
        <v>16</v>
      </c>
      <c r="D444" s="24" t="s">
        <v>110</v>
      </c>
      <c r="E444" s="24" t="s">
        <v>67</v>
      </c>
      <c r="F444" s="25">
        <f>'изм июнь вед стр-ра'!G361</f>
        <v>1200</v>
      </c>
      <c r="G444" s="25">
        <f>'изм июнь вед стр-ра'!H361</f>
        <v>1310</v>
      </c>
      <c r="H444" s="25">
        <f>'изм июнь вед стр-ра'!I361</f>
        <v>1330</v>
      </c>
    </row>
    <row r="445" spans="1:8" s="72" customFormat="1" ht="38.25" x14ac:dyDescent="0.2">
      <c r="A445" s="68" t="s">
        <v>222</v>
      </c>
      <c r="B445" s="70" t="s">
        <v>48</v>
      </c>
      <c r="C445" s="70" t="s">
        <v>16</v>
      </c>
      <c r="D445" s="70" t="s">
        <v>108</v>
      </c>
      <c r="E445" s="70"/>
      <c r="F445" s="71">
        <f>F447+F448+F446</f>
        <v>2260.1</v>
      </c>
      <c r="G445" s="71">
        <f>G447+G448+G446</f>
        <v>2260.1000000000004</v>
      </c>
      <c r="H445" s="71">
        <f>H447+H448+H446</f>
        <v>2260.1000000000004</v>
      </c>
    </row>
    <row r="446" spans="1:8" s="72" customFormat="1" ht="25.5" x14ac:dyDescent="0.2">
      <c r="A446" s="80" t="s">
        <v>73</v>
      </c>
      <c r="B446" s="75" t="s">
        <v>48</v>
      </c>
      <c r="C446" s="75" t="s">
        <v>16</v>
      </c>
      <c r="D446" s="75" t="s">
        <v>108</v>
      </c>
      <c r="E446" s="76" t="s">
        <v>65</v>
      </c>
      <c r="F446" s="55">
        <f>'изм июнь вед стр-ра'!G363</f>
        <v>17.464919999999999</v>
      </c>
      <c r="G446" s="55">
        <f>'изм июнь вед стр-ра'!H363</f>
        <v>1.8</v>
      </c>
      <c r="H446" s="55">
        <f>'изм июнь вед стр-ра'!I363</f>
        <v>1.8</v>
      </c>
    </row>
    <row r="447" spans="1:8" s="72" customFormat="1" x14ac:dyDescent="0.2">
      <c r="A447" s="93" t="s">
        <v>66</v>
      </c>
      <c r="B447" s="75" t="s">
        <v>48</v>
      </c>
      <c r="C447" s="75" t="s">
        <v>16</v>
      </c>
      <c r="D447" s="75" t="s">
        <v>108</v>
      </c>
      <c r="E447" s="94">
        <v>300</v>
      </c>
      <c r="F447" s="55">
        <f>'изм июнь вед стр-ра'!G364</f>
        <v>1794.22235</v>
      </c>
      <c r="G447" s="55">
        <f>'изм июнь вед стр-ра'!H364</f>
        <v>360</v>
      </c>
      <c r="H447" s="55">
        <f>'изм июнь вед стр-ра'!I364</f>
        <v>360</v>
      </c>
    </row>
    <row r="448" spans="1:8" s="72" customFormat="1" ht="25.5" x14ac:dyDescent="0.2">
      <c r="A448" s="80" t="s">
        <v>119</v>
      </c>
      <c r="B448" s="75" t="s">
        <v>48</v>
      </c>
      <c r="C448" s="75" t="s">
        <v>16</v>
      </c>
      <c r="D448" s="75" t="s">
        <v>108</v>
      </c>
      <c r="E448" s="75" t="s">
        <v>62</v>
      </c>
      <c r="F448" s="55">
        <f>'изм июнь вед стр-ра'!G365</f>
        <v>448.41273000000001</v>
      </c>
      <c r="G448" s="55">
        <f>'изм июнь вед стр-ра'!H365</f>
        <v>1898.3</v>
      </c>
      <c r="H448" s="55">
        <f>'изм июнь вед стр-ра'!I365</f>
        <v>1898.3</v>
      </c>
    </row>
    <row r="449" spans="1:8" s="21" customFormat="1" ht="29.25" customHeight="1" x14ac:dyDescent="0.2">
      <c r="A449" s="53" t="s">
        <v>341</v>
      </c>
      <c r="B449" s="19" t="s">
        <v>48</v>
      </c>
      <c r="C449" s="19" t="s">
        <v>16</v>
      </c>
      <c r="D449" s="19" t="s">
        <v>340</v>
      </c>
      <c r="E449" s="19"/>
      <c r="F449" s="20">
        <f>F450</f>
        <v>5</v>
      </c>
      <c r="G449" s="20">
        <f>G450</f>
        <v>0</v>
      </c>
      <c r="H449" s="20">
        <f>H450</f>
        <v>0</v>
      </c>
    </row>
    <row r="450" spans="1:8" s="26" customFormat="1" x14ac:dyDescent="0.2">
      <c r="A450" s="28" t="s">
        <v>66</v>
      </c>
      <c r="B450" s="24" t="s">
        <v>48</v>
      </c>
      <c r="C450" s="24" t="s">
        <v>16</v>
      </c>
      <c r="D450" s="24" t="s">
        <v>340</v>
      </c>
      <c r="E450" s="24" t="s">
        <v>67</v>
      </c>
      <c r="F450" s="25">
        <f>'изм июнь вед стр-ра'!G367</f>
        <v>5</v>
      </c>
      <c r="G450" s="25">
        <f>'изм июнь вед стр-ра'!H367</f>
        <v>0</v>
      </c>
      <c r="H450" s="25">
        <f>'изм июнь вед стр-ра'!I367</f>
        <v>0</v>
      </c>
    </row>
    <row r="451" spans="1:8" s="21" customFormat="1" ht="114.75" x14ac:dyDescent="0.2">
      <c r="A451" s="53" t="s">
        <v>343</v>
      </c>
      <c r="B451" s="19" t="s">
        <v>48</v>
      </c>
      <c r="C451" s="19" t="s">
        <v>16</v>
      </c>
      <c r="D451" s="19" t="s">
        <v>109</v>
      </c>
      <c r="E451" s="19"/>
      <c r="F451" s="20">
        <f>F452</f>
        <v>39680</v>
      </c>
      <c r="G451" s="20">
        <f t="shared" ref="G451:H451" si="94">G452</f>
        <v>39680</v>
      </c>
      <c r="H451" s="20">
        <f t="shared" si="94"/>
        <v>39680</v>
      </c>
    </row>
    <row r="452" spans="1:8" s="21" customFormat="1" x14ac:dyDescent="0.2">
      <c r="A452" s="28" t="s">
        <v>66</v>
      </c>
      <c r="B452" s="24" t="s">
        <v>48</v>
      </c>
      <c r="C452" s="24" t="s">
        <v>16</v>
      </c>
      <c r="D452" s="24" t="s">
        <v>109</v>
      </c>
      <c r="E452" s="24" t="s">
        <v>67</v>
      </c>
      <c r="F452" s="25">
        <f>'изм июнь вед стр-ра'!G369</f>
        <v>39680</v>
      </c>
      <c r="G452" s="25">
        <f>'изм июнь вед стр-ра'!H369</f>
        <v>39680</v>
      </c>
      <c r="H452" s="25">
        <f>'изм июнь вед стр-ра'!I369</f>
        <v>39680</v>
      </c>
    </row>
    <row r="453" spans="1:8" s="21" customFormat="1" ht="112.5" customHeight="1" x14ac:dyDescent="0.2">
      <c r="A453" s="53" t="s">
        <v>583</v>
      </c>
      <c r="B453" s="19" t="s">
        <v>48</v>
      </c>
      <c r="C453" s="19" t="s">
        <v>16</v>
      </c>
      <c r="D453" s="19" t="s">
        <v>342</v>
      </c>
      <c r="E453" s="19"/>
      <c r="F453" s="20">
        <f>F454</f>
        <v>250</v>
      </c>
      <c r="G453" s="20">
        <f>G454</f>
        <v>250</v>
      </c>
      <c r="H453" s="20">
        <f>H454</f>
        <v>250</v>
      </c>
    </row>
    <row r="454" spans="1:8" s="26" customFormat="1" x14ac:dyDescent="0.2">
      <c r="A454" s="28" t="s">
        <v>66</v>
      </c>
      <c r="B454" s="24" t="s">
        <v>48</v>
      </c>
      <c r="C454" s="24" t="s">
        <v>16</v>
      </c>
      <c r="D454" s="24" t="s">
        <v>342</v>
      </c>
      <c r="E454" s="24" t="s">
        <v>67</v>
      </c>
      <c r="F454" s="25">
        <f>'изм июнь вед стр-ра'!G371</f>
        <v>250</v>
      </c>
      <c r="G454" s="25">
        <f>'изм июнь вед стр-ра'!H371</f>
        <v>250</v>
      </c>
      <c r="H454" s="25">
        <f>'изм июнь вед стр-ра'!I371</f>
        <v>250</v>
      </c>
    </row>
    <row r="455" spans="1:8" s="21" customFormat="1" ht="38.25" x14ac:dyDescent="0.2">
      <c r="A455" s="18" t="s">
        <v>333</v>
      </c>
      <c r="B455" s="19" t="s">
        <v>48</v>
      </c>
      <c r="C455" s="19" t="s">
        <v>16</v>
      </c>
      <c r="D455" s="19" t="s">
        <v>334</v>
      </c>
      <c r="E455" s="19"/>
      <c r="F455" s="20">
        <f>F456</f>
        <v>2957.1</v>
      </c>
      <c r="G455" s="20">
        <f>G456</f>
        <v>2957.1</v>
      </c>
      <c r="H455" s="20">
        <f>H456</f>
        <v>2957.1</v>
      </c>
    </row>
    <row r="456" spans="1:8" s="26" customFormat="1" ht="25.5" x14ac:dyDescent="0.2">
      <c r="A456" s="80" t="s">
        <v>119</v>
      </c>
      <c r="B456" s="24" t="s">
        <v>48</v>
      </c>
      <c r="C456" s="24" t="s">
        <v>16</v>
      </c>
      <c r="D456" s="24" t="s">
        <v>334</v>
      </c>
      <c r="E456" s="24" t="s">
        <v>62</v>
      </c>
      <c r="F456" s="25">
        <f>'изм июнь вед стр-ра'!G373</f>
        <v>2957.1</v>
      </c>
      <c r="G456" s="25">
        <f>'изм июнь вед стр-ра'!H373</f>
        <v>2957.1</v>
      </c>
      <c r="H456" s="25">
        <f>'изм июнь вед стр-ра'!I373</f>
        <v>2957.1</v>
      </c>
    </row>
    <row r="457" spans="1:8" s="21" customFormat="1" ht="38.25" x14ac:dyDescent="0.2">
      <c r="A457" s="18" t="s">
        <v>332</v>
      </c>
      <c r="B457" s="19" t="s">
        <v>48</v>
      </c>
      <c r="C457" s="19" t="s">
        <v>16</v>
      </c>
      <c r="D457" s="19" t="s">
        <v>331</v>
      </c>
      <c r="E457" s="19"/>
      <c r="F457" s="20">
        <f>F459+F458</f>
        <v>1350.3</v>
      </c>
      <c r="G457" s="20">
        <f t="shared" ref="G457:H457" si="95">G459+G458</f>
        <v>1350.3</v>
      </c>
      <c r="H457" s="20">
        <f t="shared" si="95"/>
        <v>1350.3</v>
      </c>
    </row>
    <row r="458" spans="1:8" s="26" customFormat="1" ht="25.5" x14ac:dyDescent="0.2">
      <c r="A458" s="80" t="s">
        <v>73</v>
      </c>
      <c r="B458" s="24" t="s">
        <v>48</v>
      </c>
      <c r="C458" s="24" t="s">
        <v>16</v>
      </c>
      <c r="D458" s="24" t="s">
        <v>331</v>
      </c>
      <c r="E458" s="24" t="s">
        <v>65</v>
      </c>
      <c r="F458" s="25">
        <f>'изм июнь вед стр-ра'!G375</f>
        <v>393.2</v>
      </c>
      <c r="G458" s="25">
        <f>'изм июнь вед стр-ра'!H375</f>
        <v>393.2</v>
      </c>
      <c r="H458" s="25">
        <f>'изм июнь вед стр-ра'!I375</f>
        <v>393.2</v>
      </c>
    </row>
    <row r="459" spans="1:8" s="26" customFormat="1" ht="25.5" x14ac:dyDescent="0.2">
      <c r="A459" s="80" t="s">
        <v>119</v>
      </c>
      <c r="B459" s="24" t="s">
        <v>48</v>
      </c>
      <c r="C459" s="24" t="s">
        <v>16</v>
      </c>
      <c r="D459" s="24" t="s">
        <v>331</v>
      </c>
      <c r="E459" s="24" t="s">
        <v>62</v>
      </c>
      <c r="F459" s="25">
        <f>'изм июнь вед стр-ра'!G376</f>
        <v>957.1</v>
      </c>
      <c r="G459" s="25">
        <f>'изм июнь вед стр-ра'!H376</f>
        <v>957.1</v>
      </c>
      <c r="H459" s="25">
        <f>'изм июнь вед стр-ра'!I376</f>
        <v>957.1</v>
      </c>
    </row>
    <row r="460" spans="1:8" s="21" customFormat="1" ht="76.5" x14ac:dyDescent="0.2">
      <c r="A460" s="18" t="s">
        <v>237</v>
      </c>
      <c r="B460" s="19" t="s">
        <v>48</v>
      </c>
      <c r="C460" s="19" t="s">
        <v>16</v>
      </c>
      <c r="D460" s="19" t="s">
        <v>95</v>
      </c>
      <c r="E460" s="19"/>
      <c r="F460" s="20">
        <f>F461</f>
        <v>615</v>
      </c>
      <c r="G460" s="20">
        <f>G461</f>
        <v>634</v>
      </c>
      <c r="H460" s="20">
        <f>H461</f>
        <v>659</v>
      </c>
    </row>
    <row r="461" spans="1:8" s="72" customFormat="1" x14ac:dyDescent="0.2">
      <c r="A461" s="80" t="s">
        <v>66</v>
      </c>
      <c r="B461" s="75" t="s">
        <v>48</v>
      </c>
      <c r="C461" s="75" t="s">
        <v>16</v>
      </c>
      <c r="D461" s="75" t="s">
        <v>95</v>
      </c>
      <c r="E461" s="75" t="s">
        <v>67</v>
      </c>
      <c r="F461" s="55">
        <f>'изм июнь вед стр-ра'!G501</f>
        <v>615</v>
      </c>
      <c r="G461" s="55">
        <f>'изм июнь вед стр-ра'!H501</f>
        <v>634</v>
      </c>
      <c r="H461" s="55">
        <f>'изм июнь вед стр-ра'!I501</f>
        <v>659</v>
      </c>
    </row>
    <row r="462" spans="1:8" s="21" customFormat="1" ht="89.25" x14ac:dyDescent="0.2">
      <c r="A462" s="18" t="s">
        <v>238</v>
      </c>
      <c r="B462" s="19" t="s">
        <v>48</v>
      </c>
      <c r="C462" s="19" t="s">
        <v>16</v>
      </c>
      <c r="D462" s="19" t="s">
        <v>97</v>
      </c>
      <c r="E462" s="19"/>
      <c r="F462" s="20">
        <f>F463</f>
        <v>48414</v>
      </c>
      <c r="G462" s="20">
        <f t="shared" ref="G462:H462" si="96">G463</f>
        <v>49898</v>
      </c>
      <c r="H462" s="20">
        <f t="shared" si="96"/>
        <v>51852</v>
      </c>
    </row>
    <row r="463" spans="1:8" s="72" customFormat="1" x14ac:dyDescent="0.2">
      <c r="A463" s="80" t="s">
        <v>66</v>
      </c>
      <c r="B463" s="75" t="s">
        <v>48</v>
      </c>
      <c r="C463" s="75" t="s">
        <v>16</v>
      </c>
      <c r="D463" s="70" t="s">
        <v>97</v>
      </c>
      <c r="E463" s="75" t="s">
        <v>67</v>
      </c>
      <c r="F463" s="25">
        <f>'изм июнь вед стр-ра'!G503</f>
        <v>48414</v>
      </c>
      <c r="G463" s="25">
        <f>'изм июнь вед стр-ра'!H503</f>
        <v>49898</v>
      </c>
      <c r="H463" s="25">
        <f>'изм июнь вед стр-ра'!I503</f>
        <v>51852</v>
      </c>
    </row>
    <row r="464" spans="1:8" s="72" customFormat="1" x14ac:dyDescent="0.2">
      <c r="A464" s="63" t="s">
        <v>54</v>
      </c>
      <c r="B464" s="65" t="s">
        <v>48</v>
      </c>
      <c r="C464" s="65" t="s">
        <v>47</v>
      </c>
      <c r="D464" s="65"/>
      <c r="E464" s="65"/>
      <c r="F464" s="66">
        <f>F465+F468+F471+F473+F484+F478+F480+F490+F482+F488</f>
        <v>39508.200000000004</v>
      </c>
      <c r="G464" s="66">
        <f t="shared" ref="G464:H464" si="97">G465+G468+G471+G473+G484+G478+G480+G490+G482+G488</f>
        <v>31315.9</v>
      </c>
      <c r="H464" s="66">
        <f t="shared" si="97"/>
        <v>29767.9</v>
      </c>
    </row>
    <row r="465" spans="1:8" s="21" customFormat="1" x14ac:dyDescent="0.2">
      <c r="A465" s="18" t="s">
        <v>157</v>
      </c>
      <c r="B465" s="19" t="s">
        <v>48</v>
      </c>
      <c r="C465" s="19" t="s">
        <v>47</v>
      </c>
      <c r="D465" s="19" t="s">
        <v>156</v>
      </c>
      <c r="E465" s="19"/>
      <c r="F465" s="20">
        <f>F467+F466</f>
        <v>112.3</v>
      </c>
      <c r="G465" s="20">
        <f>G467+G466</f>
        <v>0</v>
      </c>
      <c r="H465" s="20">
        <f>H467+H466</f>
        <v>0</v>
      </c>
    </row>
    <row r="466" spans="1:8" s="21" customFormat="1" ht="25.5" x14ac:dyDescent="0.2">
      <c r="A466" s="28" t="s">
        <v>73</v>
      </c>
      <c r="B466" s="24" t="s">
        <v>48</v>
      </c>
      <c r="C466" s="24" t="s">
        <v>47</v>
      </c>
      <c r="D466" s="24" t="s">
        <v>156</v>
      </c>
      <c r="E466" s="27" t="s">
        <v>65</v>
      </c>
      <c r="F466" s="25">
        <f>'изм июнь вед стр-ра'!G130</f>
        <v>0.6</v>
      </c>
      <c r="G466" s="25">
        <f>'изм июнь вед стр-ра'!H130</f>
        <v>0</v>
      </c>
      <c r="H466" s="25">
        <f>'изм июнь вед стр-ра'!I130</f>
        <v>0</v>
      </c>
    </row>
    <row r="467" spans="1:8" s="21" customFormat="1" x14ac:dyDescent="0.2">
      <c r="A467" s="28" t="s">
        <v>66</v>
      </c>
      <c r="B467" s="24" t="s">
        <v>48</v>
      </c>
      <c r="C467" s="24" t="s">
        <v>47</v>
      </c>
      <c r="D467" s="24" t="s">
        <v>156</v>
      </c>
      <c r="E467" s="24" t="s">
        <v>67</v>
      </c>
      <c r="F467" s="25">
        <f>'изм июнь вед стр-ра'!G131</f>
        <v>111.7</v>
      </c>
      <c r="G467" s="25">
        <f>'изм июнь вед стр-ра'!H131</f>
        <v>0</v>
      </c>
      <c r="H467" s="25">
        <f>'изм июнь вед стр-ра'!I131</f>
        <v>0</v>
      </c>
    </row>
    <row r="468" spans="1:8" s="21" customFormat="1" x14ac:dyDescent="0.2">
      <c r="A468" s="18" t="s">
        <v>239</v>
      </c>
      <c r="B468" s="19" t="s">
        <v>48</v>
      </c>
      <c r="C468" s="19" t="s">
        <v>47</v>
      </c>
      <c r="D468" s="19" t="s">
        <v>240</v>
      </c>
      <c r="E468" s="19"/>
      <c r="F468" s="20">
        <f>F469+F470</f>
        <v>2289.1999999999998</v>
      </c>
      <c r="G468" s="20">
        <f t="shared" ref="G468:H468" si="98">G469+G470</f>
        <v>0</v>
      </c>
      <c r="H468" s="20">
        <f t="shared" si="98"/>
        <v>0</v>
      </c>
    </row>
    <row r="469" spans="1:8" s="21" customFormat="1" ht="25.5" x14ac:dyDescent="0.2">
      <c r="A469" s="28" t="s">
        <v>73</v>
      </c>
      <c r="B469" s="24" t="s">
        <v>48</v>
      </c>
      <c r="C469" s="24" t="s">
        <v>47</v>
      </c>
      <c r="D469" s="24" t="s">
        <v>240</v>
      </c>
      <c r="E469" s="24" t="s">
        <v>65</v>
      </c>
      <c r="F469" s="25">
        <f>'изм июнь вед стр-ра'!G506</f>
        <v>1474.1999999999998</v>
      </c>
      <c r="G469" s="25">
        <f>'изм июнь вед стр-ра'!H506</f>
        <v>0</v>
      </c>
      <c r="H469" s="25">
        <f>'изм июнь вед стр-ра'!I506</f>
        <v>0</v>
      </c>
    </row>
    <row r="470" spans="1:8" s="72" customFormat="1" x14ac:dyDescent="0.2">
      <c r="A470" s="80" t="s">
        <v>66</v>
      </c>
      <c r="B470" s="75" t="s">
        <v>48</v>
      </c>
      <c r="C470" s="75" t="s">
        <v>47</v>
      </c>
      <c r="D470" s="75" t="s">
        <v>240</v>
      </c>
      <c r="E470" s="76" t="s">
        <v>67</v>
      </c>
      <c r="F470" s="25">
        <f>'изм июнь вед стр-ра'!G507</f>
        <v>815</v>
      </c>
      <c r="G470" s="25">
        <f>'изм июнь вед стр-ра'!H507</f>
        <v>0</v>
      </c>
      <c r="H470" s="25">
        <f>'изм июнь вед стр-ра'!I507</f>
        <v>0</v>
      </c>
    </row>
    <row r="471" spans="1:8" s="21" customFormat="1" x14ac:dyDescent="0.2">
      <c r="A471" s="18" t="s">
        <v>241</v>
      </c>
      <c r="B471" s="19" t="s">
        <v>48</v>
      </c>
      <c r="C471" s="19" t="s">
        <v>47</v>
      </c>
      <c r="D471" s="19" t="s">
        <v>242</v>
      </c>
      <c r="E471" s="19"/>
      <c r="F471" s="20">
        <f>F472</f>
        <v>968.2</v>
      </c>
      <c r="G471" s="20">
        <f>G472</f>
        <v>0</v>
      </c>
      <c r="H471" s="20">
        <f>H472</f>
        <v>0</v>
      </c>
    </row>
    <row r="472" spans="1:8" s="21" customFormat="1" ht="25.5" x14ac:dyDescent="0.2">
      <c r="A472" s="28" t="s">
        <v>119</v>
      </c>
      <c r="B472" s="24" t="s">
        <v>48</v>
      </c>
      <c r="C472" s="24" t="s">
        <v>47</v>
      </c>
      <c r="D472" s="24" t="s">
        <v>242</v>
      </c>
      <c r="E472" s="24" t="s">
        <v>62</v>
      </c>
      <c r="F472" s="25">
        <f>'изм июнь вед стр-ра'!G509</f>
        <v>968.2</v>
      </c>
      <c r="G472" s="55">
        <v>0</v>
      </c>
      <c r="H472" s="55">
        <v>0</v>
      </c>
    </row>
    <row r="473" spans="1:8" s="72" customFormat="1" x14ac:dyDescent="0.2">
      <c r="A473" s="68" t="s">
        <v>270</v>
      </c>
      <c r="B473" s="70" t="s">
        <v>48</v>
      </c>
      <c r="C473" s="70" t="s">
        <v>47</v>
      </c>
      <c r="D473" s="70" t="s">
        <v>271</v>
      </c>
      <c r="E473" s="70"/>
      <c r="F473" s="71">
        <f>F475+F477+F476+F474</f>
        <v>1018.7000000000002</v>
      </c>
      <c r="G473" s="71">
        <f t="shared" ref="G473:H473" si="99">G475+G477+G476+G474</f>
        <v>0</v>
      </c>
      <c r="H473" s="71">
        <f t="shared" si="99"/>
        <v>0</v>
      </c>
    </row>
    <row r="474" spans="1:8" s="72" customFormat="1" x14ac:dyDescent="0.2">
      <c r="A474" s="30" t="s">
        <v>270</v>
      </c>
      <c r="B474" s="75" t="s">
        <v>48</v>
      </c>
      <c r="C474" s="75" t="s">
        <v>47</v>
      </c>
      <c r="D474" s="75" t="s">
        <v>271</v>
      </c>
      <c r="E474" s="70" t="s">
        <v>64</v>
      </c>
      <c r="F474" s="71">
        <f>'изм июнь вед стр-ра'!G133</f>
        <v>66.599999999999994</v>
      </c>
      <c r="G474" s="71">
        <f>'изм июнь вед стр-ра'!H133</f>
        <v>0</v>
      </c>
      <c r="H474" s="71">
        <f>'изм июнь вед стр-ра'!I133</f>
        <v>0</v>
      </c>
    </row>
    <row r="475" spans="1:8" s="72" customFormat="1" ht="25.5" x14ac:dyDescent="0.2">
      <c r="A475" s="80" t="s">
        <v>73</v>
      </c>
      <c r="B475" s="75" t="s">
        <v>48</v>
      </c>
      <c r="C475" s="75" t="s">
        <v>47</v>
      </c>
      <c r="D475" s="75" t="s">
        <v>271</v>
      </c>
      <c r="E475" s="75" t="s">
        <v>70</v>
      </c>
      <c r="F475" s="55">
        <f>'изм июнь вед стр-ра'!G511</f>
        <v>120.7</v>
      </c>
      <c r="G475" s="55">
        <f>'изм июнь вед стр-ра'!H511</f>
        <v>0</v>
      </c>
      <c r="H475" s="55">
        <f>'изм июнь вед стр-ра'!I511</f>
        <v>0</v>
      </c>
    </row>
    <row r="476" spans="1:8" s="72" customFormat="1" ht="25.5" x14ac:dyDescent="0.2">
      <c r="A476" s="28" t="s">
        <v>119</v>
      </c>
      <c r="B476" s="75" t="s">
        <v>48</v>
      </c>
      <c r="C476" s="75" t="s">
        <v>47</v>
      </c>
      <c r="D476" s="75" t="s">
        <v>271</v>
      </c>
      <c r="E476" s="75" t="s">
        <v>62</v>
      </c>
      <c r="F476" s="55">
        <f>'изм июнь вед стр-ра'!G134+'изм июнь вед стр-ра'!G155</f>
        <v>112.7</v>
      </c>
      <c r="G476" s="55">
        <f>'изм июнь вед стр-ра'!H134+'изм июнь вед стр-ра'!H155</f>
        <v>0</v>
      </c>
      <c r="H476" s="55">
        <f>'изм июнь вед стр-ра'!I134+'изм июнь вед стр-ра'!I155</f>
        <v>0</v>
      </c>
    </row>
    <row r="477" spans="1:8" s="21" customFormat="1" x14ac:dyDescent="0.2">
      <c r="A477" s="28" t="s">
        <v>66</v>
      </c>
      <c r="B477" s="24" t="s">
        <v>48</v>
      </c>
      <c r="C477" s="24" t="s">
        <v>47</v>
      </c>
      <c r="D477" s="24" t="s">
        <v>271</v>
      </c>
      <c r="E477" s="24" t="s">
        <v>67</v>
      </c>
      <c r="F477" s="25">
        <f>'изм июнь вед стр-ра'!G601</f>
        <v>718.7</v>
      </c>
      <c r="G477" s="25">
        <f>'изм июнь вед стр-ра'!H601</f>
        <v>0</v>
      </c>
      <c r="H477" s="25">
        <f>'изм июнь вед стр-ра'!I601</f>
        <v>0</v>
      </c>
    </row>
    <row r="478" spans="1:8" s="21" customFormat="1" ht="25.5" x14ac:dyDescent="0.2">
      <c r="A478" s="18" t="s">
        <v>273</v>
      </c>
      <c r="B478" s="19" t="s">
        <v>48</v>
      </c>
      <c r="C478" s="19" t="s">
        <v>47</v>
      </c>
      <c r="D478" s="19" t="s">
        <v>272</v>
      </c>
      <c r="E478" s="19"/>
      <c r="F478" s="20">
        <f>F479</f>
        <v>1290.0999999999999</v>
      </c>
      <c r="G478" s="20">
        <f>G479</f>
        <v>0</v>
      </c>
      <c r="H478" s="20">
        <f>H479</f>
        <v>0</v>
      </c>
    </row>
    <row r="479" spans="1:8" s="21" customFormat="1" x14ac:dyDescent="0.2">
      <c r="A479" s="28" t="s">
        <v>66</v>
      </c>
      <c r="B479" s="24" t="s">
        <v>48</v>
      </c>
      <c r="C479" s="24" t="s">
        <v>47</v>
      </c>
      <c r="D479" s="24" t="s">
        <v>272</v>
      </c>
      <c r="E479" s="24" t="s">
        <v>67</v>
      </c>
      <c r="F479" s="25">
        <f>'изм июнь вед стр-ра'!G603</f>
        <v>1290.0999999999999</v>
      </c>
      <c r="G479" s="25">
        <f>'изм июнь вед стр-ра'!H603</f>
        <v>0</v>
      </c>
      <c r="H479" s="25">
        <f>'изм июнь вед стр-ра'!I603</f>
        <v>0</v>
      </c>
    </row>
    <row r="480" spans="1:8" s="21" customFormat="1" ht="63.75" x14ac:dyDescent="0.2">
      <c r="A480" s="54" t="s">
        <v>275</v>
      </c>
      <c r="B480" s="178" t="s">
        <v>48</v>
      </c>
      <c r="C480" s="19" t="s">
        <v>47</v>
      </c>
      <c r="D480" s="19" t="s">
        <v>274</v>
      </c>
      <c r="E480" s="19"/>
      <c r="F480" s="20">
        <f>F481</f>
        <v>35.5</v>
      </c>
      <c r="G480" s="20">
        <f>G481</f>
        <v>0</v>
      </c>
      <c r="H480" s="20">
        <f>H481</f>
        <v>0</v>
      </c>
    </row>
    <row r="481" spans="1:8" s="21" customFormat="1" x14ac:dyDescent="0.2">
      <c r="A481" s="49" t="s">
        <v>66</v>
      </c>
      <c r="B481" s="24" t="s">
        <v>48</v>
      </c>
      <c r="C481" s="24" t="s">
        <v>47</v>
      </c>
      <c r="D481" s="24" t="s">
        <v>274</v>
      </c>
      <c r="E481" s="24" t="s">
        <v>67</v>
      </c>
      <c r="F481" s="25">
        <f>'изм июнь вед стр-ра'!G605</f>
        <v>35.5</v>
      </c>
      <c r="G481" s="25">
        <f>'изм июнь вед стр-ра'!H605</f>
        <v>0</v>
      </c>
      <c r="H481" s="25">
        <f>'изм июнь вед стр-ра'!I605</f>
        <v>0</v>
      </c>
    </row>
    <row r="482" spans="1:8" s="72" customFormat="1" ht="25.5" x14ac:dyDescent="0.2">
      <c r="A482" s="68" t="s">
        <v>640</v>
      </c>
      <c r="B482" s="70" t="s">
        <v>48</v>
      </c>
      <c r="C482" s="70" t="s">
        <v>47</v>
      </c>
      <c r="D482" s="70" t="s">
        <v>326</v>
      </c>
      <c r="E482" s="70"/>
      <c r="F482" s="71">
        <f>F483</f>
        <v>10</v>
      </c>
      <c r="G482" s="71">
        <f>G483</f>
        <v>0</v>
      </c>
      <c r="H482" s="71">
        <f>H483</f>
        <v>0</v>
      </c>
    </row>
    <row r="483" spans="1:8" s="77" customFormat="1" x14ac:dyDescent="0.2">
      <c r="A483" s="80" t="s">
        <v>66</v>
      </c>
      <c r="B483" s="75" t="s">
        <v>48</v>
      </c>
      <c r="C483" s="75" t="s">
        <v>47</v>
      </c>
      <c r="D483" s="75" t="s">
        <v>326</v>
      </c>
      <c r="E483" s="75" t="s">
        <v>65</v>
      </c>
      <c r="F483" s="55">
        <f>'изм июнь вед стр-ра'!G513</f>
        <v>10</v>
      </c>
      <c r="G483" s="55">
        <f>'изм июнь вед стр-ра'!H513</f>
        <v>0</v>
      </c>
      <c r="H483" s="55">
        <f>'изм июнь вед стр-ра'!I513</f>
        <v>0</v>
      </c>
    </row>
    <row r="484" spans="1:8" s="72" customFormat="1" ht="25.5" x14ac:dyDescent="0.2">
      <c r="A484" s="68" t="s">
        <v>243</v>
      </c>
      <c r="B484" s="70" t="s">
        <v>48</v>
      </c>
      <c r="C484" s="70" t="s">
        <v>47</v>
      </c>
      <c r="D484" s="70" t="s">
        <v>93</v>
      </c>
      <c r="E484" s="70"/>
      <c r="F484" s="71">
        <f>F485+F486+F487</f>
        <v>28219.9</v>
      </c>
      <c r="G484" s="71">
        <f>G485+G486+G487</f>
        <v>28219.9</v>
      </c>
      <c r="H484" s="71">
        <f>H485+H486+H487</f>
        <v>28219.9</v>
      </c>
    </row>
    <row r="485" spans="1:8" s="21" customFormat="1" ht="51" x14ac:dyDescent="0.2">
      <c r="A485" s="30" t="s">
        <v>63</v>
      </c>
      <c r="B485" s="24" t="s">
        <v>48</v>
      </c>
      <c r="C485" s="24" t="s">
        <v>47</v>
      </c>
      <c r="D485" s="24" t="s">
        <v>93</v>
      </c>
      <c r="E485" s="27" t="s">
        <v>64</v>
      </c>
      <c r="F485" s="25">
        <f>'изм июнь вед стр-ра'!G515</f>
        <v>26948.9</v>
      </c>
      <c r="G485" s="25">
        <f>'изм июнь вед стр-ра'!H515</f>
        <v>26948.9</v>
      </c>
      <c r="H485" s="25">
        <f>'изм июнь вед стр-ра'!I515</f>
        <v>26948.9</v>
      </c>
    </row>
    <row r="486" spans="1:8" s="21" customFormat="1" ht="25.5" x14ac:dyDescent="0.2">
      <c r="A486" s="28" t="s">
        <v>73</v>
      </c>
      <c r="B486" s="24" t="s">
        <v>48</v>
      </c>
      <c r="C486" s="24" t="s">
        <v>47</v>
      </c>
      <c r="D486" s="24" t="s">
        <v>93</v>
      </c>
      <c r="E486" s="27" t="s">
        <v>65</v>
      </c>
      <c r="F486" s="25">
        <f>'изм июнь вед стр-ра'!G516</f>
        <v>1263.4000000000001</v>
      </c>
      <c r="G486" s="25">
        <f>'изм июнь вед стр-ра'!H516</f>
        <v>1263.4000000000001</v>
      </c>
      <c r="H486" s="25">
        <f>'изм июнь вед стр-ра'!I516</f>
        <v>1263.4000000000001</v>
      </c>
    </row>
    <row r="487" spans="1:8" s="72" customFormat="1" x14ac:dyDescent="0.2">
      <c r="A487" s="80" t="s">
        <v>69</v>
      </c>
      <c r="B487" s="75" t="s">
        <v>48</v>
      </c>
      <c r="C487" s="75" t="s">
        <v>47</v>
      </c>
      <c r="D487" s="75" t="s">
        <v>93</v>
      </c>
      <c r="E487" s="75" t="s">
        <v>70</v>
      </c>
      <c r="F487" s="25">
        <f>'изм июнь вед стр-ра'!G517</f>
        <v>7.6</v>
      </c>
      <c r="G487" s="25">
        <f>'изм июнь вед стр-ра'!H517</f>
        <v>7.6</v>
      </c>
      <c r="H487" s="25">
        <f>'изм июнь вед стр-ра'!I517</f>
        <v>7.6</v>
      </c>
    </row>
    <row r="488" spans="1:8" s="72" customFormat="1" ht="25.5" x14ac:dyDescent="0.2">
      <c r="A488" s="68" t="s">
        <v>535</v>
      </c>
      <c r="B488" s="70" t="s">
        <v>48</v>
      </c>
      <c r="C488" s="70" t="s">
        <v>47</v>
      </c>
      <c r="D488" s="70" t="s">
        <v>536</v>
      </c>
      <c r="E488" s="71"/>
      <c r="F488" s="71">
        <f>F489</f>
        <v>3096</v>
      </c>
      <c r="G488" s="71">
        <f t="shared" ref="G488:H488" si="100">G489</f>
        <v>3096</v>
      </c>
      <c r="H488" s="71">
        <f t="shared" si="100"/>
        <v>1548</v>
      </c>
    </row>
    <row r="489" spans="1:8" s="72" customFormat="1" ht="25.5" x14ac:dyDescent="0.2">
      <c r="A489" s="68" t="s">
        <v>119</v>
      </c>
      <c r="B489" s="70" t="s">
        <v>48</v>
      </c>
      <c r="C489" s="70" t="s">
        <v>47</v>
      </c>
      <c r="D489" s="70" t="s">
        <v>536</v>
      </c>
      <c r="E489" s="71" t="s">
        <v>62</v>
      </c>
      <c r="F489" s="71">
        <f>'изм июнь вед стр-ра'!G519</f>
        <v>3096</v>
      </c>
      <c r="G489" s="71">
        <f>'изм июнь вед стр-ра'!H519</f>
        <v>3096</v>
      </c>
      <c r="H489" s="71">
        <f>'изм июнь вед стр-ра'!I519</f>
        <v>1548</v>
      </c>
    </row>
    <row r="490" spans="1:8" s="72" customFormat="1" x14ac:dyDescent="0.2">
      <c r="A490" s="68" t="s">
        <v>150</v>
      </c>
      <c r="B490" s="98" t="s">
        <v>48</v>
      </c>
      <c r="C490" s="70" t="s">
        <v>47</v>
      </c>
      <c r="D490" s="98" t="s">
        <v>151</v>
      </c>
      <c r="E490" s="70"/>
      <c r="F490" s="71">
        <f>F492+F491+F493</f>
        <v>2468.3000000000002</v>
      </c>
      <c r="G490" s="71">
        <f t="shared" ref="G490:H490" si="101">G492+G491+G493</f>
        <v>0</v>
      </c>
      <c r="H490" s="71">
        <f t="shared" si="101"/>
        <v>0</v>
      </c>
    </row>
    <row r="491" spans="1:8" s="21" customFormat="1" ht="25.5" x14ac:dyDescent="0.2">
      <c r="A491" s="30" t="s">
        <v>353</v>
      </c>
      <c r="B491" s="24" t="s">
        <v>48</v>
      </c>
      <c r="C491" s="24" t="s">
        <v>47</v>
      </c>
      <c r="D491" s="24" t="s">
        <v>151</v>
      </c>
      <c r="E491" s="24" t="s">
        <v>65</v>
      </c>
      <c r="F491" s="20">
        <f>'изм июнь вед стр-ра'!G521</f>
        <v>78.3</v>
      </c>
      <c r="G491" s="20">
        <f>'изм июнь вед стр-ра'!H521</f>
        <v>0</v>
      </c>
      <c r="H491" s="20">
        <f>'изм июнь вед стр-ра'!I521</f>
        <v>0</v>
      </c>
    </row>
    <row r="492" spans="1:8" s="72" customFormat="1" x14ac:dyDescent="0.2">
      <c r="A492" s="80" t="s">
        <v>66</v>
      </c>
      <c r="B492" s="75" t="s">
        <v>48</v>
      </c>
      <c r="C492" s="75" t="s">
        <v>47</v>
      </c>
      <c r="D492" s="75" t="s">
        <v>151</v>
      </c>
      <c r="E492" s="75" t="s">
        <v>67</v>
      </c>
      <c r="F492" s="20">
        <f>'изм июнь вед стр-ра'!G522</f>
        <v>690</v>
      </c>
      <c r="G492" s="20">
        <f>'изм июнь вед стр-ра'!H522</f>
        <v>0</v>
      </c>
      <c r="H492" s="20">
        <f>'изм июнь вед стр-ра'!I522</f>
        <v>0</v>
      </c>
    </row>
    <row r="493" spans="1:8" s="72" customFormat="1" ht="25.5" x14ac:dyDescent="0.2">
      <c r="A493" s="28" t="s">
        <v>79</v>
      </c>
      <c r="B493" s="24" t="s">
        <v>48</v>
      </c>
      <c r="C493" s="24" t="s">
        <v>47</v>
      </c>
      <c r="D493" s="24" t="s">
        <v>151</v>
      </c>
      <c r="E493" s="24" t="s">
        <v>68</v>
      </c>
      <c r="F493" s="20">
        <f>'изм июнь вед стр-ра'!G523</f>
        <v>1700</v>
      </c>
      <c r="G493" s="20"/>
    </row>
    <row r="494" spans="1:8" s="21" customFormat="1" ht="15.75" x14ac:dyDescent="0.25">
      <c r="A494" s="122" t="s">
        <v>531</v>
      </c>
      <c r="B494" s="121" t="s">
        <v>19</v>
      </c>
      <c r="C494" s="121" t="s">
        <v>350</v>
      </c>
      <c r="D494" s="121"/>
      <c r="E494" s="121"/>
      <c r="F494" s="176">
        <f>F495+F513+F517</f>
        <v>95368.076000000015</v>
      </c>
      <c r="G494" s="176">
        <f>G495+G513+G517</f>
        <v>79903.5</v>
      </c>
      <c r="H494" s="176">
        <f>H495+H513+H517</f>
        <v>78948.600000000006</v>
      </c>
    </row>
    <row r="495" spans="1:8" s="9" customFormat="1" x14ac:dyDescent="0.2">
      <c r="A495" s="11" t="s">
        <v>0</v>
      </c>
      <c r="B495" s="8" t="s">
        <v>19</v>
      </c>
      <c r="C495" s="8" t="s">
        <v>10</v>
      </c>
      <c r="D495" s="8"/>
      <c r="E495" s="8"/>
      <c r="F495" s="4">
        <f>F501+F505+F496+F503+F498+F511+F507+F509</f>
        <v>89835.376000000018</v>
      </c>
      <c r="G495" s="4">
        <f t="shared" ref="G495:H495" si="102">G501+G505+G496+G503+G498+G511+G507+G509</f>
        <v>74251.7</v>
      </c>
      <c r="H495" s="4">
        <f t="shared" si="102"/>
        <v>73296.800000000003</v>
      </c>
    </row>
    <row r="496" spans="1:8" s="12" customFormat="1" ht="25.5" x14ac:dyDescent="0.2">
      <c r="A496" s="17" t="s">
        <v>137</v>
      </c>
      <c r="B496" s="19" t="s">
        <v>19</v>
      </c>
      <c r="C496" s="19" t="s">
        <v>10</v>
      </c>
      <c r="D496" s="19" t="s">
        <v>136</v>
      </c>
      <c r="E496" s="5"/>
      <c r="F496" s="6">
        <f>F497</f>
        <v>192.8</v>
      </c>
      <c r="G496" s="6">
        <f>G497</f>
        <v>0</v>
      </c>
      <c r="H496" s="6">
        <f>H497</f>
        <v>0</v>
      </c>
    </row>
    <row r="497" spans="1:8" s="26" customFormat="1" ht="25.5" x14ac:dyDescent="0.2">
      <c r="A497" s="28" t="s">
        <v>119</v>
      </c>
      <c r="B497" s="24" t="s">
        <v>19</v>
      </c>
      <c r="C497" s="24" t="s">
        <v>10</v>
      </c>
      <c r="D497" s="24" t="s">
        <v>136</v>
      </c>
      <c r="E497" s="24" t="s">
        <v>62</v>
      </c>
      <c r="F497" s="25">
        <f>'изм июнь вед стр-ра'!G159</f>
        <v>192.8</v>
      </c>
      <c r="G497" s="25">
        <f>'изм июнь вед стр-ра'!H159</f>
        <v>0</v>
      </c>
      <c r="H497" s="25">
        <f>'изм июнь вед стр-ра'!I159</f>
        <v>0</v>
      </c>
    </row>
    <row r="498" spans="1:8" s="21" customFormat="1" ht="13.5" customHeight="1" x14ac:dyDescent="0.2">
      <c r="A498" s="18" t="s">
        <v>147</v>
      </c>
      <c r="B498" s="19" t="s">
        <v>19</v>
      </c>
      <c r="C498" s="19" t="s">
        <v>10</v>
      </c>
      <c r="D498" s="24" t="s">
        <v>146</v>
      </c>
      <c r="E498" s="19"/>
      <c r="F498" s="20">
        <f>F500+F499</f>
        <v>3570.2719999999999</v>
      </c>
      <c r="G498" s="20">
        <f t="shared" ref="G498:H498" si="103">G500+G499</f>
        <v>0</v>
      </c>
      <c r="H498" s="20">
        <f t="shared" si="103"/>
        <v>0</v>
      </c>
    </row>
    <row r="499" spans="1:8" s="26" customFormat="1" ht="25.5" x14ac:dyDescent="0.2">
      <c r="A499" s="28" t="s">
        <v>73</v>
      </c>
      <c r="B499" s="24" t="s">
        <v>19</v>
      </c>
      <c r="C499" s="24" t="s">
        <v>10</v>
      </c>
      <c r="D499" s="24" t="s">
        <v>146</v>
      </c>
      <c r="E499" s="24" t="s">
        <v>65</v>
      </c>
      <c r="F499" s="25">
        <f>'изм июнь вед стр-ра'!G161</f>
        <v>14.9</v>
      </c>
      <c r="G499" s="25">
        <f>'изм июнь вед стр-ра'!H161</f>
        <v>0</v>
      </c>
      <c r="H499" s="25">
        <f>'изм июнь вед стр-ра'!I161</f>
        <v>0</v>
      </c>
    </row>
    <row r="500" spans="1:8" s="26" customFormat="1" ht="25.5" x14ac:dyDescent="0.2">
      <c r="A500" s="28" t="s">
        <v>79</v>
      </c>
      <c r="B500" s="24" t="s">
        <v>19</v>
      </c>
      <c r="C500" s="24" t="s">
        <v>10</v>
      </c>
      <c r="D500" s="24" t="s">
        <v>146</v>
      </c>
      <c r="E500" s="24" t="s">
        <v>68</v>
      </c>
      <c r="F500" s="25">
        <f>'изм июнь вед стр-ра'!G162</f>
        <v>3555.3719999999998</v>
      </c>
      <c r="G500" s="25">
        <f>'изм июнь вед стр-ра'!H162</f>
        <v>0</v>
      </c>
      <c r="H500" s="25">
        <f>'изм июнь вед стр-ра'!I162</f>
        <v>0</v>
      </c>
    </row>
    <row r="501" spans="1:8" s="72" customFormat="1" ht="25.5" x14ac:dyDescent="0.2">
      <c r="A501" s="68" t="s">
        <v>163</v>
      </c>
      <c r="B501" s="70" t="s">
        <v>19</v>
      </c>
      <c r="C501" s="70" t="s">
        <v>10</v>
      </c>
      <c r="D501" s="70" t="s">
        <v>162</v>
      </c>
      <c r="E501" s="70"/>
      <c r="F501" s="71">
        <f>F502</f>
        <v>15801</v>
      </c>
      <c r="G501" s="71">
        <f>G502</f>
        <v>14556.2</v>
      </c>
      <c r="H501" s="71">
        <f>H502</f>
        <v>14078.7</v>
      </c>
    </row>
    <row r="502" spans="1:8" s="77" customFormat="1" ht="25.5" x14ac:dyDescent="0.2">
      <c r="A502" s="80" t="s">
        <v>119</v>
      </c>
      <c r="B502" s="75" t="s">
        <v>19</v>
      </c>
      <c r="C502" s="75" t="s">
        <v>10</v>
      </c>
      <c r="D502" s="75" t="s">
        <v>162</v>
      </c>
      <c r="E502" s="75" t="s">
        <v>62</v>
      </c>
      <c r="F502" s="55">
        <f>'изм июнь вед стр-ра'!G164</f>
        <v>15801</v>
      </c>
      <c r="G502" s="55">
        <f>'изм июнь вед стр-ра'!H164</f>
        <v>14556.2</v>
      </c>
      <c r="H502" s="55">
        <f>'изм июнь вед стр-ра'!I164</f>
        <v>14078.7</v>
      </c>
    </row>
    <row r="503" spans="1:8" s="21" customFormat="1" ht="38.25" x14ac:dyDescent="0.2">
      <c r="A503" s="18" t="s">
        <v>165</v>
      </c>
      <c r="B503" s="19" t="s">
        <v>19</v>
      </c>
      <c r="C503" s="19" t="s">
        <v>10</v>
      </c>
      <c r="D503" s="19" t="s">
        <v>164</v>
      </c>
      <c r="E503" s="19"/>
      <c r="F503" s="20">
        <f>F504</f>
        <v>150</v>
      </c>
      <c r="G503" s="20">
        <f>G504</f>
        <v>0</v>
      </c>
      <c r="H503" s="20">
        <f>H504</f>
        <v>0</v>
      </c>
    </row>
    <row r="504" spans="1:8" s="26" customFormat="1" ht="25.5" x14ac:dyDescent="0.2">
      <c r="A504" s="28" t="s">
        <v>73</v>
      </c>
      <c r="B504" s="24" t="s">
        <v>19</v>
      </c>
      <c r="C504" s="24" t="s">
        <v>10</v>
      </c>
      <c r="D504" s="24" t="s">
        <v>164</v>
      </c>
      <c r="E504" s="27" t="s">
        <v>65</v>
      </c>
      <c r="F504" s="25">
        <f>'изм июнь вед стр-ра'!G166</f>
        <v>150</v>
      </c>
      <c r="G504" s="25">
        <f>'изм июнь вед стр-ра'!H166</f>
        <v>0</v>
      </c>
      <c r="H504" s="25">
        <f>'изм июнь вед стр-ра'!I166</f>
        <v>0</v>
      </c>
    </row>
    <row r="505" spans="1:8" s="21" customFormat="1" ht="25.5" x14ac:dyDescent="0.2">
      <c r="A505" s="18" t="s">
        <v>294</v>
      </c>
      <c r="B505" s="19" t="s">
        <v>19</v>
      </c>
      <c r="C505" s="19" t="s">
        <v>10</v>
      </c>
      <c r="D505" s="19" t="s">
        <v>295</v>
      </c>
      <c r="E505" s="19"/>
      <c r="F505" s="20">
        <f>F506</f>
        <v>47772.9</v>
      </c>
      <c r="G505" s="20">
        <f>G506</f>
        <v>46327.7</v>
      </c>
      <c r="H505" s="20">
        <f>H506</f>
        <v>45850.3</v>
      </c>
    </row>
    <row r="506" spans="1:8" s="77" customFormat="1" ht="25.5" x14ac:dyDescent="0.2">
      <c r="A506" s="80" t="s">
        <v>119</v>
      </c>
      <c r="B506" s="75" t="s">
        <v>19</v>
      </c>
      <c r="C506" s="75" t="s">
        <v>10</v>
      </c>
      <c r="D506" s="75" t="s">
        <v>295</v>
      </c>
      <c r="E506" s="76" t="s">
        <v>62</v>
      </c>
      <c r="F506" s="55">
        <f>'изм июнь вед стр-ра'!G168</f>
        <v>47772.9</v>
      </c>
      <c r="G506" s="55">
        <f>'изм июнь вед стр-ра'!H168</f>
        <v>46327.7</v>
      </c>
      <c r="H506" s="55">
        <f>'изм июнь вед стр-ра'!I168</f>
        <v>45850.3</v>
      </c>
    </row>
    <row r="507" spans="1:8" s="77" customFormat="1" ht="25.5" x14ac:dyDescent="0.2">
      <c r="A507" s="18" t="s">
        <v>294</v>
      </c>
      <c r="B507" s="19" t="s">
        <v>19</v>
      </c>
      <c r="C507" s="19" t="s">
        <v>10</v>
      </c>
      <c r="D507" s="19" t="s">
        <v>565</v>
      </c>
      <c r="E507" s="19"/>
      <c r="F507" s="55">
        <f>F508</f>
        <v>15640.6</v>
      </c>
      <c r="G507" s="55">
        <f t="shared" ref="G507:H507" si="104">G508</f>
        <v>13367.8</v>
      </c>
      <c r="H507" s="55">
        <f t="shared" si="104"/>
        <v>13367.8</v>
      </c>
    </row>
    <row r="508" spans="1:8" s="77" customFormat="1" ht="25.5" x14ac:dyDescent="0.2">
      <c r="A508" s="80" t="s">
        <v>119</v>
      </c>
      <c r="B508" s="75" t="s">
        <v>19</v>
      </c>
      <c r="C508" s="75" t="s">
        <v>10</v>
      </c>
      <c r="D508" s="75" t="s">
        <v>565</v>
      </c>
      <c r="E508" s="76" t="s">
        <v>62</v>
      </c>
      <c r="F508" s="55">
        <f>'изм июнь вед стр-ра'!G380</f>
        <v>15640.6</v>
      </c>
      <c r="G508" s="55">
        <f>'изм июнь вед стр-ра'!H380</f>
        <v>13367.8</v>
      </c>
      <c r="H508" s="55">
        <f>'изм июнь вед стр-ра'!I380</f>
        <v>13367.8</v>
      </c>
    </row>
    <row r="509" spans="1:8" s="26" customFormat="1" x14ac:dyDescent="0.2">
      <c r="A509" s="18" t="s">
        <v>685</v>
      </c>
      <c r="B509" s="19" t="s">
        <v>19</v>
      </c>
      <c r="C509" s="19" t="s">
        <v>10</v>
      </c>
      <c r="D509" s="19" t="s">
        <v>686</v>
      </c>
      <c r="E509" s="19"/>
      <c r="F509" s="25">
        <f>F510</f>
        <v>4708.0839999999998</v>
      </c>
      <c r="G509" s="25">
        <f t="shared" ref="G509:H509" si="105">G510</f>
        <v>0</v>
      </c>
      <c r="H509" s="25">
        <f t="shared" si="105"/>
        <v>0</v>
      </c>
    </row>
    <row r="510" spans="1:8" s="26" customFormat="1" ht="25.5" x14ac:dyDescent="0.2">
      <c r="A510" s="28" t="s">
        <v>119</v>
      </c>
      <c r="B510" s="24" t="s">
        <v>19</v>
      </c>
      <c r="C510" s="24" t="s">
        <v>10</v>
      </c>
      <c r="D510" s="24" t="s">
        <v>686</v>
      </c>
      <c r="E510" s="24" t="s">
        <v>62</v>
      </c>
      <c r="F510" s="25">
        <f>'изм июнь вед стр-ра'!G170</f>
        <v>4708.0839999999998</v>
      </c>
      <c r="G510" s="25">
        <f>'изм июнь вед стр-ра'!H170</f>
        <v>0</v>
      </c>
      <c r="H510" s="25">
        <f>'изм июнь вед стр-ра'!I170</f>
        <v>0</v>
      </c>
    </row>
    <row r="511" spans="1:8" s="77" customFormat="1" x14ac:dyDescent="0.2">
      <c r="A511" s="18" t="s">
        <v>659</v>
      </c>
      <c r="B511" s="19" t="s">
        <v>19</v>
      </c>
      <c r="C511" s="19" t="s">
        <v>10</v>
      </c>
      <c r="D511" s="19" t="s">
        <v>658</v>
      </c>
      <c r="E511" s="19"/>
      <c r="F511" s="55">
        <f>F512</f>
        <v>1999.7199999999998</v>
      </c>
      <c r="G511" s="55">
        <f t="shared" ref="G511:H511" si="106">G512</f>
        <v>0</v>
      </c>
      <c r="H511" s="55">
        <f t="shared" si="106"/>
        <v>0</v>
      </c>
    </row>
    <row r="512" spans="1:8" s="77" customFormat="1" ht="25.5" x14ac:dyDescent="0.2">
      <c r="A512" s="28" t="s">
        <v>119</v>
      </c>
      <c r="B512" s="24" t="s">
        <v>19</v>
      </c>
      <c r="C512" s="24" t="s">
        <v>10</v>
      </c>
      <c r="D512" s="24" t="s">
        <v>658</v>
      </c>
      <c r="E512" s="24" t="s">
        <v>62</v>
      </c>
      <c r="F512" s="55">
        <f>'изм июнь вед стр-ра'!G172</f>
        <v>1999.7199999999998</v>
      </c>
      <c r="G512" s="55">
        <f>'изм июнь вед стр-ра'!H172</f>
        <v>0</v>
      </c>
      <c r="H512" s="55">
        <f>'изм июнь вед стр-ра'!I172</f>
        <v>0</v>
      </c>
    </row>
    <row r="513" spans="1:8" s="9" customFormat="1" x14ac:dyDescent="0.2">
      <c r="A513" s="11" t="s">
        <v>1</v>
      </c>
      <c r="B513" s="8" t="s">
        <v>19</v>
      </c>
      <c r="C513" s="8" t="s">
        <v>12</v>
      </c>
      <c r="D513" s="8"/>
      <c r="E513" s="8"/>
      <c r="F513" s="4">
        <f t="shared" ref="F513:H513" si="107">F514</f>
        <v>360</v>
      </c>
      <c r="G513" s="4">
        <f t="shared" si="107"/>
        <v>0</v>
      </c>
      <c r="H513" s="4">
        <f t="shared" si="107"/>
        <v>0</v>
      </c>
    </row>
    <row r="514" spans="1:8" s="21" customFormat="1" ht="25.5" x14ac:dyDescent="0.2">
      <c r="A514" s="18" t="s">
        <v>167</v>
      </c>
      <c r="B514" s="19" t="s">
        <v>19</v>
      </c>
      <c r="C514" s="19" t="s">
        <v>12</v>
      </c>
      <c r="D514" s="19" t="s">
        <v>166</v>
      </c>
      <c r="E514" s="19"/>
      <c r="F514" s="20">
        <f>'изм июнь вед стр-ра'!G174</f>
        <v>360</v>
      </c>
      <c r="G514" s="20">
        <f>'изм июнь вед стр-ра'!H174</f>
        <v>0</v>
      </c>
      <c r="H514" s="20">
        <f>'изм июнь вед стр-ра'!I174</f>
        <v>0</v>
      </c>
    </row>
    <row r="515" spans="1:8" s="21" customFormat="1" ht="51" x14ac:dyDescent="0.2">
      <c r="A515" s="30" t="s">
        <v>63</v>
      </c>
      <c r="B515" s="24" t="s">
        <v>19</v>
      </c>
      <c r="C515" s="24" t="s">
        <v>12</v>
      </c>
      <c r="D515" s="24" t="s">
        <v>166</v>
      </c>
      <c r="E515" s="19" t="s">
        <v>64</v>
      </c>
      <c r="F515" s="20">
        <f>'изм июнь вед стр-ра'!G175</f>
        <v>50</v>
      </c>
      <c r="G515" s="20">
        <f>'изм июнь вед стр-ра'!H175</f>
        <v>0</v>
      </c>
      <c r="H515" s="20">
        <f>'изм июнь вед стр-ра'!I175</f>
        <v>0</v>
      </c>
    </row>
    <row r="516" spans="1:8" s="26" customFormat="1" ht="25.5" x14ac:dyDescent="0.2">
      <c r="A516" s="28" t="s">
        <v>73</v>
      </c>
      <c r="B516" s="24" t="s">
        <v>19</v>
      </c>
      <c r="C516" s="24" t="s">
        <v>12</v>
      </c>
      <c r="D516" s="24" t="s">
        <v>166</v>
      </c>
      <c r="E516" s="27" t="s">
        <v>65</v>
      </c>
      <c r="F516" s="25">
        <f>'изм июнь вед стр-ра'!G176</f>
        <v>310</v>
      </c>
      <c r="G516" s="25">
        <f>'изм июнь вед стр-ра'!H176</f>
        <v>0</v>
      </c>
      <c r="H516" s="25">
        <f>'изм июнь вед стр-ра'!I176</f>
        <v>0</v>
      </c>
    </row>
    <row r="517" spans="1:8" s="9" customFormat="1" x14ac:dyDescent="0.2">
      <c r="A517" s="11" t="s">
        <v>3</v>
      </c>
      <c r="B517" s="8" t="s">
        <v>19</v>
      </c>
      <c r="C517" s="8" t="s">
        <v>28</v>
      </c>
      <c r="D517" s="8"/>
      <c r="E517" s="8"/>
      <c r="F517" s="4">
        <f>F518+F521</f>
        <v>5172.7000000000007</v>
      </c>
      <c r="G517" s="4">
        <f>G518+G521</f>
        <v>5651.8</v>
      </c>
      <c r="H517" s="4">
        <f>H518+H521</f>
        <v>5651.8</v>
      </c>
    </row>
    <row r="518" spans="1:8" s="21" customFormat="1" ht="25.5" x14ac:dyDescent="0.2">
      <c r="A518" s="18" t="s">
        <v>163</v>
      </c>
      <c r="B518" s="19" t="s">
        <v>19</v>
      </c>
      <c r="C518" s="19" t="s">
        <v>28</v>
      </c>
      <c r="D518" s="19" t="s">
        <v>168</v>
      </c>
      <c r="E518" s="19"/>
      <c r="F518" s="20">
        <f>F519+F520</f>
        <v>1749.4</v>
      </c>
      <c r="G518" s="20">
        <f>G519+G520</f>
        <v>2328.5</v>
      </c>
      <c r="H518" s="20">
        <f>H519+H520</f>
        <v>2328.5</v>
      </c>
    </row>
    <row r="519" spans="1:8" s="26" customFormat="1" ht="50.25" customHeight="1" x14ac:dyDescent="0.2">
      <c r="A519" s="30" t="s">
        <v>63</v>
      </c>
      <c r="B519" s="24" t="s">
        <v>19</v>
      </c>
      <c r="C519" s="24" t="s">
        <v>28</v>
      </c>
      <c r="D519" s="24" t="s">
        <v>168</v>
      </c>
      <c r="E519" s="27" t="s">
        <v>64</v>
      </c>
      <c r="F519" s="25">
        <f>'изм июнь вед стр-ра'!G179</f>
        <v>1689.9</v>
      </c>
      <c r="G519" s="25">
        <f>'изм июнь вед стр-ра'!H179</f>
        <v>2257</v>
      </c>
      <c r="H519" s="25">
        <f>'изм июнь вед стр-ра'!I179</f>
        <v>2257</v>
      </c>
    </row>
    <row r="520" spans="1:8" s="26" customFormat="1" ht="25.5" x14ac:dyDescent="0.2">
      <c r="A520" s="28" t="s">
        <v>73</v>
      </c>
      <c r="B520" s="24" t="s">
        <v>19</v>
      </c>
      <c r="C520" s="24" t="s">
        <v>28</v>
      </c>
      <c r="D520" s="24" t="s">
        <v>168</v>
      </c>
      <c r="E520" s="27" t="s">
        <v>65</v>
      </c>
      <c r="F520" s="25">
        <f>'изм июнь вед стр-ра'!G180</f>
        <v>59.5</v>
      </c>
      <c r="G520" s="25">
        <f>'изм июнь вед стр-ра'!H180</f>
        <v>71.5</v>
      </c>
      <c r="H520" s="25">
        <f>'изм июнь вед стр-ра'!I180</f>
        <v>71.5</v>
      </c>
    </row>
    <row r="521" spans="1:8" s="21" customFormat="1" ht="25.5" x14ac:dyDescent="0.2">
      <c r="A521" s="18" t="s">
        <v>163</v>
      </c>
      <c r="B521" s="19" t="s">
        <v>19</v>
      </c>
      <c r="C521" s="19" t="s">
        <v>28</v>
      </c>
      <c r="D521" s="19" t="s">
        <v>325</v>
      </c>
      <c r="E521" s="19"/>
      <c r="F521" s="20">
        <f>F522</f>
        <v>3423.3</v>
      </c>
      <c r="G521" s="20">
        <f>G522</f>
        <v>3323.3</v>
      </c>
      <c r="H521" s="20">
        <f>H522</f>
        <v>3323.3</v>
      </c>
    </row>
    <row r="522" spans="1:8" s="26" customFormat="1" ht="27.75" customHeight="1" x14ac:dyDescent="0.2">
      <c r="A522" s="80" t="s">
        <v>119</v>
      </c>
      <c r="B522" s="24" t="s">
        <v>19</v>
      </c>
      <c r="C522" s="24" t="s">
        <v>28</v>
      </c>
      <c r="D522" s="24" t="s">
        <v>325</v>
      </c>
      <c r="E522" s="27" t="s">
        <v>62</v>
      </c>
      <c r="F522" s="25">
        <f>'изм июнь вед стр-ра'!G182</f>
        <v>3423.3</v>
      </c>
      <c r="G522" s="25">
        <f>'изм июнь вед стр-ра'!H182</f>
        <v>3323.3</v>
      </c>
      <c r="H522" s="25">
        <f>'изм июнь вед стр-ра'!I182</f>
        <v>3323.3</v>
      </c>
    </row>
    <row r="523" spans="1:8" s="135" customFormat="1" ht="27.75" customHeight="1" x14ac:dyDescent="0.25">
      <c r="A523" s="122" t="s">
        <v>575</v>
      </c>
      <c r="B523" s="121" t="s">
        <v>21</v>
      </c>
      <c r="C523" s="121" t="s">
        <v>350</v>
      </c>
      <c r="D523" s="121"/>
      <c r="E523" s="202"/>
      <c r="F523" s="176">
        <f>F525</f>
        <v>1351.6</v>
      </c>
      <c r="G523" s="176">
        <f t="shared" ref="G523:H523" si="108">G525</f>
        <v>0</v>
      </c>
      <c r="H523" s="176">
        <f t="shared" si="108"/>
        <v>0</v>
      </c>
    </row>
    <row r="524" spans="1:8" s="206" customFormat="1" ht="21" customHeight="1" x14ac:dyDescent="0.25">
      <c r="A524" s="68" t="s">
        <v>576</v>
      </c>
      <c r="B524" s="203" t="s">
        <v>21</v>
      </c>
      <c r="C524" s="203" t="s">
        <v>12</v>
      </c>
      <c r="D524" s="203"/>
      <c r="E524" s="204"/>
      <c r="F524" s="205">
        <f>F525</f>
        <v>1351.6</v>
      </c>
      <c r="G524" s="205">
        <f t="shared" ref="G524:H524" si="109">G525</f>
        <v>0</v>
      </c>
      <c r="H524" s="205">
        <f t="shared" si="109"/>
        <v>0</v>
      </c>
    </row>
    <row r="525" spans="1:8" ht="41.25" customHeight="1" x14ac:dyDescent="0.2">
      <c r="A525" s="68" t="s">
        <v>572</v>
      </c>
      <c r="B525" s="19" t="s">
        <v>21</v>
      </c>
      <c r="C525" s="19" t="s">
        <v>12</v>
      </c>
      <c r="D525" s="19" t="s">
        <v>577</v>
      </c>
      <c r="E525" s="196"/>
      <c r="F525" s="20">
        <f>F526</f>
        <v>1351.6</v>
      </c>
      <c r="G525" s="20">
        <f t="shared" ref="G525:H525" si="110">G526</f>
        <v>0</v>
      </c>
      <c r="H525" s="20">
        <f t="shared" si="110"/>
        <v>0</v>
      </c>
    </row>
    <row r="526" spans="1:8" s="26" customFormat="1" ht="25.5" customHeight="1" x14ac:dyDescent="0.2">
      <c r="A526" s="80" t="s">
        <v>69</v>
      </c>
      <c r="B526" s="24" t="s">
        <v>21</v>
      </c>
      <c r="C526" s="24" t="s">
        <v>12</v>
      </c>
      <c r="D526" s="24" t="s">
        <v>573</v>
      </c>
      <c r="E526" s="27" t="s">
        <v>70</v>
      </c>
      <c r="F526" s="25">
        <f>'изм июнь вед стр-ра'!G138</f>
        <v>1351.6</v>
      </c>
      <c r="G526" s="25">
        <f>'изм июнь вед стр-ра'!H138</f>
        <v>0</v>
      </c>
      <c r="H526" s="25">
        <f>'изм июнь вед стр-ра'!I138</f>
        <v>0</v>
      </c>
    </row>
    <row r="527" spans="1:8" s="21" customFormat="1" ht="31.5" x14ac:dyDescent="0.25">
      <c r="A527" s="122" t="s">
        <v>18</v>
      </c>
      <c r="B527" s="121" t="s">
        <v>58</v>
      </c>
      <c r="C527" s="121" t="s">
        <v>350</v>
      </c>
      <c r="D527" s="121"/>
      <c r="E527" s="121"/>
      <c r="F527" s="176">
        <f>F528</f>
        <v>2136.1</v>
      </c>
      <c r="G527" s="176">
        <f t="shared" ref="G527:H529" si="111">G528</f>
        <v>2123</v>
      </c>
      <c r="H527" s="176">
        <f t="shared" si="111"/>
        <v>2105</v>
      </c>
    </row>
    <row r="528" spans="1:8" s="21" customFormat="1" ht="25.5" x14ac:dyDescent="0.2">
      <c r="A528" s="11" t="s">
        <v>2</v>
      </c>
      <c r="B528" s="8" t="s">
        <v>58</v>
      </c>
      <c r="C528" s="8" t="s">
        <v>10</v>
      </c>
      <c r="D528" s="8"/>
      <c r="E528" s="8"/>
      <c r="F528" s="4">
        <f>F529</f>
        <v>2136.1</v>
      </c>
      <c r="G528" s="4">
        <f t="shared" si="111"/>
        <v>2123</v>
      </c>
      <c r="H528" s="4">
        <f t="shared" si="111"/>
        <v>2105</v>
      </c>
    </row>
    <row r="529" spans="1:8" s="21" customFormat="1" ht="25.5" x14ac:dyDescent="0.2">
      <c r="A529" s="18" t="s">
        <v>159</v>
      </c>
      <c r="B529" s="19" t="s">
        <v>58</v>
      </c>
      <c r="C529" s="19" t="s">
        <v>10</v>
      </c>
      <c r="D529" s="19" t="s">
        <v>158</v>
      </c>
      <c r="E529" s="19"/>
      <c r="F529" s="20">
        <f>F530</f>
        <v>2136.1</v>
      </c>
      <c r="G529" s="20">
        <f t="shared" si="111"/>
        <v>2123</v>
      </c>
      <c r="H529" s="20">
        <f t="shared" si="111"/>
        <v>2105</v>
      </c>
    </row>
    <row r="530" spans="1:8" s="21" customFormat="1" x14ac:dyDescent="0.2">
      <c r="A530" s="28" t="s">
        <v>71</v>
      </c>
      <c r="B530" s="24" t="s">
        <v>58</v>
      </c>
      <c r="C530" s="24" t="s">
        <v>10</v>
      </c>
      <c r="D530" s="24" t="s">
        <v>158</v>
      </c>
      <c r="E530" s="24" t="s">
        <v>72</v>
      </c>
      <c r="F530" s="25">
        <f>'изм июнь вед стр-ра'!G142</f>
        <v>2136.1</v>
      </c>
      <c r="G530" s="25">
        <f>'изм июнь вед стр-ра'!H142</f>
        <v>2123</v>
      </c>
      <c r="H530" s="25">
        <f>'изм июнь вед стр-ра'!I142</f>
        <v>2105</v>
      </c>
    </row>
    <row r="531" spans="1:8" s="21" customFormat="1" x14ac:dyDescent="0.2">
      <c r="A531" s="18" t="s">
        <v>300</v>
      </c>
      <c r="B531" s="19" t="s">
        <v>301</v>
      </c>
      <c r="C531" s="19"/>
      <c r="D531" s="19"/>
      <c r="E531" s="19"/>
      <c r="F531" s="20"/>
      <c r="G531" s="20">
        <f t="shared" ref="G531:H533" si="112">G532</f>
        <v>26371.300000000003</v>
      </c>
      <c r="H531" s="20">
        <f t="shared" si="112"/>
        <v>44686.899999999994</v>
      </c>
    </row>
    <row r="532" spans="1:8" s="21" customFormat="1" x14ac:dyDescent="0.2">
      <c r="A532" s="18" t="s">
        <v>300</v>
      </c>
      <c r="B532" s="19" t="s">
        <v>301</v>
      </c>
      <c r="C532" s="16" t="s">
        <v>301</v>
      </c>
      <c r="D532" s="19"/>
      <c r="E532" s="19"/>
      <c r="F532" s="20"/>
      <c r="G532" s="20">
        <f t="shared" si="112"/>
        <v>26371.300000000003</v>
      </c>
      <c r="H532" s="20">
        <f t="shared" si="112"/>
        <v>44686.899999999994</v>
      </c>
    </row>
    <row r="533" spans="1:8" s="21" customFormat="1" x14ac:dyDescent="0.2">
      <c r="A533" s="18" t="s">
        <v>300</v>
      </c>
      <c r="B533" s="19" t="s">
        <v>301</v>
      </c>
      <c r="C533" s="16" t="s">
        <v>301</v>
      </c>
      <c r="D533" s="19" t="s">
        <v>302</v>
      </c>
      <c r="E533" s="19"/>
      <c r="F533" s="20"/>
      <c r="G533" s="20">
        <f t="shared" si="112"/>
        <v>26371.300000000003</v>
      </c>
      <c r="H533" s="20">
        <f t="shared" si="112"/>
        <v>44686.899999999994</v>
      </c>
    </row>
    <row r="534" spans="1:8" s="26" customFormat="1" x14ac:dyDescent="0.2">
      <c r="A534" s="28" t="s">
        <v>300</v>
      </c>
      <c r="B534" s="19" t="s">
        <v>301</v>
      </c>
      <c r="C534" s="16" t="s">
        <v>301</v>
      </c>
      <c r="D534" s="19" t="s">
        <v>302</v>
      </c>
      <c r="E534" s="24" t="s">
        <v>70</v>
      </c>
      <c r="F534" s="25"/>
      <c r="G534" s="25">
        <f>'изм июнь вед стр-ра'!H146</f>
        <v>26371.300000000003</v>
      </c>
      <c r="H534" s="25">
        <f>'изм июнь вед стр-ра'!I146</f>
        <v>44686.899999999994</v>
      </c>
    </row>
    <row r="535" spans="1:8" s="21" customFormat="1" ht="15.75" x14ac:dyDescent="0.25">
      <c r="A535" s="122" t="s">
        <v>55</v>
      </c>
      <c r="B535" s="121"/>
      <c r="C535" s="121"/>
      <c r="D535" s="121"/>
      <c r="E535" s="121"/>
      <c r="F535" s="176">
        <f>F527+F494+F366+F342+F231+F157+F119+F109+F14+F523</f>
        <v>3365910.38411</v>
      </c>
      <c r="G535" s="176">
        <f>G527+G494+G366+G342+G231+G157+G119+G109+G14+G531</f>
        <v>2738971.7459999993</v>
      </c>
      <c r="H535" s="176">
        <f>H527+H494+H366+H342+H231+H157+H119+H109+H14+H531</f>
        <v>2969386.5320000006</v>
      </c>
    </row>
    <row r="536" spans="1:8" s="21" customFormat="1" ht="0.75" customHeight="1" x14ac:dyDescent="0.2">
      <c r="A536" s="179"/>
      <c r="B536" s="180"/>
      <c r="C536" s="180"/>
      <c r="D536" s="180"/>
      <c r="E536" s="180"/>
      <c r="F536" s="181">
        <f>F535-[1]первоначальный!$G$603</f>
        <v>858861.98411000008</v>
      </c>
      <c r="G536" s="181">
        <f>G535-[1]первоначальный!$H$603</f>
        <v>497195.54599999916</v>
      </c>
      <c r="H536" s="181">
        <f>H535-[1]первоначальный!$I$603</f>
        <v>758064.9320000005</v>
      </c>
    </row>
    <row r="537" spans="1:8" ht="16.5" customHeight="1" x14ac:dyDescent="0.2">
      <c r="A537" s="179"/>
      <c r="B537" s="180"/>
      <c r="C537" s="180"/>
      <c r="D537" s="180"/>
      <c r="E537" s="180"/>
      <c r="F537" s="112"/>
      <c r="G537" s="112"/>
      <c r="H537" s="112"/>
    </row>
    <row r="538" spans="1:8" ht="5.25" customHeight="1" x14ac:dyDescent="0.2">
      <c r="A538" s="179"/>
      <c r="B538" s="180"/>
      <c r="C538" s="180"/>
      <c r="D538" s="180"/>
      <c r="E538" s="180"/>
      <c r="F538" s="188"/>
      <c r="G538" s="188"/>
      <c r="H538" s="188"/>
    </row>
    <row r="539" spans="1:8" ht="24" customHeight="1" x14ac:dyDescent="0.2">
      <c r="A539" s="113" t="s">
        <v>61</v>
      </c>
      <c r="B539" s="219"/>
      <c r="C539" s="219"/>
      <c r="D539" s="219"/>
      <c r="E539" s="219"/>
      <c r="F539" s="112"/>
      <c r="G539" s="114"/>
      <c r="H539" s="114" t="s">
        <v>580</v>
      </c>
    </row>
    <row r="541" spans="1:8" x14ac:dyDescent="0.2">
      <c r="F541" s="118">
        <f>F535-'изм июнь вед стр-ра'!G606</f>
        <v>0</v>
      </c>
      <c r="G541" s="112">
        <f>G535-'изм июнь вед стр-ра'!H606</f>
        <v>0</v>
      </c>
      <c r="H541" s="112">
        <f>H535-'изм июнь вед стр-ра'!I606</f>
        <v>0</v>
      </c>
    </row>
    <row r="542" spans="1:8" x14ac:dyDescent="0.2">
      <c r="F542" s="112"/>
      <c r="G542" s="112"/>
      <c r="H542" s="112"/>
    </row>
    <row r="543" spans="1:8" x14ac:dyDescent="0.2">
      <c r="F543" s="112"/>
      <c r="G543" s="112"/>
      <c r="H543" s="112"/>
    </row>
    <row r="545" spans="2:8" x14ac:dyDescent="0.2">
      <c r="F545" s="112"/>
      <c r="G545" s="112"/>
      <c r="H545" s="112"/>
    </row>
    <row r="550" spans="2:8" x14ac:dyDescent="0.2">
      <c r="B550" s="194"/>
      <c r="C550" s="194"/>
      <c r="D550" s="194"/>
      <c r="E550" s="194"/>
      <c r="F550" s="194"/>
      <c r="G550" s="194"/>
      <c r="H550" s="194"/>
    </row>
    <row r="551" spans="2:8" x14ac:dyDescent="0.2">
      <c r="B551" s="194"/>
      <c r="C551" s="194"/>
      <c r="D551" s="194"/>
      <c r="E551" s="194"/>
      <c r="F551" s="194"/>
      <c r="G551" s="194"/>
      <c r="H551" s="194"/>
    </row>
    <row r="552" spans="2:8" x14ac:dyDescent="0.2">
      <c r="B552" s="194"/>
      <c r="C552" s="194"/>
      <c r="D552" s="194"/>
      <c r="E552" s="194"/>
      <c r="F552" s="194"/>
      <c r="G552" s="194"/>
      <c r="H552" s="194"/>
    </row>
    <row r="553" spans="2:8" x14ac:dyDescent="0.2">
      <c r="B553" s="194"/>
      <c r="C553" s="194"/>
      <c r="D553" s="194"/>
      <c r="E553" s="194"/>
      <c r="F553" s="194"/>
      <c r="G553" s="194"/>
      <c r="H553" s="194"/>
    </row>
    <row r="554" spans="2:8" x14ac:dyDescent="0.2">
      <c r="B554" s="194"/>
      <c r="C554" s="194"/>
      <c r="D554" s="194"/>
      <c r="E554" s="194"/>
      <c r="F554" s="194"/>
      <c r="G554" s="194"/>
      <c r="H554" s="194"/>
    </row>
    <row r="555" spans="2:8" x14ac:dyDescent="0.2">
      <c r="B555" s="194"/>
      <c r="C555" s="194"/>
      <c r="D555" s="194"/>
      <c r="E555" s="194"/>
      <c r="F555" s="194"/>
      <c r="G555" s="194"/>
      <c r="H555" s="194"/>
    </row>
    <row r="556" spans="2:8" x14ac:dyDescent="0.2">
      <c r="B556" s="194"/>
      <c r="C556" s="194"/>
      <c r="D556" s="194"/>
      <c r="E556" s="194"/>
      <c r="F556" s="194"/>
      <c r="G556" s="194"/>
      <c r="H556" s="194"/>
    </row>
    <row r="557" spans="2:8" x14ac:dyDescent="0.2">
      <c r="B557" s="194"/>
      <c r="C557" s="194"/>
      <c r="D557" s="194"/>
      <c r="E557" s="194"/>
      <c r="F557" s="194"/>
      <c r="G557" s="194"/>
      <c r="H557" s="194"/>
    </row>
    <row r="558" spans="2:8" x14ac:dyDescent="0.2">
      <c r="B558" s="194"/>
      <c r="C558" s="194"/>
      <c r="D558" s="194"/>
      <c r="E558" s="194"/>
      <c r="F558" s="194"/>
      <c r="G558" s="194"/>
      <c r="H558" s="194"/>
    </row>
    <row r="559" spans="2:8" x14ac:dyDescent="0.2">
      <c r="B559" s="194"/>
      <c r="C559" s="194"/>
      <c r="D559" s="194"/>
      <c r="E559" s="194"/>
      <c r="F559" s="194"/>
      <c r="G559" s="194"/>
      <c r="H559" s="194"/>
    </row>
    <row r="560" spans="2:8" x14ac:dyDescent="0.2">
      <c r="B560" s="194"/>
      <c r="C560" s="194"/>
      <c r="D560" s="194"/>
      <c r="E560" s="194"/>
      <c r="F560" s="194"/>
      <c r="G560" s="194"/>
      <c r="H560" s="194"/>
    </row>
    <row r="561" spans="2:8" x14ac:dyDescent="0.2">
      <c r="B561" s="194"/>
      <c r="C561" s="194"/>
      <c r="D561" s="194"/>
      <c r="E561" s="194"/>
      <c r="F561" s="194"/>
      <c r="G561" s="194"/>
      <c r="H561" s="194"/>
    </row>
    <row r="562" spans="2:8" x14ac:dyDescent="0.2">
      <c r="B562" s="194"/>
      <c r="C562" s="194"/>
      <c r="D562" s="194"/>
      <c r="E562" s="194"/>
      <c r="F562" s="194"/>
      <c r="G562" s="194"/>
      <c r="H562" s="194"/>
    </row>
    <row r="563" spans="2:8" x14ac:dyDescent="0.2">
      <c r="B563" s="194"/>
      <c r="C563" s="194"/>
      <c r="D563" s="194"/>
      <c r="E563" s="194"/>
      <c r="F563" s="194"/>
      <c r="G563" s="194"/>
      <c r="H563" s="194"/>
    </row>
    <row r="564" spans="2:8" x14ac:dyDescent="0.2">
      <c r="B564" s="194"/>
      <c r="C564" s="194"/>
      <c r="D564" s="194"/>
      <c r="E564" s="194"/>
      <c r="F564" s="194"/>
      <c r="G564" s="194"/>
      <c r="H564" s="194"/>
    </row>
    <row r="565" spans="2:8" x14ac:dyDescent="0.2">
      <c r="B565" s="194"/>
      <c r="C565" s="194"/>
      <c r="D565" s="194"/>
      <c r="E565" s="194"/>
      <c r="F565" s="194"/>
      <c r="G565" s="194"/>
      <c r="H565" s="194"/>
    </row>
    <row r="566" spans="2:8" x14ac:dyDescent="0.2">
      <c r="B566" s="194"/>
      <c r="C566" s="194"/>
      <c r="D566" s="194"/>
      <c r="E566" s="194"/>
      <c r="F566" s="194"/>
      <c r="G566" s="194"/>
      <c r="H566" s="194"/>
    </row>
    <row r="567" spans="2:8" x14ac:dyDescent="0.2">
      <c r="B567" s="194"/>
      <c r="C567" s="194"/>
      <c r="D567" s="194"/>
      <c r="E567" s="194"/>
      <c r="F567" s="194"/>
      <c r="G567" s="194"/>
      <c r="H567" s="194"/>
    </row>
    <row r="568" spans="2:8" x14ac:dyDescent="0.2">
      <c r="B568" s="194"/>
      <c r="C568" s="194"/>
      <c r="D568" s="194"/>
      <c r="E568" s="194"/>
      <c r="F568" s="194"/>
      <c r="G568" s="194"/>
      <c r="H568" s="194"/>
    </row>
    <row r="569" spans="2:8" x14ac:dyDescent="0.2">
      <c r="B569" s="194"/>
      <c r="C569" s="194"/>
      <c r="D569" s="194"/>
      <c r="E569" s="194"/>
      <c r="F569" s="194"/>
      <c r="G569" s="194"/>
      <c r="H569" s="194"/>
    </row>
    <row r="570" spans="2:8" x14ac:dyDescent="0.2">
      <c r="B570" s="194"/>
      <c r="C570" s="194"/>
      <c r="D570" s="194"/>
      <c r="E570" s="194"/>
      <c r="F570" s="194"/>
      <c r="G570" s="194"/>
      <c r="H570" s="194"/>
    </row>
    <row r="571" spans="2:8" x14ac:dyDescent="0.2">
      <c r="B571" s="194"/>
      <c r="C571" s="194"/>
      <c r="D571" s="194"/>
      <c r="E571" s="194"/>
      <c r="F571" s="194"/>
      <c r="G571" s="194"/>
      <c r="H571" s="194"/>
    </row>
    <row r="572" spans="2:8" x14ac:dyDescent="0.2">
      <c r="B572" s="194"/>
      <c r="C572" s="194"/>
      <c r="D572" s="194"/>
      <c r="E572" s="194"/>
      <c r="F572" s="194"/>
      <c r="G572" s="194"/>
      <c r="H572" s="194"/>
    </row>
    <row r="573" spans="2:8" x14ac:dyDescent="0.2">
      <c r="B573" s="194"/>
      <c r="C573" s="194"/>
      <c r="D573" s="194"/>
      <c r="E573" s="194"/>
      <c r="F573" s="194"/>
      <c r="G573" s="194"/>
      <c r="H573" s="194"/>
    </row>
    <row r="574" spans="2:8" x14ac:dyDescent="0.2">
      <c r="B574" s="194"/>
      <c r="C574" s="194"/>
      <c r="D574" s="194"/>
      <c r="E574" s="194"/>
      <c r="F574" s="194"/>
      <c r="G574" s="194"/>
      <c r="H574" s="194"/>
    </row>
    <row r="575" spans="2:8" x14ac:dyDescent="0.2">
      <c r="B575" s="194"/>
      <c r="C575" s="194"/>
      <c r="D575" s="194"/>
      <c r="E575" s="194"/>
      <c r="F575" s="194"/>
      <c r="G575" s="194"/>
      <c r="H575" s="194"/>
    </row>
    <row r="576" spans="2:8" x14ac:dyDescent="0.2">
      <c r="B576" s="194"/>
      <c r="C576" s="194"/>
      <c r="D576" s="194"/>
      <c r="E576" s="194"/>
      <c r="F576" s="194"/>
      <c r="G576" s="194"/>
      <c r="H576" s="194"/>
    </row>
    <row r="577" spans="2:8" x14ac:dyDescent="0.2">
      <c r="B577" s="194"/>
      <c r="C577" s="194"/>
      <c r="D577" s="194"/>
      <c r="E577" s="194"/>
      <c r="F577" s="194"/>
      <c r="G577" s="194"/>
      <c r="H577" s="194"/>
    </row>
    <row r="578" spans="2:8" x14ac:dyDescent="0.2">
      <c r="B578" s="194"/>
      <c r="C578" s="194"/>
      <c r="D578" s="194"/>
      <c r="E578" s="194"/>
      <c r="F578" s="194"/>
      <c r="G578" s="194"/>
      <c r="H578" s="194"/>
    </row>
    <row r="579" spans="2:8" x14ac:dyDescent="0.2">
      <c r="B579" s="194"/>
      <c r="C579" s="194"/>
      <c r="D579" s="194"/>
      <c r="E579" s="194"/>
      <c r="F579" s="194"/>
      <c r="G579" s="194"/>
      <c r="H579" s="194"/>
    </row>
    <row r="580" spans="2:8" x14ac:dyDescent="0.2">
      <c r="B580" s="194"/>
      <c r="C580" s="194"/>
      <c r="D580" s="194"/>
      <c r="E580" s="194"/>
      <c r="F580" s="194"/>
      <c r="G580" s="194"/>
      <c r="H580" s="194"/>
    </row>
    <row r="581" spans="2:8" x14ac:dyDescent="0.2">
      <c r="B581" s="194"/>
      <c r="C581" s="194"/>
      <c r="D581" s="194"/>
      <c r="E581" s="194"/>
      <c r="F581" s="194"/>
      <c r="G581" s="194"/>
      <c r="H581" s="194"/>
    </row>
    <row r="582" spans="2:8" x14ac:dyDescent="0.2">
      <c r="B582" s="194"/>
      <c r="C582" s="194"/>
      <c r="D582" s="194"/>
      <c r="E582" s="194"/>
      <c r="F582" s="194"/>
      <c r="G582" s="194"/>
      <c r="H582" s="194"/>
    </row>
    <row r="583" spans="2:8" x14ac:dyDescent="0.2">
      <c r="B583" s="194"/>
      <c r="C583" s="194"/>
      <c r="D583" s="194"/>
      <c r="E583" s="194"/>
      <c r="F583" s="194"/>
      <c r="G583" s="194"/>
      <c r="H583" s="194"/>
    </row>
    <row r="584" spans="2:8" x14ac:dyDescent="0.2">
      <c r="B584" s="194"/>
      <c r="C584" s="194"/>
      <c r="D584" s="194"/>
      <c r="E584" s="194"/>
      <c r="F584" s="194"/>
      <c r="G584" s="194"/>
      <c r="H584" s="194"/>
    </row>
    <row r="585" spans="2:8" x14ac:dyDescent="0.2">
      <c r="B585" s="194"/>
      <c r="C585" s="194"/>
      <c r="D585" s="194"/>
      <c r="E585" s="194"/>
      <c r="F585" s="194"/>
      <c r="G585" s="194"/>
      <c r="H585" s="194"/>
    </row>
    <row r="586" spans="2:8" x14ac:dyDescent="0.2">
      <c r="B586" s="194"/>
      <c r="C586" s="194"/>
      <c r="D586" s="194"/>
      <c r="E586" s="194"/>
      <c r="F586" s="194"/>
      <c r="G586" s="194"/>
      <c r="H586" s="194"/>
    </row>
    <row r="587" spans="2:8" x14ac:dyDescent="0.2">
      <c r="B587" s="194"/>
      <c r="C587" s="194"/>
      <c r="D587" s="194"/>
      <c r="E587" s="194"/>
      <c r="F587" s="194"/>
      <c r="G587" s="194"/>
      <c r="H587" s="194"/>
    </row>
    <row r="588" spans="2:8" x14ac:dyDescent="0.2">
      <c r="B588" s="194"/>
      <c r="C588" s="194"/>
      <c r="D588" s="194"/>
      <c r="E588" s="194"/>
      <c r="F588" s="194"/>
      <c r="G588" s="194"/>
      <c r="H588" s="194"/>
    </row>
    <row r="589" spans="2:8" x14ac:dyDescent="0.2">
      <c r="B589" s="194"/>
      <c r="C589" s="194"/>
      <c r="D589" s="194"/>
      <c r="E589" s="194"/>
      <c r="F589" s="194"/>
      <c r="G589" s="194"/>
      <c r="H589" s="194"/>
    </row>
    <row r="590" spans="2:8" x14ac:dyDescent="0.2">
      <c r="B590" s="194"/>
      <c r="C590" s="194"/>
      <c r="D590" s="194"/>
      <c r="E590" s="194"/>
      <c r="F590" s="194"/>
      <c r="G590" s="194"/>
      <c r="H590" s="194"/>
    </row>
    <row r="591" spans="2:8" x14ac:dyDescent="0.2">
      <c r="B591" s="194"/>
      <c r="C591" s="194"/>
      <c r="D591" s="194"/>
      <c r="E591" s="194"/>
      <c r="F591" s="194"/>
      <c r="G591" s="194"/>
      <c r="H591" s="194"/>
    </row>
    <row r="592" spans="2:8" x14ac:dyDescent="0.2">
      <c r="B592" s="194"/>
      <c r="C592" s="194"/>
      <c r="D592" s="194"/>
      <c r="E592" s="194"/>
      <c r="F592" s="194"/>
      <c r="G592" s="194"/>
      <c r="H592" s="194"/>
    </row>
    <row r="593" spans="2:8" x14ac:dyDescent="0.2">
      <c r="B593" s="194"/>
      <c r="C593" s="194"/>
      <c r="D593" s="194"/>
      <c r="E593" s="194"/>
      <c r="F593" s="194"/>
      <c r="G593" s="194"/>
      <c r="H593" s="194"/>
    </row>
    <row r="594" spans="2:8" x14ac:dyDescent="0.2">
      <c r="B594" s="194"/>
      <c r="C594" s="194"/>
      <c r="D594" s="194"/>
      <c r="E594" s="194"/>
      <c r="F594" s="194"/>
      <c r="G594" s="194"/>
      <c r="H594" s="194"/>
    </row>
    <row r="595" spans="2:8" x14ac:dyDescent="0.2">
      <c r="B595" s="194"/>
      <c r="C595" s="194"/>
      <c r="D595" s="194"/>
      <c r="E595" s="194"/>
      <c r="F595" s="194"/>
      <c r="G595" s="194"/>
      <c r="H595" s="194"/>
    </row>
    <row r="596" spans="2:8" x14ac:dyDescent="0.2">
      <c r="B596" s="194"/>
      <c r="C596" s="194"/>
      <c r="D596" s="194"/>
      <c r="E596" s="194"/>
      <c r="F596" s="194"/>
      <c r="G596" s="194"/>
      <c r="H596" s="194"/>
    </row>
    <row r="597" spans="2:8" x14ac:dyDescent="0.2">
      <c r="B597" s="194"/>
      <c r="C597" s="194"/>
      <c r="D597" s="194"/>
      <c r="E597" s="194"/>
      <c r="F597" s="194"/>
      <c r="G597" s="194"/>
      <c r="H597" s="194"/>
    </row>
    <row r="598" spans="2:8" x14ac:dyDescent="0.2">
      <c r="B598" s="194"/>
      <c r="C598" s="194"/>
      <c r="D598" s="194"/>
      <c r="E598" s="194"/>
      <c r="F598" s="194"/>
      <c r="G598" s="194"/>
      <c r="H598" s="194"/>
    </row>
    <row r="599" spans="2:8" x14ac:dyDescent="0.2">
      <c r="B599" s="194"/>
      <c r="C599" s="194"/>
      <c r="D599" s="194"/>
      <c r="E599" s="194"/>
      <c r="F599" s="194"/>
      <c r="G599" s="194"/>
      <c r="H599" s="194"/>
    </row>
    <row r="600" spans="2:8" x14ac:dyDescent="0.2">
      <c r="B600" s="194"/>
      <c r="C600" s="194"/>
      <c r="D600" s="194"/>
      <c r="E600" s="194"/>
      <c r="F600" s="194"/>
      <c r="G600" s="194"/>
      <c r="H600" s="194"/>
    </row>
    <row r="601" spans="2:8" x14ac:dyDescent="0.2">
      <c r="B601" s="194"/>
      <c r="C601" s="194"/>
      <c r="D601" s="194"/>
      <c r="E601" s="194"/>
      <c r="F601" s="194"/>
      <c r="G601" s="194"/>
      <c r="H601" s="194"/>
    </row>
    <row r="602" spans="2:8" x14ac:dyDescent="0.2">
      <c r="B602" s="194"/>
      <c r="C602" s="194"/>
      <c r="D602" s="194"/>
      <c r="E602" s="194"/>
      <c r="F602" s="194"/>
      <c r="G602" s="194"/>
      <c r="H602" s="194"/>
    </row>
    <row r="603" spans="2:8" x14ac:dyDescent="0.2">
      <c r="B603" s="194"/>
      <c r="C603" s="194"/>
      <c r="D603" s="194"/>
      <c r="E603" s="194"/>
      <c r="F603" s="194"/>
      <c r="G603" s="194"/>
      <c r="H603" s="194"/>
    </row>
    <row r="604" spans="2:8" x14ac:dyDescent="0.2">
      <c r="B604" s="194"/>
      <c r="C604" s="194"/>
      <c r="D604" s="194"/>
      <c r="E604" s="194"/>
      <c r="F604" s="194"/>
      <c r="G604" s="194"/>
      <c r="H604" s="194"/>
    </row>
    <row r="605" spans="2:8" x14ac:dyDescent="0.2">
      <c r="B605" s="194"/>
      <c r="C605" s="194"/>
      <c r="D605" s="194"/>
      <c r="E605" s="194"/>
      <c r="F605" s="194"/>
      <c r="G605" s="194"/>
      <c r="H605" s="194"/>
    </row>
    <row r="606" spans="2:8" x14ac:dyDescent="0.2">
      <c r="B606" s="194"/>
      <c r="C606" s="194"/>
      <c r="D606" s="194"/>
      <c r="E606" s="194"/>
      <c r="F606" s="194"/>
      <c r="G606" s="194"/>
      <c r="H606" s="194"/>
    </row>
    <row r="607" spans="2:8" x14ac:dyDescent="0.2">
      <c r="B607" s="194"/>
      <c r="C607" s="194"/>
      <c r="D607" s="194"/>
      <c r="E607" s="194"/>
      <c r="F607" s="194"/>
      <c r="G607" s="194"/>
      <c r="H607" s="194"/>
    </row>
    <row r="608" spans="2:8" x14ac:dyDescent="0.2">
      <c r="B608" s="194"/>
      <c r="C608" s="194"/>
      <c r="D608" s="194"/>
      <c r="E608" s="194"/>
      <c r="F608" s="194"/>
      <c r="G608" s="194"/>
      <c r="H608" s="194"/>
    </row>
    <row r="609" spans="2:8" x14ac:dyDescent="0.2">
      <c r="B609" s="194"/>
      <c r="C609" s="194"/>
      <c r="D609" s="194"/>
      <c r="E609" s="194"/>
      <c r="F609" s="194"/>
      <c r="G609" s="194"/>
      <c r="H609" s="194"/>
    </row>
    <row r="610" spans="2:8" x14ac:dyDescent="0.2">
      <c r="B610" s="194"/>
      <c r="C610" s="194"/>
      <c r="D610" s="194"/>
      <c r="E610" s="194"/>
      <c r="F610" s="194"/>
      <c r="G610" s="194"/>
      <c r="H610" s="194"/>
    </row>
    <row r="611" spans="2:8" x14ac:dyDescent="0.2">
      <c r="B611" s="194"/>
      <c r="C611" s="194"/>
      <c r="D611" s="194"/>
      <c r="E611" s="194"/>
      <c r="F611" s="194"/>
      <c r="G611" s="194"/>
      <c r="H611" s="194"/>
    </row>
    <row r="612" spans="2:8" x14ac:dyDescent="0.2">
      <c r="B612" s="194"/>
      <c r="C612" s="194"/>
      <c r="D612" s="194"/>
      <c r="E612" s="194"/>
      <c r="F612" s="194"/>
      <c r="G612" s="194"/>
      <c r="H612" s="194"/>
    </row>
    <row r="613" spans="2:8" x14ac:dyDescent="0.2">
      <c r="B613" s="194"/>
      <c r="C613" s="194"/>
      <c r="D613" s="194"/>
      <c r="E613" s="194"/>
      <c r="F613" s="194"/>
      <c r="G613" s="194"/>
      <c r="H613" s="194"/>
    </row>
    <row r="614" spans="2:8" x14ac:dyDescent="0.2">
      <c r="B614" s="194"/>
      <c r="C614" s="194"/>
      <c r="D614" s="194"/>
      <c r="E614" s="194"/>
      <c r="F614" s="194"/>
      <c r="G614" s="194"/>
      <c r="H614" s="194"/>
    </row>
    <row r="615" spans="2:8" x14ac:dyDescent="0.2">
      <c r="B615" s="194"/>
      <c r="C615" s="194"/>
      <c r="D615" s="194"/>
      <c r="E615" s="194"/>
      <c r="F615" s="194"/>
      <c r="G615" s="194"/>
      <c r="H615" s="194"/>
    </row>
    <row r="616" spans="2:8" x14ac:dyDescent="0.2">
      <c r="B616" s="194"/>
      <c r="C616" s="194"/>
      <c r="D616" s="194"/>
      <c r="E616" s="194"/>
      <c r="F616" s="194"/>
      <c r="G616" s="194"/>
      <c r="H616" s="194"/>
    </row>
    <row r="617" spans="2:8" x14ac:dyDescent="0.2">
      <c r="B617" s="194"/>
      <c r="C617" s="194"/>
      <c r="D617" s="194"/>
      <c r="E617" s="194"/>
      <c r="F617" s="194"/>
      <c r="G617" s="194"/>
      <c r="H617" s="194"/>
    </row>
    <row r="618" spans="2:8" x14ac:dyDescent="0.2">
      <c r="B618" s="194"/>
      <c r="C618" s="194"/>
      <c r="D618" s="194"/>
      <c r="E618" s="194"/>
      <c r="F618" s="194"/>
      <c r="G618" s="194"/>
      <c r="H618" s="194"/>
    </row>
    <row r="619" spans="2:8" x14ac:dyDescent="0.2">
      <c r="B619" s="194"/>
      <c r="C619" s="194"/>
      <c r="D619" s="194"/>
      <c r="E619" s="194"/>
      <c r="F619" s="194"/>
      <c r="G619" s="194"/>
      <c r="H619" s="194"/>
    </row>
    <row r="620" spans="2:8" x14ac:dyDescent="0.2">
      <c r="B620" s="194"/>
      <c r="C620" s="194"/>
      <c r="D620" s="194"/>
      <c r="E620" s="194"/>
      <c r="F620" s="194"/>
      <c r="G620" s="194"/>
      <c r="H620" s="194"/>
    </row>
    <row r="621" spans="2:8" x14ac:dyDescent="0.2">
      <c r="B621" s="194"/>
      <c r="C621" s="194"/>
      <c r="D621" s="194"/>
      <c r="E621" s="194"/>
      <c r="F621" s="194"/>
      <c r="G621" s="194"/>
      <c r="H621" s="194"/>
    </row>
    <row r="622" spans="2:8" x14ac:dyDescent="0.2">
      <c r="B622" s="194"/>
      <c r="C622" s="194"/>
      <c r="D622" s="194"/>
      <c r="E622" s="194"/>
      <c r="F622" s="194"/>
      <c r="G622" s="194"/>
      <c r="H622" s="194"/>
    </row>
    <row r="623" spans="2:8" x14ac:dyDescent="0.2">
      <c r="B623" s="194"/>
      <c r="C623" s="194"/>
      <c r="D623" s="194"/>
      <c r="E623" s="194"/>
      <c r="F623" s="194"/>
      <c r="G623" s="194"/>
      <c r="H623" s="194"/>
    </row>
    <row r="624" spans="2:8" x14ac:dyDescent="0.2">
      <c r="B624" s="194"/>
      <c r="C624" s="194"/>
      <c r="D624" s="194"/>
      <c r="E624" s="194"/>
      <c r="F624" s="194"/>
      <c r="G624" s="194"/>
      <c r="H624" s="194"/>
    </row>
    <row r="625" spans="2:8" x14ac:dyDescent="0.2">
      <c r="B625" s="194"/>
      <c r="C625" s="194"/>
      <c r="D625" s="194"/>
      <c r="E625" s="194"/>
      <c r="F625" s="194"/>
      <c r="G625" s="194"/>
      <c r="H625" s="194"/>
    </row>
    <row r="626" spans="2:8" x14ac:dyDescent="0.2">
      <c r="B626" s="194"/>
      <c r="C626" s="194"/>
      <c r="D626" s="194"/>
      <c r="E626" s="194"/>
      <c r="F626" s="194"/>
      <c r="G626" s="194"/>
      <c r="H626" s="194"/>
    </row>
    <row r="627" spans="2:8" x14ac:dyDescent="0.2">
      <c r="B627" s="194"/>
      <c r="C627" s="194"/>
      <c r="D627" s="194"/>
      <c r="E627" s="194"/>
      <c r="F627" s="194"/>
      <c r="G627" s="194"/>
      <c r="H627" s="194"/>
    </row>
    <row r="628" spans="2:8" x14ac:dyDescent="0.2">
      <c r="B628" s="194"/>
      <c r="C628" s="194"/>
      <c r="D628" s="194"/>
      <c r="E628" s="194"/>
      <c r="F628" s="194"/>
      <c r="G628" s="194"/>
      <c r="H628" s="194"/>
    </row>
    <row r="629" spans="2:8" x14ac:dyDescent="0.2">
      <c r="B629" s="194"/>
      <c r="C629" s="194"/>
      <c r="D629" s="194"/>
      <c r="E629" s="194"/>
      <c r="F629" s="194"/>
      <c r="G629" s="194"/>
      <c r="H629" s="194"/>
    </row>
    <row r="630" spans="2:8" x14ac:dyDescent="0.2">
      <c r="B630" s="194"/>
      <c r="C630" s="194"/>
      <c r="D630" s="194"/>
      <c r="E630" s="194"/>
      <c r="F630" s="194"/>
      <c r="G630" s="194"/>
      <c r="H630" s="194"/>
    </row>
    <row r="631" spans="2:8" x14ac:dyDescent="0.2">
      <c r="B631" s="194"/>
      <c r="C631" s="194"/>
      <c r="D631" s="194"/>
      <c r="E631" s="194"/>
      <c r="F631" s="194"/>
      <c r="G631" s="194"/>
      <c r="H631" s="194"/>
    </row>
    <row r="632" spans="2:8" x14ac:dyDescent="0.2">
      <c r="B632" s="194"/>
      <c r="C632" s="194"/>
      <c r="D632" s="194"/>
      <c r="E632" s="194"/>
      <c r="F632" s="194"/>
      <c r="G632" s="194"/>
      <c r="H632" s="194"/>
    </row>
    <row r="633" spans="2:8" x14ac:dyDescent="0.2">
      <c r="B633" s="194"/>
      <c r="C633" s="194"/>
      <c r="D633" s="194"/>
      <c r="E633" s="194"/>
      <c r="F633" s="194"/>
      <c r="G633" s="194"/>
      <c r="H633" s="194"/>
    </row>
    <row r="634" spans="2:8" x14ac:dyDescent="0.2">
      <c r="B634" s="194"/>
      <c r="C634" s="194"/>
      <c r="D634" s="194"/>
      <c r="E634" s="194"/>
      <c r="F634" s="194"/>
      <c r="G634" s="194"/>
      <c r="H634" s="194"/>
    </row>
    <row r="635" spans="2:8" x14ac:dyDescent="0.2">
      <c r="B635" s="194"/>
      <c r="C635" s="194"/>
      <c r="D635" s="194"/>
      <c r="E635" s="194"/>
      <c r="F635" s="194"/>
      <c r="G635" s="194"/>
      <c r="H635" s="194"/>
    </row>
    <row r="636" spans="2:8" x14ac:dyDescent="0.2">
      <c r="B636" s="194"/>
      <c r="C636" s="194"/>
      <c r="D636" s="194"/>
      <c r="E636" s="194"/>
      <c r="F636" s="194"/>
      <c r="G636" s="194"/>
      <c r="H636" s="194"/>
    </row>
    <row r="637" spans="2:8" x14ac:dyDescent="0.2">
      <c r="B637" s="194"/>
      <c r="C637" s="194"/>
      <c r="D637" s="194"/>
      <c r="E637" s="194"/>
      <c r="F637" s="194"/>
      <c r="G637" s="194"/>
      <c r="H637" s="194"/>
    </row>
    <row r="638" spans="2:8" x14ac:dyDescent="0.2">
      <c r="B638" s="194"/>
      <c r="C638" s="194"/>
      <c r="D638" s="194"/>
      <c r="E638" s="194"/>
      <c r="F638" s="194"/>
      <c r="G638" s="194"/>
      <c r="H638" s="194"/>
    </row>
    <row r="639" spans="2:8" x14ac:dyDescent="0.2">
      <c r="B639" s="194"/>
      <c r="C639" s="194"/>
      <c r="D639" s="194"/>
      <c r="E639" s="194"/>
      <c r="F639" s="194"/>
      <c r="G639" s="194"/>
      <c r="H639" s="194"/>
    </row>
    <row r="640" spans="2:8" x14ac:dyDescent="0.2">
      <c r="B640" s="194"/>
      <c r="C640" s="194"/>
      <c r="D640" s="194"/>
      <c r="E640" s="194"/>
      <c r="F640" s="194"/>
      <c r="G640" s="194"/>
      <c r="H640" s="194"/>
    </row>
    <row r="641" spans="2:8" x14ac:dyDescent="0.2">
      <c r="B641" s="194"/>
      <c r="C641" s="194"/>
      <c r="D641" s="194"/>
      <c r="E641" s="194"/>
      <c r="F641" s="194"/>
      <c r="G641" s="194"/>
      <c r="H641" s="194"/>
    </row>
    <row r="642" spans="2:8" x14ac:dyDescent="0.2">
      <c r="B642" s="194"/>
      <c r="C642" s="194"/>
      <c r="D642" s="194"/>
      <c r="E642" s="194"/>
      <c r="F642" s="194"/>
      <c r="G642" s="194"/>
      <c r="H642" s="194"/>
    </row>
    <row r="643" spans="2:8" x14ac:dyDescent="0.2">
      <c r="B643" s="194"/>
      <c r="C643" s="194"/>
      <c r="D643" s="194"/>
      <c r="E643" s="194"/>
      <c r="F643" s="194"/>
      <c r="G643" s="194"/>
      <c r="H643" s="194"/>
    </row>
    <row r="644" spans="2:8" x14ac:dyDescent="0.2">
      <c r="B644" s="194"/>
      <c r="C644" s="194"/>
      <c r="D644" s="194"/>
      <c r="E644" s="194"/>
      <c r="F644" s="194"/>
      <c r="G644" s="194"/>
      <c r="H644" s="194"/>
    </row>
    <row r="645" spans="2:8" x14ac:dyDescent="0.2">
      <c r="B645" s="194"/>
      <c r="C645" s="194"/>
      <c r="D645" s="194"/>
      <c r="E645" s="194"/>
      <c r="F645" s="194"/>
      <c r="G645" s="194"/>
      <c r="H645" s="194"/>
    </row>
    <row r="646" spans="2:8" x14ac:dyDescent="0.2">
      <c r="B646" s="194"/>
      <c r="C646" s="194"/>
      <c r="D646" s="194"/>
      <c r="E646" s="194"/>
      <c r="F646" s="194"/>
      <c r="G646" s="194"/>
      <c r="H646" s="194"/>
    </row>
    <row r="647" spans="2:8" x14ac:dyDescent="0.2">
      <c r="B647" s="194"/>
      <c r="C647" s="194"/>
      <c r="D647" s="194"/>
      <c r="E647" s="194"/>
      <c r="F647" s="194"/>
      <c r="G647" s="194"/>
      <c r="H647" s="194"/>
    </row>
    <row r="648" spans="2:8" x14ac:dyDescent="0.2">
      <c r="B648" s="194"/>
      <c r="C648" s="194"/>
      <c r="D648" s="194"/>
      <c r="E648" s="194"/>
      <c r="F648" s="194"/>
      <c r="G648" s="194"/>
      <c r="H648" s="194"/>
    </row>
    <row r="649" spans="2:8" x14ac:dyDescent="0.2">
      <c r="B649" s="194"/>
      <c r="C649" s="194"/>
      <c r="D649" s="194"/>
      <c r="E649" s="194"/>
      <c r="F649" s="194"/>
      <c r="G649" s="194"/>
      <c r="H649" s="194"/>
    </row>
    <row r="650" spans="2:8" x14ac:dyDescent="0.2">
      <c r="B650" s="194"/>
      <c r="C650" s="194"/>
      <c r="D650" s="194"/>
      <c r="E650" s="194"/>
      <c r="F650" s="194"/>
      <c r="G650" s="194"/>
      <c r="H650" s="194"/>
    </row>
    <row r="651" spans="2:8" x14ac:dyDescent="0.2">
      <c r="B651" s="194"/>
      <c r="C651" s="194"/>
      <c r="D651" s="194"/>
      <c r="E651" s="194"/>
      <c r="F651" s="194"/>
      <c r="G651" s="194"/>
      <c r="H651" s="194"/>
    </row>
    <row r="652" spans="2:8" x14ac:dyDescent="0.2">
      <c r="B652" s="194"/>
      <c r="C652" s="194"/>
      <c r="D652" s="194"/>
      <c r="E652" s="194"/>
      <c r="F652" s="194"/>
      <c r="G652" s="194"/>
      <c r="H652" s="194"/>
    </row>
    <row r="653" spans="2:8" x14ac:dyDescent="0.2">
      <c r="B653" s="194"/>
      <c r="C653" s="194"/>
      <c r="D653" s="194"/>
      <c r="E653" s="194"/>
      <c r="F653" s="194"/>
      <c r="G653" s="194"/>
      <c r="H653" s="194"/>
    </row>
    <row r="654" spans="2:8" x14ac:dyDescent="0.2">
      <c r="B654" s="194"/>
      <c r="C654" s="194"/>
      <c r="D654" s="194"/>
      <c r="E654" s="194"/>
      <c r="F654" s="194"/>
      <c r="G654" s="194"/>
      <c r="H654" s="194"/>
    </row>
  </sheetData>
  <mergeCells count="9">
    <mergeCell ref="A1:H1"/>
    <mergeCell ref="A2:H2"/>
    <mergeCell ref="A3:H3"/>
    <mergeCell ref="A11:F11"/>
    <mergeCell ref="A5:H5"/>
    <mergeCell ref="A6:H6"/>
    <mergeCell ref="A7:H7"/>
    <mergeCell ref="A9:H9"/>
    <mergeCell ref="A10:F10"/>
  </mergeCells>
  <pageMargins left="0.78740157480314965" right="0.39370078740157483" top="0.59055118110236227" bottom="0.78740157480314965" header="0.31496062992125984" footer="0.31496062992125984"/>
  <pageSetup paperSize="9" scale="60" fitToHeight="2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изм июнь вед стр-ра</vt:lpstr>
      <vt:lpstr>изм июнь программы</vt:lpstr>
      <vt:lpstr>изм июнь по разд</vt:lpstr>
      <vt:lpstr>'изм июнь вед стр-ра'!Заголовки_для_печати</vt:lpstr>
      <vt:lpstr>'изм июнь по разд'!Заголовки_для_печати</vt:lpstr>
      <vt:lpstr>'изм июнь программы'!Заголовки_для_печати</vt:lpstr>
      <vt:lpstr>'изм июнь вед стр-ра'!Область_печати</vt:lpstr>
      <vt:lpstr>'изм июнь по разд'!Область_печати</vt:lpstr>
      <vt:lpstr>'изм июнь программы'!Область_печати</vt:lpstr>
    </vt:vector>
  </TitlesOfParts>
  <Company>ПредБредБракЗнакСбытЗагранПодставка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Julia Veber</cp:lastModifiedBy>
  <cp:lastPrinted>2019-12-18T09:29:11Z</cp:lastPrinted>
  <dcterms:created xsi:type="dcterms:W3CDTF">2007-12-19T00:56:18Z</dcterms:created>
  <dcterms:modified xsi:type="dcterms:W3CDTF">2020-08-10T04:08:31Z</dcterms:modified>
</cp:coreProperties>
</file>