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Общие\РЕШЕНИЯ ГОРСОВЕТА НАРОДНЫХ ДЕПУТАТОВ\Изменения 2021г\Изменения апрель 2021\окончательное\"/>
    </mc:Choice>
  </mc:AlternateContent>
  <bookViews>
    <workbookView xWindow="0" yWindow="1860" windowWidth="28800" windowHeight="10725" firstSheet="1" activeTab="1"/>
  </bookViews>
  <sheets>
    <sheet name="август" sheetId="18" state="hidden" r:id="rId1"/>
    <sheet name="апрель" sheetId="32" r:id="rId2"/>
  </sheets>
  <definedNames>
    <definedName name="_xlnm.Print_Area" localSheetId="0">август!$A$1:$F$226</definedName>
    <definedName name="_xlnm.Print_Area" localSheetId="1">апрель!$A$1:$F$193</definedName>
  </definedNames>
  <calcPr calcId="152511"/>
</workbook>
</file>

<file path=xl/calcChain.xml><?xml version="1.0" encoding="utf-8"?>
<calcChain xmlns="http://schemas.openxmlformats.org/spreadsheetml/2006/main">
  <c r="F190" i="32" l="1"/>
  <c r="F189" i="32"/>
  <c r="F183" i="32" l="1"/>
  <c r="E95" i="32"/>
  <c r="F184" i="32"/>
  <c r="B190" i="32" l="1"/>
  <c r="E15" i="32" l="1"/>
  <c r="E16" i="32"/>
  <c r="B181" i="32" l="1"/>
  <c r="B180" i="32" l="1"/>
  <c r="F141" i="32" l="1"/>
  <c r="F166" i="32"/>
  <c r="F165" i="32"/>
  <c r="F157" i="32"/>
  <c r="E156" i="32"/>
  <c r="F156" i="32" s="1"/>
  <c r="E110" i="32"/>
  <c r="F122" i="32"/>
  <c r="F123" i="32"/>
  <c r="F180" i="32"/>
  <c r="G190" i="32" s="1"/>
  <c r="E154" i="32"/>
  <c r="E146" i="32"/>
  <c r="E125" i="32"/>
  <c r="F98" i="32"/>
  <c r="E97" i="32"/>
  <c r="E96" i="32"/>
  <c r="F95" i="32"/>
  <c r="F158" i="32"/>
  <c r="E138" i="32" l="1"/>
  <c r="E132" i="32"/>
  <c r="F131" i="32"/>
  <c r="E128" i="32"/>
  <c r="E137" i="32"/>
  <c r="E133" i="32"/>
  <c r="F129" i="32" l="1"/>
  <c r="F130" i="32"/>
  <c r="E150" i="32" l="1"/>
  <c r="F132" i="32" l="1"/>
  <c r="F128" i="32"/>
  <c r="F138" i="32"/>
  <c r="E149" i="32" l="1"/>
  <c r="F153" i="32"/>
  <c r="F96" i="32" l="1"/>
  <c r="F163" i="32" l="1"/>
  <c r="E145" i="32"/>
  <c r="E144" i="32"/>
  <c r="E115" i="32" l="1"/>
  <c r="E121" i="32"/>
  <c r="F144" i="32" l="1"/>
  <c r="F56" i="32" l="1"/>
  <c r="E69" i="32" l="1"/>
  <c r="F175" i="32" s="1"/>
  <c r="F191" i="32" s="1"/>
  <c r="F54" i="32"/>
  <c r="F60" i="32"/>
  <c r="F59" i="32"/>
  <c r="F57" i="32"/>
  <c r="F55" i="32"/>
  <c r="E99" i="32"/>
  <c r="F106" i="32"/>
  <c r="E17" i="32" l="1"/>
  <c r="E18" i="32"/>
  <c r="B178" i="32"/>
  <c r="B176" i="32"/>
  <c r="E103" i="32" l="1"/>
  <c r="F49" i="32"/>
  <c r="F67" i="32" l="1"/>
  <c r="F68" i="32"/>
  <c r="F66" i="32"/>
  <c r="F63" i="32"/>
  <c r="F64" i="32"/>
  <c r="F62" i="32"/>
  <c r="F50" i="32"/>
  <c r="F48" i="32" l="1"/>
  <c r="F120" i="32"/>
  <c r="E118" i="32"/>
  <c r="E114" i="32"/>
  <c r="E116" i="32"/>
  <c r="F113" i="32"/>
  <c r="F112" i="32"/>
  <c r="F121" i="32"/>
  <c r="E127" i="32"/>
  <c r="E126" i="32"/>
  <c r="F126" i="32" s="1"/>
  <c r="F125" i="32"/>
  <c r="E124" i="32" l="1"/>
  <c r="F143" i="32" l="1"/>
  <c r="F142" i="32"/>
  <c r="F52" i="32" l="1"/>
  <c r="F51" i="32"/>
  <c r="F104" i="32"/>
  <c r="F105" i="32"/>
  <c r="F133" i="32" l="1"/>
  <c r="F93" i="32" l="1"/>
  <c r="F94" i="32"/>
  <c r="F99" i="32" l="1"/>
  <c r="E119" i="32" l="1"/>
  <c r="F117" i="32"/>
  <c r="F97" i="32"/>
  <c r="F147" i="32" l="1"/>
  <c r="E107" i="32" l="1"/>
  <c r="E167" i="32" s="1"/>
  <c r="F107" i="32" l="1"/>
  <c r="F53" i="32"/>
  <c r="F108" i="32"/>
  <c r="F109" i="32"/>
  <c r="F116" i="32" l="1"/>
  <c r="F115" i="32"/>
  <c r="F114" i="32"/>
  <c r="F111" i="32"/>
  <c r="F110" i="32"/>
  <c r="F134" i="32" l="1"/>
  <c r="F135" i="32"/>
  <c r="F137" i="32"/>
  <c r="F58" i="32" l="1"/>
  <c r="D136" i="32" s="1"/>
  <c r="F136" i="32" s="1"/>
  <c r="E20" i="32"/>
  <c r="E19" i="32"/>
  <c r="E21" i="32" s="1"/>
  <c r="G21" i="32" s="1"/>
  <c r="G26" i="32" s="1"/>
  <c r="F100" i="32"/>
  <c r="F101" i="32"/>
  <c r="F102" i="32"/>
  <c r="F103" i="32"/>
  <c r="F118" i="32"/>
  <c r="F119" i="32"/>
  <c r="F124" i="32"/>
  <c r="F127" i="32"/>
  <c r="F139" i="32"/>
  <c r="F140" i="32"/>
  <c r="F145" i="32"/>
  <c r="F146" i="32"/>
  <c r="F148" i="32"/>
  <c r="F149" i="32"/>
  <c r="F150" i="32"/>
  <c r="F151" i="32"/>
  <c r="F152" i="32"/>
  <c r="F154" i="32"/>
  <c r="F159" i="32"/>
  <c r="F160" i="32"/>
  <c r="F161" i="32"/>
  <c r="F162" i="32"/>
  <c r="B179" i="32" l="1"/>
  <c r="B191" i="32" s="1"/>
  <c r="G177" i="32"/>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<sst xmlns="http://schemas.openxmlformats.org/spreadsheetml/2006/main" count="489" uniqueCount="407">
  <si>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</si>
  <si>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</si>
  <si>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</si>
  <si>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</si>
  <si>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</si>
  <si>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</si>
  <si>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</si>
  <si>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</si>
  <si>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</si>
  <si>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</si>
  <si>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</si>
  <si>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</si>
  <si>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</si>
  <si>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</si>
  <si>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</si>
  <si>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</si>
  <si>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</si>
  <si>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</si>
  <si>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</si>
  <si>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</si>
  <si>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</si>
  <si>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</si>
  <si>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</si>
  <si>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</si>
  <si>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</si>
  <si>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</si>
  <si>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</si>
  <si>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</si>
  <si>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</si>
  <si>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</si>
  <si>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</si>
  <si>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</si>
  <si>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</si>
  <si>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</si>
  <si>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</si>
  <si>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</si>
  <si>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</si>
  <si>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</si>
  <si>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</si>
  <si>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</si>
  <si>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</si>
  <si>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</si>
  <si>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</si>
  <si>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</si>
  <si>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</si>
  <si>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</si>
  <si>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</si>
  <si>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</si>
  <si>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</si>
  <si>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</si>
  <si>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</si>
  <si>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</si>
  <si>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</si>
  <si>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</si>
  <si>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</si>
  <si>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</si>
  <si>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</si>
  <si>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</si>
  <si>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</si>
  <si>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</si>
  <si>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</si>
  <si>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</si>
  <si>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</si>
  <si>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</si>
  <si>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</si>
  <si>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</si>
  <si>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</si>
  <si>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</si>
  <si>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</si>
  <si>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</si>
  <si>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</si>
  <si>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</si>
  <si>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</si>
  <si>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</si>
  <si>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</si>
  <si>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</si>
  <si>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</si>
  <si>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</si>
  <si>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</si>
  <si>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</si>
  <si>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</si>
  <si>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</si>
  <si>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</si>
  <si>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</si>
  <si>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</si>
  <si>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</si>
  <si>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</si>
  <si>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</si>
  <si>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</si>
  <si>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</si>
  <si>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</si>
  <si>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</si>
  <si>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</si>
  <si>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</si>
  <si>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</si>
  <si>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</si>
  <si>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</si>
  <si>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</si>
  <si>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</si>
  <si>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</si>
  <si>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</si>
  <si>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</si>
  <si>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</si>
  <si>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</si>
  <si>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</si>
  <si>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</si>
  <si>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</si>
  <si>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</si>
  <si>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</si>
  <si>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</si>
  <si>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</si>
  <si>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</si>
  <si>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</si>
  <si>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</si>
  <si>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</si>
  <si>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</si>
  <si>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</si>
  <si>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</si>
  <si>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</si>
  <si>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</si>
  <si>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</si>
  <si>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</si>
  <si>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</si>
  <si>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</si>
  <si>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</si>
  <si>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</si>
  <si>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</si>
  <si>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</si>
  <si>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</si>
  <si>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</si>
  <si>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</si>
  <si>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</si>
  <si>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</si>
  <si>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</si>
  <si>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</si>
  <si>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</si>
  <si>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</si>
  <si>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</si>
  <si>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</si>
  <si>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</si>
  <si>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</si>
  <si>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</si>
  <si>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</si>
  <si>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</si>
  <si>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</si>
  <si>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</si>
  <si>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</si>
  <si>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</si>
  <si>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</si>
  <si>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</si>
  <si>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</si>
  <si>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</si>
  <si>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</si>
  <si>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</si>
  <si>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</si>
  <si>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</si>
  <si>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</si>
  <si>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</si>
  <si>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</si>
  <si>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</si>
  <si>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</si>
  <si>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</si>
  <si>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</si>
  <si>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</si>
  <si>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</si>
  <si>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</si>
  <si>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</si>
  <si>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</si>
  <si>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</si>
  <si>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</si>
  <si>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</si>
  <si>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</si>
  <si>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</si>
  <si>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</si>
  <si>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</si>
  <si>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</si>
  <si>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</si>
  <si>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</si>
  <si>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</si>
  <si>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</si>
  <si>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</si>
  <si>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</si>
  <si>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</si>
  <si>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</si>
  <si>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</si>
  <si>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</si>
  <si>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</si>
  <si>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</si>
  <si>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</si>
  <si>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</si>
  <si>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</si>
  <si>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</si>
  <si>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</si>
  <si>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</si>
  <si>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</si>
  <si>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</si>
  <si>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</si>
  <si>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</si>
  <si>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</si>
  <si>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</si>
  <si>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</si>
  <si>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</si>
  <si>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</si>
  <si>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</si>
  <si>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</si>
  <si>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</si>
  <si>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</si>
  <si>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</si>
  <si>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</si>
  <si>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</si>
  <si>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</si>
  <si>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</si>
  <si>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</si>
  <si>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</si>
  <si>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</si>
  <si>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</si>
  <si>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</si>
  <si>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</si>
  <si>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</si>
  <si>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</si>
  <si>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</si>
  <si>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</si>
  <si>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</si>
  <si>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</si>
  <si>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</si>
  <si>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</si>
  <si>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</si>
  <si>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</si>
  <si>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</si>
  <si>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</si>
  <si>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</si>
  <si>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</si>
  <si>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</si>
  <si>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</si>
  <si>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</si>
  <si>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</si>
  <si>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</si>
  <si>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</si>
  <si>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</si>
  <si>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</si>
  <si>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</si>
  <si>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</si>
  <si>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</si>
  <si>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</si>
  <si>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Переносятся ассигнования с одной БК на другую:</t>
  </si>
  <si>
    <t xml:space="preserve"> </t>
  </si>
  <si>
    <t>формулы
 доходы</t>
  </si>
  <si>
    <t>к  решению  «О внесении изменений в решение  Совета народных депутатов  Анжеро-Судженского городского округа от 25.12.2020  № 301 «О  бюджете  муниципального образования «Анжеро-Судженский городской округ» на 2021 год  и на плановый период  2022 и 2023 годов»</t>
  </si>
  <si>
    <t>919 0502 103 00 15101 800</t>
  </si>
  <si>
    <t>919 0502 103 00 11203 800</t>
  </si>
  <si>
    <t>(тыс. руб.)</t>
  </si>
  <si>
    <t>913 0703 032 00 11701 600</t>
  </si>
  <si>
    <t>913 0703 051 00 11231 600</t>
  </si>
  <si>
    <t>911 0702 051 00 11211 600</t>
  </si>
  <si>
    <t>2022 год</t>
  </si>
  <si>
    <t>900 0113 015 00 19031 600</t>
  </si>
  <si>
    <t>911 0703 051 00 11231 600</t>
  </si>
  <si>
    <t>911 0702 051 Е2 54910 600</t>
  </si>
  <si>
    <t>911 0703 051 Е2 54910 600</t>
  </si>
  <si>
    <t>919 0409 111 00 11121 600</t>
  </si>
  <si>
    <t>919 0503 113 00 11131 600</t>
  </si>
  <si>
    <t>919 0503 115 00 11152 600</t>
  </si>
  <si>
    <t>900 0113 015 00 19031 100</t>
  </si>
  <si>
    <t>900 0113 015 00 19031 200</t>
  </si>
  <si>
    <t>900 0113 015 00 19031 800</t>
  </si>
  <si>
    <t>905 0113 020 00 19001 200</t>
  </si>
  <si>
    <t>905 0113 020 00 19001 800</t>
  </si>
  <si>
    <t>913 0801 060 00 13421 600</t>
  </si>
  <si>
    <t>913 0804 060 00 14522 100</t>
  </si>
  <si>
    <t>915 1002 085 00 11051 200</t>
  </si>
  <si>
    <t>919 0502 101 00 18301 200</t>
  </si>
  <si>
    <t>919 0502 101 00 11301 200</t>
  </si>
  <si>
    <r>
      <rPr>
        <b/>
        <sz val="14"/>
        <rFont val="Times New Roman"/>
        <family val="1"/>
        <charset val="204"/>
      </rPr>
      <t>1</t>
    </r>
    <r>
      <rPr>
        <sz val="14"/>
        <rFont val="Times New Roman"/>
        <family val="1"/>
        <charset val="204"/>
      </rPr>
      <t>.  Изменения по доходам :</t>
    </r>
  </si>
  <si>
    <t>1.1. изменения по 2021 году:</t>
  </si>
  <si>
    <t>2. Изменения по расходам:</t>
  </si>
  <si>
    <t>тыс. руб.</t>
  </si>
  <si>
    <r>
      <rPr>
        <b/>
        <sz val="14"/>
        <rFont val="Times New Roman"/>
        <family val="1"/>
        <charset val="204"/>
      </rPr>
      <t>4.</t>
    </r>
    <r>
      <rPr>
        <sz val="14"/>
        <rFont val="Times New Roman"/>
        <family val="1"/>
        <charset val="204"/>
      </rPr>
      <t xml:space="preserve">  Итог сбалансированности бюджета:</t>
    </r>
  </si>
  <si>
    <t>(тыс.руб.)</t>
  </si>
  <si>
    <t>Дотация</t>
  </si>
  <si>
    <t>Субсидии, субвенции, иные межбюджетные трансферты</t>
  </si>
  <si>
    <t>Налоговые неналоговые доходы</t>
  </si>
  <si>
    <t xml:space="preserve"> Безвозмездные поступления от негосударственных организаций </t>
  </si>
  <si>
    <t>Источники финансирования</t>
  </si>
  <si>
    <t>911 0702 051 00 S3420 600</t>
  </si>
  <si>
    <t>911 0702 051 00 12221 100</t>
  </si>
  <si>
    <t>911 0702 051 00 12221 200</t>
  </si>
  <si>
    <t>900 1301 123 00 12005 700</t>
  </si>
  <si>
    <t>905 0501 045 00 13003 200</t>
  </si>
  <si>
    <t>905 0113 020 00 11008 800</t>
  </si>
  <si>
    <t>905 0113 020 00 18001 200</t>
  </si>
  <si>
    <t>905 0113 020 00 16001 200</t>
  </si>
  <si>
    <t>905 0113 020 00 16001 800</t>
  </si>
  <si>
    <t>900 0501 044 00 12201 200</t>
  </si>
  <si>
    <t>900 0501 044 00 11201 400</t>
  </si>
  <si>
    <t>900 0501 044 00 11201 200</t>
  </si>
  <si>
    <t>УО инициативное бюджетирование</t>
  </si>
  <si>
    <t>УСЗН грант</t>
  </si>
  <si>
    <t>900 1003 041 00 51340 300</t>
  </si>
  <si>
    <t>919 0502 101 00 12301 200</t>
  </si>
  <si>
    <t>900 0113 033 00 11151 100</t>
  </si>
  <si>
    <t>905 0113 020 00 17002 200</t>
  </si>
  <si>
    <t>900 0113 033 00 12161 800</t>
  </si>
  <si>
    <t>900 0104 011 00 11021 200</t>
  </si>
  <si>
    <t>900 0104 011 00 11021 800</t>
  </si>
  <si>
    <t>900 0113 031 00 13008 600</t>
  </si>
  <si>
    <t>900 0310 031 00 15003 600</t>
  </si>
  <si>
    <t>900 1003 041 00 51760 400</t>
  </si>
  <si>
    <t>900 1003 041 00 51350 300</t>
  </si>
  <si>
    <t>КФСиМ</t>
  </si>
  <si>
    <t>904 0707 051 00 16071 200</t>
  </si>
  <si>
    <t>904 0707 051 00 16071 300</t>
  </si>
  <si>
    <t>913 0801 060 00 11402 600</t>
  </si>
  <si>
    <t>905 0113 020 00 13001 200</t>
  </si>
  <si>
    <t>905 0113 020 00 14001 200</t>
  </si>
  <si>
    <t>905 0412 020 00 11001 200</t>
  </si>
  <si>
    <t>900 0401 081 00 73720 600</t>
  </si>
  <si>
    <t>900 0113 990 00 54690 200</t>
  </si>
  <si>
    <r>
      <rPr>
        <b/>
        <u/>
        <sz val="14"/>
        <rFont val="Times New Roman"/>
        <family val="1"/>
        <charset val="204"/>
      </rPr>
      <t>2.1.</t>
    </r>
    <r>
      <rPr>
        <u/>
        <sz val="14"/>
        <rFont val="Times New Roman"/>
        <family val="1"/>
        <charset val="204"/>
      </rPr>
      <t xml:space="preserve">  На основании Закона Кемеровской области-Кузбасса от 31.03.2021 №27-ОЗ, уведомлений Минфина Кузбасса от 25.12.2020г № 15786, от 29.12.2020г №17661:</t>
    </r>
  </si>
  <si>
    <t>900 0501 043 F3 67483 800</t>
  </si>
  <si>
    <t>900 0501 043 F3 67484 800</t>
  </si>
  <si>
    <t>911 0702 051 00 L3040 600</t>
  </si>
  <si>
    <t>2023 год</t>
  </si>
  <si>
    <t xml:space="preserve"> - уменьшаются ассигнования по Управлению образования на 9974,3 т.р., увеличиваются по администрации (РЭС), в связи с передачей полномочий по организации аутсорсинга в школах;,</t>
  </si>
  <si>
    <t xml:space="preserve"> -   дотация увеличивается на тыс.руб.</t>
  </si>
  <si>
    <t xml:space="preserve">  -  иные межбюджетные трансферты увеличиваются на  163,0 тыс. руб</t>
  </si>
  <si>
    <t xml:space="preserve"> -  субсидии увеличиваются на  33885,9тыс.руб.</t>
  </si>
  <si>
    <t xml:space="preserve"> -  субвенции  уменьшаются  на  1813,1 тыс. руб;</t>
  </si>
  <si>
    <t xml:space="preserve">Инициативные платежи, зачисляемые в бюджеты городских округов (на реализацию проектов инициативного бюджетирования "Твой Кузбасс - твоя инициатива" в Кемеровской области)  </t>
  </si>
  <si>
    <t>Доходы от реализации иного имущества находящегося в собственности городских округов (за исключением имущества муниципальных автономных учреждений, а также имущества муниципальных унитарных предприятий , в т.ч. казенных), в части реализации основных средств по указанному имуществу(перерасчеты, недоимка,задолженность по платежу)</t>
  </si>
  <si>
    <t>План на 2021 год</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</si>
  <si>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учреждений)(перерасчеты, недоимка,задолженность по платежу)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</si>
  <si>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участков(перерасчеты, недоимка,задолженность по платежу)</t>
  </si>
  <si>
    <t>900 0310 032 00 12701 600</t>
  </si>
  <si>
    <t>911 0701 051 00 71800 600</t>
  </si>
  <si>
    <t>911 0702 051 00 71830 200</t>
  </si>
  <si>
    <t>911 1003 052 00 72030 300</t>
  </si>
  <si>
    <t>911 1004 052 00 80130 300</t>
  </si>
  <si>
    <t>900 1004 041 00 71850 400</t>
  </si>
  <si>
    <t>1.2. изменения по 2022 году:</t>
  </si>
  <si>
    <t>1.3. изменения по 2023 году:</t>
  </si>
  <si>
    <r>
      <rPr>
        <b/>
        <sz val="14"/>
        <rFont val="Times New Roman"/>
        <family val="1"/>
        <charset val="204"/>
      </rPr>
      <t xml:space="preserve">По администрации: </t>
    </r>
    <r>
      <rPr>
        <sz val="14"/>
        <rFont val="Times New Roman"/>
        <family val="1"/>
        <charset val="204"/>
      </rPr>
      <t xml:space="preserve">
-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на 1424,3 т.р.;
 -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на 294,4 т.р.;</t>
    </r>
  </si>
  <si>
    <r>
      <rPr>
        <b/>
        <sz val="14"/>
        <rFont val="Times New Roman"/>
        <family val="1"/>
        <charset val="204"/>
      </rPr>
      <t>Переносятся ассигнования с одного ГРБС на другого:</t>
    </r>
    <r>
      <rPr>
        <sz val="14"/>
        <rFont val="Times New Roman"/>
        <family val="1"/>
        <charset val="204"/>
      </rPr>
      <t xml:space="preserve">
 - уменьшаются ассигнования по  администрации по процентным платежам по муниципальному долгу Анжеро-Судженского городского округа согласно графика платежей на 527,9 т.р., увеличиваются ассигнования по КУМИ для восстановления платежеспособности по МУП ГИС-Центр на 527,9 т.р.</t>
    </r>
  </si>
  <si>
    <r>
      <rPr>
        <b/>
        <sz val="14"/>
        <rFont val="Times New Roman"/>
        <family val="1"/>
        <charset val="204"/>
      </rPr>
      <t xml:space="preserve">3. </t>
    </r>
    <r>
      <rPr>
        <sz val="14"/>
        <rFont val="Times New Roman"/>
        <family val="1"/>
        <charset val="204"/>
      </rPr>
      <t xml:space="preserve"> Вносятся изменения в источники финансирования дефицита бюджета, увеличивается  строка "Изменение остатков средств  на счетах по учету средств бюджета" на 186,72 т.р. за счет неиспользованных остатков на 01.01.2021г.</t>
    </r>
  </si>
  <si>
    <t>911 0702 051 00 71830 600</t>
  </si>
  <si>
    <t xml:space="preserve">  1.1.1.    На основании Закона Кемеровской области-Кузбасса от 31.03.2021 №27-ОЗ,уведомлений Минфина Кузбасса от 25.12.2020г № 15786, от 29.12.2020г №17661:</t>
  </si>
  <si>
    <t xml:space="preserve">  1.2.1.   На основании уведомлений Минфина Кузбасса от 25.12.2020г № 15786, от 29.12.2020г №17661:</t>
  </si>
  <si>
    <r>
      <t xml:space="preserve">По Управлению образования:
  </t>
    </r>
    <r>
      <rPr>
        <sz val="14"/>
        <rFont val="Times New Roman"/>
        <family val="1"/>
        <charset val="204"/>
      </rPr>
      <t>-  на реализацию проектов инициативного бюджетирования "Твой Кузбасс - твоя инициатива" на 1250,0 т.р.;
 -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на 16,30 руб на 2022 год, на 22,40 руб на 2023 год;
 -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(полного) общего образования и дополнительного образования детей в муниципальных общеобразовательных организациях на 2,9 т.р. (школы, уч. расходы);</t>
    </r>
  </si>
  <si>
    <r>
      <t xml:space="preserve">По администрации:
 </t>
    </r>
    <r>
      <rPr>
        <sz val="14"/>
        <rFont val="Times New Roman"/>
        <family val="1"/>
        <charset val="204"/>
      </rPr>
      <t>-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на 1462,8 т.р.;
 -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на 18,8 т.р.;
 - на стажировку выпускников образовательных организаций в целях приобретения ими опыта работы в рамках мероприятий по содействию занятости населения (Городской архив) на 163,0 т.р.;
 - на проведение Всероссийской переписи населения 2020 года на 110,8 т.р.;
 - на обеспечение мероприятий по переселению граждан из аварийного жилищного фонда, осуществляемых за счет средств, поступивших от Фонда содействия реформированию жилищно-коммунального хозяйства на 32635,9 т.р. (ФБ);</t>
    </r>
  </si>
  <si>
    <t xml:space="preserve"> - на обеспечение мероприятий по переселению граждан из аварийного жилищного фонда, осуществляемых за счет средств, поступивших от Фонда содействия реформированию жилищно-коммунального хозяйства на 20,98 руб на 2022 год, на 15,62 руб на 2023год (ФБ);
 - на обеспечение мероприятий по переселению граждан из аварийного жилищного фонда, осуществляемых за счет средств бюджетов субъектов Российской Федерации, в том числе за счет субсидий из бюджетов субъектов Российской Федерации местным бюджетам на 45,63 руб на 2022 год, на 26,27 руб на 2023 год (ОБ);</t>
  </si>
  <si>
    <r>
      <rPr>
        <b/>
        <sz val="14"/>
        <rFont val="Times New Roman"/>
        <family val="1"/>
        <charset val="204"/>
      </rPr>
      <t>По Управлению образования:</t>
    </r>
    <r>
      <rPr>
        <sz val="14"/>
        <rFont val="Times New Roman"/>
        <family val="1"/>
        <charset val="204"/>
      </rPr>
      <t xml:space="preserve">
 -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на 29,4 т.р. (д/сады, уч. расходы);
 - на осуществление назначения и выплаты денежных средств семьям, взявшим на воспитание детей-сирот и детей, оставшихся без попечения родителей, предоставление им мер социальной поддержки, осуществление назначения и выплаты денежных средств лицам, находившимся под попечительством, лицам, являвшимся приемными родителями, в соответствии с Законом Кемеровской области от 14 декабря 2010 года № 124-ОЗ "О некоторых вопросах в сфере опеки и попечительства несовершеннолетних" на 1645,9 т.р.;
 - на обеспечение детей-сирот и детей, оставшихся без попечения родителей, одеждой, обувью, единовременным денежным пособием при выпуске из общеобразовательных организаций на 14,4 т.р.;</t>
    </r>
  </si>
  <si>
    <r>
      <rPr>
        <b/>
        <sz val="14"/>
        <rFont val="Times New Roman"/>
        <family val="1"/>
        <charset val="204"/>
      </rPr>
      <t>По Управлению образования:</t>
    </r>
    <r>
      <rPr>
        <sz val="14"/>
        <rFont val="Times New Roman"/>
        <family val="1"/>
        <charset val="204"/>
      </rPr>
      <t xml:space="preserve">
 - на реализацию проекта инициативного бюджетирования средства индивидуальных предпринимателей на 19,0 т.р., средства граждан на 53,0 т.р.;</t>
    </r>
  </si>
  <si>
    <t>Е.Н.Зачиняева</t>
  </si>
  <si>
    <t>Начальник финансового управления
 администрации Анжеро-Судженского городского округа</t>
  </si>
  <si>
    <t>915 1002 085 00 11051 100</t>
  </si>
  <si>
    <r>
      <rPr>
        <b/>
        <sz val="14"/>
        <rFont val="Times New Roman"/>
        <family val="1"/>
        <charset val="204"/>
      </rPr>
      <t>По УСЗН:</t>
    </r>
    <r>
      <rPr>
        <sz val="14"/>
        <rFont val="Times New Roman"/>
        <family val="1"/>
        <charset val="204"/>
      </rPr>
      <t xml:space="preserve">
  - за счет неиспользованного остатка на 01.01.2021г гранта от благотворительного фонда помощи детям и социально-незащищенным слоям населения "Ключ" на 186,720 т.р.;
 - в связи с заключением договора благотворительного пожертвования с благотворительным фондом помощи детям и социально-незащищенным слоям населения "Ключ" на 380,0 т.р.;
- в связи с победой в конкурсном отборе проектов Фонда поддержки детей, оказавшихся в трудной жизненной ситуации на 951,7 т.р. по 2021 году, на 407,9 т.р. по 2022 году;</t>
    </r>
  </si>
  <si>
    <t xml:space="preserve"> В связи с подготовкой документов для получения банковского кредита , увеличиваются строки "Погашение бюджетами городских округов кредитов от кредитных организаций в валюте Российской Федерации", строка "Получение кредитов от кредитных организаций бюджетами городских округов в валюте Российской Федерации" на 2023г на 53744,2 т.р..</t>
  </si>
  <si>
    <t xml:space="preserve"> - уменьшаются ассигнования по УЖКХ, увеличиваются по Администрации на 1567,9 т.р., "Исполнение судебных актов", в связи с поступлением исполнительного листа от ООО ТТУ за ремонт грунтовых дорог.</t>
  </si>
  <si>
    <t>900 0113 015 00 17001 800</t>
  </si>
  <si>
    <t xml:space="preserve"> - уменьшаются ассигнования по Управлению образования, увеличиваются по Администрации на 299,5 т.р., "Исполнение судебных актов", в связи с поступлением исполнительных  листов от Аларм за монтаж аварийного освещения в детских садах №6 и №42.</t>
  </si>
  <si>
    <t>911 0701 032 00 11701 600</t>
  </si>
  <si>
    <t>911 0703 032 00 11701 600</t>
  </si>
  <si>
    <t>911 0702 032 00 11701 600</t>
  </si>
  <si>
    <t>911 0701 051 00 11202 200</t>
  </si>
  <si>
    <t>911 0701 051 00 11202 800</t>
  </si>
  <si>
    <t>911 0702 032 00 11701 200</t>
  </si>
  <si>
    <t>900 0111 015 00 13071 800</t>
  </si>
  <si>
    <t>900 9999 990 00 99999 800</t>
  </si>
  <si>
    <t>900 0113 033 00 11151 200</t>
  </si>
  <si>
    <t>УЖ финпомощь</t>
  </si>
  <si>
    <t>Управление культуры финпомощь</t>
  </si>
  <si>
    <t xml:space="preserve"> - уменьшаются ассигнования по резервному фонду, увеличиваются по СНД на 46,0 т.р.для ремонта автомобиля;</t>
  </si>
  <si>
    <t>СНД</t>
  </si>
  <si>
    <t>907 0103 990 00 24001 200</t>
  </si>
  <si>
    <t xml:space="preserve"> - для оплаты за инвентаризацию и паспортизацию объектов муниципальной собственности в сумме 200,0 т.р. за счет уменьшения ассигнований по региональному оператору;
 - для оплаты независимой оценки объектов муниципальной собственности в сумме 200,0 т.р. за счет уменьшения ассигнований по региональному оператору;
 - для оплаты программного обеспечения комитета в сумме 100,0 т.р. за счет уменьшения ассигнований по региональному оператору;
 - для оплаты подачи сведений о ликвидации МП ГИс-центр в сумме 5,0 т.р. за счет уменьшения ассигнований по региональному оператору;
 - для формирования и оформления границ земельных участков в сумме 300,0 т.р. за счет уменьшения ассигнований по региональному оператору;</t>
  </si>
  <si>
    <r>
      <t>По КУМИ:</t>
    </r>
    <r>
      <rPr>
        <sz val="14"/>
        <rFont val="Times New Roman"/>
        <family val="1"/>
        <charset val="204"/>
      </rPr>
      <t xml:space="preserve">
 - для оплаты штрафа и пени согласно решений МРИ ФНС в сумме 42,7 т.р., за счет экономии по договорам ГПХ в сумме 30,4 т.р., за счет уменьшения ассигнований по региональному оператору в сумме 12,3т.р.;
 - для восстановления платежеспособности МУП ГИС-центр в сумме 58,2 т.р., за счет уменьшения ассигнований по региональному оператору;
 - для оплаты коммунальных услуг, содержания помещений по муниципальному имуществу в сумме 863,2 т.р., за счет уменьшения ассигнований на создание и ликвидацию муниципальных предприятий на 30,0 т.р., за счет уменьшения ассигнований по региональному оператору на 833,2 т.р.;
 - для оплаты дверей, замков  на муниципальное имущество в сумме 17,0 т.р., за счет уменьшения ассигнований по региональному оператору;
 - для оплаты госпошлины за выморочное имущество в сумме 20,0 т.р. за счет уменьшения ассигнований по региональному оператору;
 - для оплаты за размещение информации в СМИ в сумме 200,0 т.р. за счет уменьшения ассигнований по региональному оператору;</t>
    </r>
  </si>
  <si>
    <r>
      <rPr>
        <b/>
        <sz val="14"/>
        <rFont val="Times New Roman"/>
        <family val="1"/>
        <charset val="204"/>
      </rPr>
      <t>По КФСиМ:</t>
    </r>
    <r>
      <rPr>
        <sz val="14"/>
        <rFont val="Times New Roman"/>
        <family val="1"/>
        <charset val="204"/>
      </rPr>
      <t xml:space="preserve">
 - для проведения мероприятий отдела молодежи в сумме 23,0 т.р., меняется вид расходов;</t>
    </r>
  </si>
  <si>
    <t>В связи с заключением соглашения с ООО "Кузнецкие ферросплавы" о социально-экономическом партнерстве на 1470,0 т.р., в том числе:
 - по Управлению культуры на проведение фейейверка ко Дню победы на 70,0 т.р., 
 - по УЖ на ямочный ремонт дорог на 1000,0 т.р., на прочие мероприятия по объектам внешнего благоустройства на 300,0 т.р.;
 - по Управлению образования на трудоустройство детей в летний период на 100,0 т.р.;</t>
  </si>
  <si>
    <t>911 0707 051 00 17001 600</t>
  </si>
  <si>
    <t>УО финпомощь</t>
  </si>
  <si>
    <t>1.2.1.   На основании уведомлений Минфина Кузбасса от 25.12.2020г № 15786, от 29.12.2020г №17661:</t>
  </si>
  <si>
    <t xml:space="preserve">1.1.3. Вносятся изменения в план по поступлениям от денежных пожертвований, предоставляемых негосударственными организациями получателям средств бюджетов городских округов в том числе:
-заключения договора благотворительного пожертвования с благотворительным фондом помощи детям и социально-незащищенным слоям населения "Ключ"  и реализация проекта "Рука помощи"  всероссийского конкурса "Курс на семью -2020" в размере 380,0 тыс.руб.;
</t>
  </si>
  <si>
    <t>1.2.2. Вносятся изменения в план по поступлениям предоставление негосударственными организациями грантов для получениясредств бюджетов округов в том числе:
  в связи с победой в конкурсном отборе проектов Фонда поддержки детей, оказавшихся в трудной жизненной ситуации на  реализация проекта "Счастливое детство в родной семье" в размере 407,9 тыс.руб.</t>
  </si>
  <si>
    <t xml:space="preserve">Прочие безвозмездные поступления </t>
  </si>
  <si>
    <t xml:space="preserve">1.1.5. Увеличиваются прочие безвозмездные поступления  на сумму 1470,0 тыс.руб.,  в том числе:
за счет поступившей финансовой помощи от ОАО "Кузнецкие ферросплавы" 1470,0тыс руб.
</t>
  </si>
  <si>
    <t>ВСЕГО доходов собственной базы на  2021 год:    1542,0  тыс.руб.</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</si>
  <si>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</si>
  <si>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 (сумма налога (сбора)</t>
  </si>
  <si>
    <r>
      <rPr>
        <b/>
        <sz val="14"/>
        <rFont val="Times New Roman"/>
        <family val="1"/>
        <charset val="204"/>
      </rPr>
      <t xml:space="preserve">По УЖКХ:
</t>
    </r>
    <r>
      <rPr>
        <sz val="14"/>
        <rFont val="Times New Roman"/>
        <family val="1"/>
        <charset val="204"/>
      </rPr>
      <t xml:space="preserve">  - для оплаты работ по посадке цветов, летнему содержанию дорог, ямочному ремонту дорог, уборке уличного смета, содержания урн, ремонту грунтовых дорог, обочин и остановочных павильонов, для содержания дорожных знаков, скашивания травы у обочин дорог и газонов, санитарной обрезки деревьев  в сумме 42000,0 т.р., уменьшаются ассигнование на погашение кредиторской задолженности по КВД;
 - для установления расчетной санитарно-защитной зоны угольной котельной по ул. Прокопьевская в сумме 121,0 т.р., уменьшаются ассигнования по капитальному ремонту муниципальных сетей и котельного оборудования;</t>
    </r>
  </si>
  <si>
    <t xml:space="preserve"> - уменьшаются асигнования по администрации пр. "Обеспечение доступным и комфортным жильем и коммунальными услугами. Строительство." по строительству на 190,0 т.р., увеличиваются по УЖКХ для проведения кадастровых работ и изготовления технического плана по объекту "Теплоснабжение ВЖР (строительство теплотрассы)";</t>
  </si>
  <si>
    <t xml:space="preserve"> - уменьшаются ассигнования на погашение кредиторской задолженности по КВД по УЖКХ на 3000,0 т.р., увеличиваются по администрации (РЭС) для содержания блочно-модульных котельных;</t>
  </si>
  <si>
    <r>
      <rPr>
        <b/>
        <sz val="14"/>
        <rFont val="Times New Roman"/>
        <family val="1"/>
        <charset val="204"/>
      </rPr>
      <t xml:space="preserve">Уменьшаются ассигнования:
 - </t>
    </r>
    <r>
      <rPr>
        <sz val="14"/>
        <rFont val="Times New Roman"/>
        <family val="1"/>
        <charset val="204"/>
      </rPr>
      <t>в связи с уменьшением дефицита в соответствии с изменениями по доходам, уменьшаются ассигнования по резервному фонду на 76,9 т.р.</t>
    </r>
  </si>
  <si>
    <t>Резервный фонд</t>
  </si>
  <si>
    <t xml:space="preserve"> - по 2022 году в связи с увеличением общей суммы расходов за счет местного бюджета (получение гранта СРЦН) увеличиваются условно утвержденные расходы на 10,2 т.р., уменьшается резервный фонд;
 - в связи с выставлением исполнительного листа по ущербу автомобиля переносятся ассигнования с резервного фонда на исполнение судебных актов в сумме 1421,8 т.р.;
 - по ОООП для передачи документов в архив в связи с ликвидацией учреждения в сумме 11,7 т.р., уменьшается ФОТ;
 - в связи с подготовкой документов для получения банковского кредита увеличиваются ассигнования по процентным платежам по муниципальному долгу на 1000,0 т.р. по 2021 году, на 1794,0 т.р. по 2022 году, на 357,9 т.р. по 2023 году, уменьшаются ассигнования по резервному фонду по годам соответственно;</t>
  </si>
  <si>
    <r>
      <rPr>
        <b/>
        <sz val="14"/>
        <rFont val="Times New Roman"/>
        <family val="1"/>
        <charset val="204"/>
      </rPr>
      <t>По Управлению образования:</t>
    </r>
    <r>
      <rPr>
        <b/>
        <u/>
        <sz val="14"/>
        <rFont val="Times New Roman"/>
        <family val="1"/>
        <charset val="204"/>
      </rPr>
      <t xml:space="preserve">
</t>
    </r>
    <r>
      <rPr>
        <sz val="14"/>
        <rFont val="Times New Roman"/>
        <family val="1"/>
        <charset val="204"/>
      </rPr>
      <t xml:space="preserve"> - в связи с тем, что на субсидию из федерального бюджета не требуется софинансирование в сумме 150,6 т.р. по 2021 году, в сумме 192,4 т.р. по 2022 году, ассигнования возвращаются на школы и УДО, откуда были выделены первоначально;
 - для оплаты компенсации по уходу за ребенком до 3-х лет в сумме 2,8 т.р., меняется вид расходов;
 - для оплаты услуг охраны в сумме 74,6 т.р. со школ на интернаты; 
- для оплаты штрафа по экологии в сумме 49,4 т.р., меняется вид расходов;
 - для проведения отделочных и ремонтных работ в кабинетах, в которых планируется создание новых ученикомест, по реализации дополнительных общеразвивающих программ в ДЭБЦ и школе №36, в сумме 1324,6 т.р., уменьшаются ассигнования по программе "Пожарная безопасность" (Письмо правительства Кемеровской области - Кузбасса от 06.04.2021 №71-15-26/3080);</t>
    </r>
  </si>
  <si>
    <r>
      <rPr>
        <b/>
        <sz val="14"/>
        <rFont val="Times New Roman"/>
        <family val="1"/>
        <charset val="204"/>
      </rPr>
      <t>По Управлению культуры:</t>
    </r>
    <r>
      <rPr>
        <sz val="14"/>
        <rFont val="Times New Roman"/>
        <family val="1"/>
        <charset val="204"/>
      </rPr>
      <t xml:space="preserve">
 - для перевода учреждений на охранную сигнализацию в сумме 758,9 т.р., уменьшается ФОТ по библиотекам и центру хозяйственного обслуживания за счет сокращения 7 ставок в связи с закрытием филиала библиотеки №4;
 - для оплаты услуг за уборку снега с крыши музыкальной школы №19 в сумме 44,5 т.р., уменьшаются ассигнования по программе "Пожарная безопасность";
 - для повышения уровня заработной платы педагогических работников дополнительного образования в сумме 1422,6 т.р. , уменьшается ФОТ за счет сокращения 8 ставок прочего персонала в учреждениях культуры и центре хозяйственного обслуживания;</t>
    </r>
  </si>
  <si>
    <t>Увеличивается строка "Погашение бюджетами городских округов кредитов от кредитных организаций в валюте Российской Федерации" на 3667,3 т.р., строка "Получение кредитов от кредитных организаций бюджетами городских округов в валюте Российской Федерации" на 2021г на 3744,2 т.р. для перекредитования в целях снижения процента по кредиту.</t>
  </si>
  <si>
    <t xml:space="preserve">1.1.2. Вносятся изменения в план по доходам налоговых и  неналоговых платежей на 2021 год: 
 - в связи с тем, что начиная с 01.01.2021 года в отношении доходов, превышающих 5,0 млн. рублей применяется повышенная ставка 15%  увеличивается план по коду доходов «Налог на доходы физических лиц части суммы налога, превышающей 650 000 рублей, относящейся к части налоговой базы, превышающей 5 000 000 рублей»  на сумму 26150,0 тыс. рублей . Соответственно план по коду доходов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уменьшается на 26150,0 тыс. руб.
</t>
  </si>
  <si>
    <t xml:space="preserve"> - плановые назначения скорректированы по отдельным подстатьям доходов бюджета исходя из складывающейся динамики фактических поступлений налоговых и неналоговых платежей в текущем году, ожидаемой оценки за текущий год и уточненного прогноза главных администраторов доходов местного  бюджета. 
 В результате сумма налоговых и неналоговых доходов увеличена на 72,0 тыс.руб.( приложение к пояснительной записке - доходы).</t>
  </si>
  <si>
    <t>1.1.4. Вносятся изменения в план по поступлениям предоставление негосударственными организациями грантов для получения средств бюджетов округов в том числе:
 - в связи с победой в конкурсном отборе проектов Фонда поддержки детей, оказавшихся в трудной жизненной ситуации на  реализация проекта "Счастливое детство в родной семье" в размере 951,7 тыс.руб.</t>
  </si>
  <si>
    <t xml:space="preserve"> -  субсидии увеличиваются на  0, 08291 тыс.руб.</t>
  </si>
  <si>
    <t xml:space="preserve"> -  субсидии увеличиваются на  0,06429 тыс.руб.</t>
  </si>
  <si>
    <r>
      <t xml:space="preserve">По Администрации:
 </t>
    </r>
    <r>
      <rPr>
        <sz val="14"/>
        <rFont val="Times New Roman"/>
        <family val="1"/>
        <charset val="204"/>
      </rPr>
      <t xml:space="preserve">- в связи с изменением МКУ РЭС типа учреждения с казенного на бюджетное в сумме 7076,1 т.р.;
 - по программе "Обеспечение доступным и комфортным жильем и коммунальными услугами. Строительство." для освобождения зоны производства работ по строительству автомобильной дороги от принадлежащих ООО КЭнК объектов недвижимости в районе дома №8 по ул. Магистральная в ВЖР в сумме 596,9 т.р., уменьшаются ассигнования по мероприятию "Строительство" на 75,4 т.р., по мероприятию "Проектные работы", вид расходов "Бюджетные инвестиции" на 521,5 т.р.;
 - уменьшаются ассигнования по ФОТ ОООП в связи с ликвидацией на 2946,5, увеличиваются по РЭС в связи с увеличением объема работ в сумме 2729,0 т.р., по ГО и ЧС для обустройства минерализованных полос на 124,0 т.р., для оформления документов на участие в грантовых конкурсах казачьему обществу на 20,0 т.р.; для доведения объема субсидии казачьему обществу до расчетного в сумме 73,5 т.р.;
 - для оплаты транспортного налога в сумме 6,0 т.р., меняется вид расходов;
 - по ГО и ЧС для оплаты коммунальных услуг в сумме 43,0 т.р., за счет ожидаемой экономии по обслуживанию камер видеонаблюдения по АПК "Безопасный город"; </t>
    </r>
  </si>
  <si>
    <t>Процентные платежи</t>
  </si>
  <si>
    <t>Исполнение судебных актов</t>
  </si>
  <si>
    <t xml:space="preserve">КУМИ </t>
  </si>
  <si>
    <t>УЖКХ на исполнение судебных решений</t>
  </si>
  <si>
    <t>УО на исполнение судебных решений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</si>
</sst>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0000"/>
    <numFmt numFmtId="166" formatCode="_-* #,##0.000000\ _₽_-;\-* #,##0.000000\ _₽_-;_-* &quot;-&quot;??\ _₽_-;_-@_-"/>
    <numFmt numFmtId="167" formatCode="_-* #,##0.0\ _₽_-;\-* #,##0.0\ _₽_-;_-* &quot;-&quot;??\ _₽_-;_-@_-"/>
    <numFmt numFmtId="168" formatCode="0.0000"/>
  </numFmts>
  <fonts count="36"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u/>
      <sz val="14"/>
      <name val="Times New Roman"/>
      <family val="1"/>
      <charset val="204"/>
    </font>
    <font>
      <b/>
      <sz val="14"/>
      <name val="Times New Roman"/>
      <family val="1"/>
      <charset val="204"/>
    </font>
    <font>
      <sz val="14"/>
      <name val="Arial Cyr"/>
      <charset val="204"/>
    </font>
    <font>
      <b/>
      <i/>
      <sz val="14"/>
      <name val="Times New Roman"/>
      <family val="1"/>
      <charset val="204"/>
    </font>
    <font>
      <sz val="14"/>
      <name val="Times New Roman"/>
      <family val="1"/>
      <charset val="204"/>
    </font>
    <font>
      <i/>
      <sz val="14"/>
      <name val="Times New Roman"/>
      <family val="1"/>
      <charset val="204"/>
    </font>
    <font>
      <sz val="12"/>
      <name val="Times"/>
      <family val="1"/>
    </font>
    <font>
      <b/>
      <sz val="14"/>
      <name val="Arial Cyr"/>
      <charset val="204"/>
    </font>
    <font>
      <b/>
      <u/>
      <sz val="14"/>
      <name val="Arial Cyr"/>
      <charset val="204"/>
    </font>
    <font>
      <u/>
      <sz val="14"/>
      <name val="Times New Roman"/>
      <family val="1"/>
      <charset val="204"/>
    </font>
    <font>
      <u/>
      <sz val="14"/>
      <name val="Arial Cyr"/>
      <charset val="204"/>
    </font>
    <font>
      <sz val="14"/>
      <name val="Times"/>
      <family val="1"/>
    </font>
    <font>
      <b/>
      <u/>
      <sz val="12"/>
      <name val="Times"/>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97">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5" fillId="0" borderId="0" xfId="0" applyFont="1" applyFill="1"/>
    <xf numFmtId="49" fontId="26" fillId="0" borderId="0" xfId="0" applyNumberFormat="1" applyFont="1" applyFill="1" applyBorder="1"/>
    <xf numFmtId="49" fontId="26" fillId="0" borderId="0" xfId="0" applyNumberFormat="1" applyFont="1" applyFill="1" applyBorder="1" applyAlignment="1">
      <alignment horizontal="center"/>
    </xf>
    <xf numFmtId="0" fontId="26" fillId="0" borderId="0" xfId="0" applyFont="1" applyFill="1" applyBorder="1"/>
    <xf numFmtId="164" fontId="26" fillId="0" borderId="0" xfId="0" applyNumberFormat="1" applyFont="1" applyFill="1" applyBorder="1"/>
    <xf numFmtId="164" fontId="25" fillId="0" borderId="0" xfId="0" applyNumberFormat="1" applyFont="1" applyFill="1"/>
    <xf numFmtId="2" fontId="28" fillId="0" borderId="0" xfId="0" applyNumberFormat="1" applyFont="1" applyFill="1" applyBorder="1" applyAlignment="1">
      <alignment horizontal="left" wrapText="1"/>
    </xf>
    <xf numFmtId="164" fontId="27" fillId="0" borderId="0" xfId="0" applyNumberFormat="1" applyFont="1" applyFill="1" applyBorder="1" applyAlignment="1">
      <alignment horizontal="right" wrapText="1"/>
    </xf>
    <xf numFmtId="0" fontId="29" fillId="0" borderId="0" xfId="0" applyFont="1" applyFill="1"/>
    <xf numFmtId="164" fontId="29" fillId="0" borderId="0" xfId="0" applyNumberFormat="1" applyFont="1" applyFill="1"/>
    <xf numFmtId="165" fontId="25" fillId="0" borderId="0" xfId="0" applyNumberFormat="1" applyFont="1" applyFill="1"/>
    <xf numFmtId="49" fontId="26" fillId="0" borderId="1" xfId="0" applyNumberFormat="1" applyFont="1" applyFill="1" applyBorder="1"/>
    <xf numFmtId="0" fontId="26" fillId="0" borderId="1" xfId="0" applyFont="1" applyFill="1" applyBorder="1"/>
    <xf numFmtId="164" fontId="2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2" fontId="29" fillId="0" borderId="0" xfId="2" applyNumberFormat="1" applyFont="1" applyFill="1"/>
    <xf numFmtId="0" fontId="27" fillId="0" borderId="0" xfId="0" applyFont="1" applyFill="1" applyBorder="1" applyAlignment="1">
      <alignment vertical="justify"/>
    </xf>
    <xf numFmtId="1" fontId="25" fillId="0" borderId="0" xfId="0" applyNumberFormat="1" applyFont="1" applyFill="1"/>
    <xf numFmtId="164" fontId="24" fillId="2" borderId="0" xfId="2" applyNumberFormat="1" applyFont="1" applyFill="1" applyBorder="1" applyAlignment="1">
      <alignment horizontal="center" vertical="center" wrapText="1"/>
    </xf>
    <xf numFmtId="0" fontId="24" fillId="2" borderId="1" xfId="0" applyFont="1" applyFill="1" applyBorder="1" applyAlignment="1">
      <alignment horizontal="center" vertical="center"/>
    </xf>
    <xf numFmtId="49" fontId="27" fillId="2" borderId="0" xfId="0" applyNumberFormat="1" applyFont="1" applyFill="1" applyBorder="1" applyAlignment="1">
      <alignment horizontal="left" wrapText="1"/>
    </xf>
    <xf numFmtId="0" fontId="25" fillId="2" borderId="0" xfId="0" applyFont="1" applyFill="1"/>
    <xf numFmtId="164" fontId="26" fillId="2" borderId="1" xfId="0" applyNumberFormat="1" applyFont="1" applyFill="1" applyBorder="1"/>
    <xf numFmtId="164" fontId="26" fillId="0" borderId="1" xfId="0" applyNumberFormat="1" applyFont="1" applyFill="1" applyBorder="1"/>
    <xf numFmtId="1" fontId="25" fillId="0" borderId="0" xfId="2" applyNumberFormat="1" applyFont="1" applyFill="1"/>
    <xf numFmtId="0" fontId="29" fillId="0" borderId="1" xfId="0" applyFont="1" applyFill="1" applyBorder="1" applyAlignment="1">
      <alignment horizontal="right" wrapText="1"/>
    </xf>
    <xf numFmtId="2" fontId="26" fillId="2" borderId="0" xfId="0" applyNumberFormat="1" applyFont="1" applyFill="1" applyBorder="1"/>
    <xf numFmtId="165" fontId="15" fillId="0" borderId="0" xfId="0" applyNumberFormat="1" applyFont="1" applyFill="1"/>
    <xf numFmtId="1" fontId="0" fillId="0" borderId="0" xfId="0" applyNumberFormat="1" applyFont="1" applyFill="1"/>
    <xf numFmtId="1" fontId="30" fillId="0" borderId="0" xfId="0" applyNumberFormat="1" applyFont="1" applyFill="1"/>
    <xf numFmtId="0" fontId="30" fillId="0" borderId="0" xfId="0" applyFont="1" applyFill="1"/>
    <xf numFmtId="0" fontId="31" fillId="0" borderId="0" xfId="0" applyFont="1" applyFill="1"/>
    <xf numFmtId="0" fontId="27" fillId="0" borderId="17" xfId="0" applyNumberFormat="1" applyFont="1" applyFill="1" applyBorder="1" applyAlignment="1">
      <alignment horizontal="left" wrapText="1"/>
    </xf>
    <xf numFmtId="0" fontId="27" fillId="0" borderId="0" xfId="0" applyNumberFormat="1" applyFont="1" applyFill="1" applyBorder="1" applyAlignment="1">
      <alignment horizontal="left" wrapText="1"/>
    </xf>
    <xf numFmtId="0" fontId="27" fillId="2" borderId="17" xfId="0" applyNumberFormat="1" applyFont="1" applyFill="1" applyBorder="1" applyAlignment="1">
      <alignment horizontal="left" wrapText="1"/>
    </xf>
    <xf numFmtId="0" fontId="27" fillId="0" borderId="17" xfId="0" applyNumberFormat="1" applyFont="1" applyFill="1" applyBorder="1" applyAlignment="1">
      <alignment horizontal="right" wrapText="1"/>
    </xf>
    <xf numFmtId="166" fontId="25" fillId="0" borderId="0" xfId="2" applyNumberFormat="1" applyFont="1" applyFill="1"/>
    <xf numFmtId="0" fontId="24" fillId="0" borderId="1" xfId="0" applyFont="1" applyFill="1" applyBorder="1" applyAlignment="1">
      <alignment horizontal="center" vertical="center"/>
    </xf>
    <xf numFmtId="0" fontId="27" fillId="0" borderId="1" xfId="0" applyFont="1" applyFill="1" applyBorder="1" applyAlignment="1">
      <alignment horizontal="center" vertical="center"/>
    </xf>
    <xf numFmtId="43" fontId="29" fillId="0" borderId="0" xfId="2" applyFont="1" applyFill="1"/>
    <xf numFmtId="0" fontId="27" fillId="0" borderId="0" xfId="0" applyFont="1" applyFill="1" applyAlignment="1">
      <alignment vertical="top" wrapText="1"/>
    </xf>
    <xf numFmtId="0" fontId="27" fillId="0" borderId="1" xfId="0" applyFont="1" applyFill="1" applyBorder="1" applyAlignment="1">
      <alignment vertical="justify"/>
    </xf>
    <xf numFmtId="0" fontId="4" fillId="0" borderId="1" xfId="0" applyFont="1" applyFill="1" applyBorder="1" applyAlignment="1">
      <alignment vertical="justify"/>
    </xf>
    <xf numFmtId="0" fontId="10" fillId="0" borderId="0" xfId="0" applyFont="1" applyFill="1" applyBorder="1" applyAlignment="1">
      <alignment horizontal="left" vertical="center" wrapText="1"/>
    </xf>
    <xf numFmtId="0" fontId="4" fillId="0" borderId="0" xfId="0" applyFont="1" applyFill="1" applyBorder="1" applyAlignment="1">
      <alignment vertical="justify"/>
    </xf>
    <xf numFmtId="1" fontId="33" fillId="0" borderId="0" xfId="0" applyNumberFormat="1" applyFont="1" applyFill="1"/>
    <xf numFmtId="0" fontId="33" fillId="0" borderId="0" xfId="0" applyFont="1" applyFill="1"/>
    <xf numFmtId="1" fontId="30" fillId="0" borderId="0" xfId="0" applyNumberFormat="1" applyFont="1" applyFill="1" applyAlignment="1">
      <alignment horizontal="left"/>
    </xf>
    <xf numFmtId="0" fontId="30" fillId="0" borderId="0" xfId="0" applyFont="1" applyFill="1" applyAlignment="1">
      <alignment horizontal="left"/>
    </xf>
    <xf numFmtId="49" fontId="8" fillId="0" borderId="17" xfId="0" applyNumberFormat="1" applyFont="1" applyFill="1" applyBorder="1" applyAlignment="1">
      <alignment horizontal="left" wrapText="1"/>
    </xf>
    <xf numFmtId="49" fontId="8" fillId="2" borderId="17" xfId="0" applyNumberFormat="1" applyFont="1" applyFill="1" applyBorder="1" applyAlignment="1">
      <alignment horizontal="left" wrapText="1"/>
    </xf>
    <xf numFmtId="164" fontId="27" fillId="0" borderId="1" xfId="0" applyNumberFormat="1" applyFont="1" applyFill="1" applyBorder="1" applyAlignment="1">
      <alignment vertical="center"/>
    </xf>
    <xf numFmtId="168" fontId="25" fillId="0" borderId="0" xfId="0" applyNumberFormat="1" applyFont="1" applyFill="1"/>
    <xf numFmtId="0" fontId="26" fillId="0" borderId="1" xfId="0" applyFont="1" applyFill="1" applyBorder="1" applyAlignment="1">
      <alignment horizontal="left"/>
    </xf>
    <xf numFmtId="164" fontId="26" fillId="0" borderId="1" xfId="0" applyNumberFormat="1" applyFont="1" applyFill="1" applyBorder="1" applyAlignment="1">
      <alignment vertical="center"/>
    </xf>
    <xf numFmtId="16" fontId="24" fillId="0" borderId="1" xfId="0" applyNumberFormat="1" applyFont="1" applyFill="1" applyBorder="1" applyAlignment="1">
      <alignment horizontal="left" wrapText="1"/>
    </xf>
    <xf numFmtId="16" fontId="24" fillId="0" borderId="0" xfId="0" applyNumberFormat="1" applyFont="1" applyFill="1" applyBorder="1" applyAlignment="1">
      <alignment horizontal="left" wrapText="1"/>
    </xf>
    <xf numFmtId="0" fontId="27" fillId="0" borderId="1" xfId="0" applyFont="1" applyFill="1" applyBorder="1" applyAlignment="1">
      <alignment horizontal="left" vertical="top" wrapText="1"/>
    </xf>
    <xf numFmtId="0" fontId="27" fillId="0" borderId="9" xfId="0" applyFont="1" applyFill="1" applyBorder="1" applyAlignment="1">
      <alignment horizontal="center" vertical="center"/>
    </xf>
    <xf numFmtId="164" fontId="27" fillId="0" borderId="1" xfId="0" applyNumberFormat="1" applyFont="1" applyFill="1" applyBorder="1" applyAlignment="1">
      <alignment horizontal="center" vertical="center" wrapText="1"/>
    </xf>
    <xf numFmtId="0" fontId="24" fillId="2" borderId="0" xfId="0" applyFont="1" applyFill="1" applyBorder="1" applyAlignment="1">
      <alignment horizontal="left" wrapText="1"/>
    </xf>
    <xf numFmtId="0" fontId="27" fillId="0" borderId="0" xfId="0" applyFont="1" applyFill="1" applyAlignment="1">
      <alignment horizontal="left" vertical="top" wrapText="1"/>
    </xf>
    <xf numFmtId="0" fontId="27" fillId="0" borderId="7" xfId="0" applyFont="1" applyFill="1" applyBorder="1" applyAlignment="1">
      <alignment horizontal="center" vertical="center"/>
    </xf>
    <xf numFmtId="49" fontId="27" fillId="0" borderId="0" xfId="0" applyNumberFormat="1" applyFont="1" applyFill="1" applyBorder="1" applyAlignment="1">
      <alignment horizontal="left" wrapText="1"/>
    </xf>
    <xf numFmtId="16" fontId="27" fillId="0" borderId="0" xfId="0" applyNumberFormat="1" applyFont="1" applyFill="1" applyBorder="1" applyAlignment="1">
      <alignment wrapText="1"/>
    </xf>
    <xf numFmtId="43" fontId="34" fillId="0" borderId="1" xfId="2" applyFont="1" applyFill="1" applyBorder="1" applyAlignment="1">
      <alignment horizontal="center" vertical="center" wrapText="1"/>
    </xf>
    <xf numFmtId="1" fontId="25" fillId="0" borderId="0" xfId="0" applyNumberFormat="1" applyFont="1" applyFill="1" applyAlignment="1">
      <alignment horizontal="left"/>
    </xf>
    <xf numFmtId="0" fontId="25" fillId="0" borderId="0" xfId="0" applyFont="1" applyFill="1" applyAlignment="1">
      <alignment horizontal="left"/>
    </xf>
    <xf numFmtId="0" fontId="24" fillId="0" borderId="0" xfId="0" applyFont="1" applyFill="1" applyBorder="1" applyAlignment="1">
      <alignment horizontal="left" wrapText="1"/>
    </xf>
    <xf numFmtId="0" fontId="27" fillId="0" borderId="0" xfId="0" applyFont="1" applyFill="1" applyBorder="1" applyAlignment="1">
      <alignment horizontal="right" wrapText="1"/>
    </xf>
    <xf numFmtId="0" fontId="25" fillId="0" borderId="0" xfId="0" applyFont="1" applyFill="1" applyAlignment="1">
      <alignment wrapText="1"/>
    </xf>
    <xf numFmtId="0" fontId="27" fillId="0" borderId="1" xfId="0" applyFont="1" applyFill="1" applyBorder="1" applyAlignment="1">
      <alignment horizontal="right" vertical="center"/>
    </xf>
    <xf numFmtId="0" fontId="27" fillId="2" borderId="1" xfId="0" applyFont="1" applyFill="1" applyBorder="1" applyAlignment="1">
      <alignment horizontal="right" vertical="center"/>
    </xf>
    <xf numFmtId="164" fontId="27" fillId="0" borderId="1" xfId="0" applyNumberFormat="1" applyFont="1" applyFill="1" applyBorder="1" applyAlignment="1">
      <alignment horizontal="right"/>
    </xf>
    <xf numFmtId="0" fontId="27" fillId="0" borderId="17" xfId="0" applyFont="1" applyFill="1" applyBorder="1" applyAlignment="1">
      <alignment horizontal="left" vertical="center"/>
    </xf>
    <xf numFmtId="0" fontId="27" fillId="0" borderId="7" xfId="0" applyFont="1" applyFill="1" applyBorder="1" applyAlignment="1">
      <alignment horizontal="left" vertical="center"/>
    </xf>
    <xf numFmtId="2" fontId="27" fillId="2" borderId="1" xfId="0" applyNumberFormat="1" applyFont="1" applyFill="1" applyBorder="1" applyAlignment="1">
      <alignment horizontal="right" vertical="center"/>
    </xf>
    <xf numFmtId="164" fontId="27" fillId="0" borderId="1" xfId="0" applyNumberFormat="1" applyFont="1" applyFill="1" applyBorder="1" applyAlignment="1">
      <alignment horizontal="right" vertical="center"/>
    </xf>
    <xf numFmtId="1" fontId="25" fillId="0" borderId="0" xfId="0" applyNumberFormat="1" applyFont="1" applyFill="1" applyAlignment="1">
      <alignment vertical="center"/>
    </xf>
    <xf numFmtId="0" fontId="25" fillId="0" borderId="0" xfId="0" applyFont="1" applyFill="1" applyAlignment="1">
      <alignment vertical="center"/>
    </xf>
    <xf numFmtId="0" fontId="27" fillId="0" borderId="1" xfId="0" applyFont="1" applyFill="1" applyBorder="1" applyAlignment="1">
      <alignment horizontal="left" vertical="center"/>
    </xf>
    <xf numFmtId="0" fontId="27" fillId="0" borderId="6" xfId="0" applyFont="1" applyFill="1" applyBorder="1" applyAlignment="1">
      <alignment vertical="center"/>
    </xf>
    <xf numFmtId="165" fontId="27" fillId="0" borderId="1" xfId="0" applyNumberFormat="1" applyFont="1" applyFill="1" applyBorder="1" applyAlignment="1">
      <alignment horizontal="right" vertical="center"/>
    </xf>
    <xf numFmtId="0" fontId="6" fillId="0" borderId="1" xfId="0" applyFont="1" applyFill="1" applyBorder="1"/>
    <xf numFmtId="164" fontId="6" fillId="2" borderId="1" xfId="0" applyNumberFormat="1" applyFont="1" applyFill="1" applyBorder="1"/>
    <xf numFmtId="0" fontId="35" fillId="0" borderId="0" xfId="0" applyFont="1" applyFill="1"/>
    <xf numFmtId="49" fontId="4" fillId="0" borderId="6" xfId="0" applyNumberFormat="1" applyFont="1" applyFill="1" applyBorder="1" applyAlignment="1">
      <alignment horizontal="left"/>
    </xf>
    <xf numFmtId="49" fontId="4" fillId="0" borderId="7" xfId="0" applyNumberFormat="1" applyFont="1" applyFill="1" applyBorder="1" applyAlignment="1">
      <alignment horizontal="left"/>
    </xf>
    <xf numFmtId="164" fontId="27" fillId="2" borderId="1" xfId="0" applyNumberFormat="1" applyFont="1" applyFill="1" applyBorder="1" applyAlignment="1">
      <alignment horizontal="right"/>
    </xf>
    <xf numFmtId="164" fontId="27" fillId="0" borderId="1" xfId="0" applyNumberFormat="1" applyFont="1" applyFill="1" applyBorder="1"/>
    <xf numFmtId="49" fontId="4" fillId="0" borderId="1" xfId="0" applyNumberFormat="1" applyFont="1" applyFill="1" applyBorder="1" applyAlignment="1">
      <alignment horizontal="left"/>
    </xf>
    <xf numFmtId="0" fontId="27" fillId="0" borderId="1" xfId="0" applyFont="1" applyFill="1" applyBorder="1" applyAlignment="1">
      <alignment horizontal="left" vertical="center" wrapText="1"/>
    </xf>
    <xf numFmtId="0" fontId="27" fillId="0" borderId="1" xfId="0" applyFont="1" applyFill="1" applyBorder="1" applyAlignment="1">
      <alignment wrapText="1"/>
    </xf>
    <xf numFmtId="0" fontId="27" fillId="0" borderId="1" xfId="0" applyFont="1" applyFill="1" applyBorder="1" applyAlignment="1">
      <alignment vertical="top" wrapText="1"/>
    </xf>
    <xf numFmtId="0" fontId="27" fillId="0" borderId="1" xfId="0" applyFont="1" applyFill="1" applyBorder="1" applyAlignment="1">
      <alignment horizontal="center" vertical="center"/>
    </xf>
    <xf numFmtId="164" fontId="26" fillId="0" borderId="1" xfId="0" applyNumberFormat="1" applyFont="1" applyFill="1" applyBorder="1" applyAlignment="1">
      <alignment horizontal="right" vertical="center"/>
    </xf>
    <xf numFmtId="0" fontId="0" fillId="0" borderId="0" xfId="0" applyFont="1" applyFill="1" applyBorder="1"/>
    <xf numFmtId="0" fontId="0" fillId="0" borderId="0" xfId="0" applyFont="1" applyFill="1" applyAlignment="1"/>
    <xf numFmtId="0" fontId="27" fillId="0" borderId="9"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 xfId="0" applyFont="1" applyFill="1" applyBorder="1" applyAlignment="1">
      <alignment horizontal="center" vertical="center"/>
    </xf>
    <xf numFmtId="16" fontId="27" fillId="0" borderId="0" xfId="0" applyNumberFormat="1" applyFont="1" applyFill="1" applyBorder="1" applyAlignment="1">
      <alignment horizontal="left" wrapText="1"/>
    </xf>
    <xf numFmtId="164" fontId="27" fillId="0" borderId="1" xfId="0" applyNumberFormat="1" applyFont="1" applyFill="1" applyBorder="1" applyAlignment="1">
      <alignment horizontal="center" vertical="center" wrapText="1"/>
    </xf>
    <xf numFmtId="16" fontId="24" fillId="0" borderId="0" xfId="0" applyNumberFormat="1" applyFont="1" applyFill="1" applyBorder="1" applyAlignment="1">
      <alignment horizontal="left" wrapText="1"/>
    </xf>
    <xf numFmtId="164" fontId="27" fillId="0" borderId="0" xfId="0" applyNumberFormat="1" applyFont="1" applyFill="1" applyBorder="1" applyAlignment="1">
      <alignment horizontal="left" vertical="center" wrapText="1"/>
    </xf>
    <xf numFmtId="164" fontId="27" fillId="0" borderId="1" xfId="0" applyNumberFormat="1" applyFont="1" applyFill="1" applyBorder="1" applyAlignment="1">
      <alignment horizontal="right" vertical="top"/>
    </xf>
    <xf numFmtId="0" fontId="27" fillId="0" borderId="0" xfId="0" applyFont="1" applyFill="1" applyBorder="1" applyAlignment="1">
      <alignment horizontal="center" vertical="justify" wrapText="1"/>
    </xf>
    <xf numFmtId="164" fontId="24" fillId="0" borderId="1" xfId="0" applyNumberFormat="1" applyFont="1" applyFill="1" applyBorder="1" applyAlignment="1">
      <alignment horizontal="center" vertical="center" wrapText="1"/>
    </xf>
    <xf numFmtId="16" fontId="6" fillId="0" borderId="0" xfId="0" applyNumberFormat="1" applyFont="1" applyFill="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9" xfId="0" applyFont="1" applyFill="1" applyBorder="1" applyAlignment="1">
      <alignment horizontal="center" vertical="center"/>
    </xf>
    <xf numFmtId="49" fontId="3" fillId="0" borderId="1" xfId="0" applyNumberFormat="1" applyFont="1" applyFill="1" applyBorder="1" applyAlignment="1">
      <alignment horizontal="center"/>
    </xf>
    <xf numFmtId="49" fontId="4" fillId="0" borderId="0" xfId="0" applyNumberFormat="1" applyFont="1" applyFill="1" applyBorder="1" applyAlignment="1">
      <alignment horizontal="left"/>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0" fontId="4" fillId="0" borderId="0" xfId="0" applyFont="1" applyFill="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vertical="center" wrapText="1"/>
    </xf>
    <xf numFmtId="0" fontId="6" fillId="0" borderId="0" xfId="0" applyNumberFormat="1" applyFont="1" applyFill="1" applyAlignment="1">
      <alignment horizontal="left" wrapText="1"/>
    </xf>
    <xf numFmtId="0" fontId="17" fillId="0" borderId="0" xfId="0" applyNumberFormat="1" applyFont="1" applyFill="1" applyAlignment="1">
      <alignment horizontal="left" wrapText="1"/>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49" fontId="9" fillId="0" borderId="0" xfId="0" applyNumberFormat="1" applyFont="1" applyFill="1" applyBorder="1" applyAlignment="1">
      <alignment horizontal="lef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1" xfId="0" applyFont="1" applyFill="1" applyBorder="1" applyAlignment="1">
      <alignment horizontal="center"/>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xf numFmtId="0" fontId="27" fillId="0" borderId="6"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7"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8" xfId="0" applyFont="1" applyFill="1" applyBorder="1" applyAlignment="1">
      <alignment horizontal="left" vertical="top" wrapText="1"/>
    </xf>
    <xf numFmtId="0" fontId="27" fillId="0" borderId="9" xfId="0" applyFont="1" applyFill="1" applyBorder="1" applyAlignment="1">
      <alignment horizontal="left" vertical="top" wrapText="1"/>
    </xf>
    <xf numFmtId="164" fontId="27" fillId="0" borderId="2" xfId="0" applyNumberFormat="1" applyFont="1" applyFill="1" applyBorder="1" applyAlignment="1">
      <alignment horizontal="left" vertical="top"/>
    </xf>
    <xf numFmtId="164" fontId="27" fillId="0" borderId="8" xfId="0" applyNumberFormat="1" applyFont="1" applyFill="1" applyBorder="1" applyAlignment="1">
      <alignment horizontal="left" vertical="top"/>
    </xf>
    <xf numFmtId="164" fontId="27" fillId="0" borderId="9" xfId="0" applyNumberFormat="1" applyFont="1" applyFill="1" applyBorder="1" applyAlignment="1">
      <alignment horizontal="left" vertical="top"/>
    </xf>
    <xf numFmtId="164" fontId="26" fillId="0" borderId="1" xfId="0" applyNumberFormat="1" applyFont="1" applyFill="1" applyBorder="1" applyAlignment="1">
      <alignment horizontal="left"/>
    </xf>
    <xf numFmtId="0" fontId="27" fillId="0" borderId="1" xfId="0" applyFont="1" applyFill="1" applyBorder="1" applyAlignment="1">
      <alignment horizontal="left" vertical="top" wrapText="1"/>
    </xf>
    <xf numFmtId="167" fontId="27" fillId="0" borderId="2" xfId="2" applyNumberFormat="1" applyFont="1" applyFill="1" applyBorder="1" applyAlignment="1">
      <alignment vertical="center"/>
    </xf>
    <xf numFmtId="167" fontId="27" fillId="0" borderId="8" xfId="2" applyNumberFormat="1" applyFont="1" applyFill="1" applyBorder="1" applyAlignment="1">
      <alignment vertical="center"/>
    </xf>
    <xf numFmtId="167" fontId="27" fillId="0" borderId="9" xfId="2" applyNumberFormat="1" applyFont="1" applyFill="1" applyBorder="1" applyAlignment="1">
      <alignment vertical="center"/>
    </xf>
    <xf numFmtId="0" fontId="23" fillId="0" borderId="0" xfId="0" applyNumberFormat="1" applyFont="1" applyFill="1" applyAlignment="1">
      <alignment horizontal="left" wrapText="1"/>
    </xf>
    <xf numFmtId="0" fontId="27" fillId="0" borderId="0" xfId="0" applyNumberFormat="1" applyFont="1" applyFill="1" applyAlignment="1">
      <alignment horizontal="left" wrapText="1"/>
    </xf>
    <xf numFmtId="0" fontId="24" fillId="0" borderId="0" xfId="0" applyNumberFormat="1" applyFont="1" applyFill="1" applyAlignment="1">
      <alignment horizontal="left" wrapText="1"/>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49" fontId="6" fillId="0" borderId="1" xfId="0" applyNumberFormat="1" applyFont="1" applyFill="1" applyBorder="1" applyAlignment="1">
      <alignment horizontal="center"/>
    </xf>
    <xf numFmtId="0" fontId="27" fillId="0" borderId="2"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7" xfId="0" applyFont="1" applyFill="1" applyBorder="1" applyAlignment="1">
      <alignment horizontal="center" vertical="center"/>
    </xf>
    <xf numFmtId="0" fontId="24" fillId="0" borderId="0" xfId="0" applyFont="1" applyFill="1" applyAlignment="1">
      <alignment horizontal="center"/>
    </xf>
    <xf numFmtId="0" fontId="24" fillId="0" borderId="0" xfId="0" applyFont="1" applyFill="1" applyAlignment="1">
      <alignment horizontal="center" vertical="top" wrapText="1"/>
    </xf>
    <xf numFmtId="0" fontId="27" fillId="0" borderId="0" xfId="0" applyFont="1" applyFill="1" applyAlignment="1">
      <alignment horizontal="left" vertical="top" wrapText="1"/>
    </xf>
    <xf numFmtId="16" fontId="27" fillId="0" borderId="0" xfId="0" applyNumberFormat="1" applyFont="1" applyFill="1" applyBorder="1" applyAlignment="1">
      <alignment horizontal="left" wrapText="1"/>
    </xf>
    <xf numFmtId="0" fontId="27" fillId="0" borderId="0" xfId="0" applyFont="1" applyFill="1" applyAlignment="1">
      <alignment horizontal="left" vertical="center" wrapText="1"/>
    </xf>
    <xf numFmtId="0" fontId="27" fillId="2" borderId="0" xfId="0" applyFont="1" applyFill="1" applyBorder="1" applyAlignment="1">
      <alignment horizontal="left" wrapText="1"/>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164" fontId="27" fillId="0" borderId="6" xfId="0" applyNumberFormat="1" applyFont="1" applyFill="1" applyBorder="1" applyAlignment="1">
      <alignment horizontal="center" vertical="center" wrapText="1"/>
    </xf>
    <xf numFmtId="164" fontId="27" fillId="0" borderId="7" xfId="0" applyNumberFormat="1" applyFont="1" applyFill="1" applyBorder="1" applyAlignment="1">
      <alignment horizontal="center" vertical="center" wrapText="1"/>
    </xf>
    <xf numFmtId="0" fontId="32" fillId="2" borderId="0" xfId="0" applyFont="1" applyFill="1" applyBorder="1" applyAlignment="1">
      <alignment horizontal="left" wrapText="1"/>
    </xf>
    <xf numFmtId="0" fontId="24" fillId="2" borderId="0" xfId="0" applyFont="1" applyFill="1" applyBorder="1" applyAlignment="1">
      <alignment horizontal="left" wrapText="1"/>
    </xf>
    <xf numFmtId="164" fontId="27" fillId="0" borderId="1" xfId="0" applyNumberFormat="1" applyFont="1" applyFill="1" applyBorder="1" applyAlignment="1">
      <alignment horizontal="center" vertical="center" wrapText="1"/>
    </xf>
    <xf numFmtId="0" fontId="27" fillId="0" borderId="0" xfId="0" applyFont="1" applyFill="1" applyBorder="1" applyAlignment="1">
      <alignment horizontal="left" vertical="justify" wrapText="1"/>
    </xf>
    <xf numFmtId="16" fontId="24" fillId="0" borderId="0" xfId="0" applyNumberFormat="1" applyFont="1" applyFill="1" applyBorder="1" applyAlignment="1">
      <alignment horizontal="left" wrapText="1"/>
    </xf>
    <xf numFmtId="0" fontId="24" fillId="0" borderId="1" xfId="0" applyFont="1" applyFill="1" applyBorder="1" applyAlignment="1">
      <alignment horizontal="center" vertical="center"/>
    </xf>
    <xf numFmtId="0" fontId="0" fillId="0" borderId="0" xfId="0" applyFont="1" applyFill="1" applyBorder="1" applyAlignment="1">
      <alignment horizontal="left" wrapText="1"/>
    </xf>
    <xf numFmtId="49" fontId="26" fillId="0" borderId="6" xfId="0" applyNumberFormat="1" applyFont="1" applyFill="1" applyBorder="1" applyAlignment="1">
      <alignment horizontal="center"/>
    </xf>
    <xf numFmtId="49" fontId="26" fillId="0" borderId="7" xfId="0" applyNumberFormat="1" applyFont="1" applyFill="1" applyBorder="1" applyAlignment="1">
      <alignment horizont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7" fillId="0" borderId="6" xfId="0" applyFont="1" applyFill="1" applyBorder="1" applyAlignment="1">
      <alignment horizontal="center" vertical="center"/>
    </xf>
    <xf numFmtId="49" fontId="27" fillId="0" borderId="0" xfId="0" applyNumberFormat="1" applyFont="1" applyFill="1" applyBorder="1" applyAlignment="1">
      <alignment horizontal="left" wrapText="1"/>
    </xf>
    <xf numFmtId="0" fontId="24" fillId="0" borderId="6" xfId="0" applyFont="1" applyFill="1" applyBorder="1" applyAlignment="1">
      <alignment horizontal="center"/>
    </xf>
    <xf numFmtId="0" fontId="24" fillId="0" borderId="7" xfId="0" applyFont="1" applyFill="1" applyBorder="1" applyAlignment="1">
      <alignment horizontal="center"/>
    </xf>
    <xf numFmtId="0" fontId="24" fillId="0" borderId="11" xfId="0" applyFont="1" applyFill="1" applyBorder="1" applyAlignment="1">
      <alignment horizontal="center"/>
    </xf>
  </cellXfs>
  <cellStyles count="3">
    <cellStyle name="Обычный" xfId="0" builtinId="0"/>
    <cellStyle name="Процентный 2"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192" t="s">
        <v>0</v>
      </c>
      <c r="B1" s="192"/>
      <c r="C1" s="192"/>
      <c r="D1" s="192"/>
      <c r="E1" s="192"/>
      <c r="F1" s="192"/>
    </row>
    <row r="2" spans="1:8" ht="66.75" customHeight="1" x14ac:dyDescent="0.2">
      <c r="A2" s="193" t="s">
        <v>79</v>
      </c>
      <c r="B2" s="193"/>
      <c r="C2" s="193"/>
      <c r="D2" s="193"/>
      <c r="E2" s="193"/>
      <c r="F2" s="193"/>
    </row>
    <row r="3" spans="1:8" ht="15.75" customHeight="1" x14ac:dyDescent="0.3">
      <c r="A3" s="189" t="s">
        <v>90</v>
      </c>
      <c r="B3" s="189"/>
      <c r="C3" s="189"/>
      <c r="D3" s="189"/>
      <c r="E3" s="189"/>
      <c r="F3" s="189"/>
      <c r="G3" s="6"/>
      <c r="H3" s="6"/>
    </row>
    <row r="4" spans="1:8" ht="65.25" customHeight="1" x14ac:dyDescent="0.3">
      <c r="A4" s="194" t="s">
        <v>222</v>
      </c>
      <c r="B4" s="194"/>
      <c r="C4" s="194"/>
      <c r="D4" s="194"/>
      <c r="E4" s="194"/>
      <c r="F4" s="194"/>
      <c r="G4" s="6"/>
      <c r="H4" s="6"/>
    </row>
    <row r="5" spans="1:8" ht="18.75" customHeight="1" x14ac:dyDescent="0.3">
      <c r="A5" s="195" t="s">
        <v>233</v>
      </c>
      <c r="B5" s="195"/>
      <c r="C5" s="195"/>
      <c r="D5" s="195"/>
      <c r="E5" s="195"/>
      <c r="F5" s="195"/>
      <c r="G5" s="6"/>
      <c r="H5" s="6"/>
    </row>
    <row r="6" spans="1:8" ht="18.75" customHeight="1" x14ac:dyDescent="0.3">
      <c r="A6" s="195" t="s">
        <v>234</v>
      </c>
      <c r="B6" s="195"/>
      <c r="C6" s="195"/>
      <c r="D6" s="195"/>
      <c r="E6" s="195"/>
      <c r="F6" s="195"/>
      <c r="G6" s="6"/>
      <c r="H6" s="6"/>
    </row>
    <row r="7" spans="1:8" ht="17.25" customHeight="1" x14ac:dyDescent="0.3">
      <c r="A7" s="195" t="s">
        <v>235</v>
      </c>
      <c r="B7" s="195"/>
      <c r="C7" s="195"/>
      <c r="D7" s="195"/>
      <c r="E7" s="195"/>
      <c r="F7" s="195"/>
      <c r="G7" s="6"/>
      <c r="H7" s="6"/>
    </row>
    <row r="8" spans="1:8" ht="15.75" customHeight="1" x14ac:dyDescent="0.3">
      <c r="A8" s="189" t="s">
        <v>236</v>
      </c>
      <c r="B8" s="189"/>
      <c r="C8" s="189"/>
      <c r="D8" s="189"/>
      <c r="E8" s="189"/>
      <c r="F8" s="189"/>
      <c r="G8" s="6"/>
      <c r="H8" s="6"/>
    </row>
    <row r="9" spans="1:8" ht="35.25" customHeight="1" x14ac:dyDescent="0.3">
      <c r="A9" s="196" t="s">
        <v>91</v>
      </c>
      <c r="B9" s="196"/>
      <c r="C9" s="196"/>
      <c r="D9" s="196"/>
      <c r="E9" s="196"/>
      <c r="F9" s="196"/>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197" t="s">
        <v>242</v>
      </c>
      <c r="B27" s="197"/>
      <c r="C27" s="197"/>
      <c r="D27" s="197"/>
      <c r="E27" s="197"/>
      <c r="F27" s="197"/>
      <c r="G27" s="6"/>
      <c r="H27" s="6"/>
    </row>
    <row r="28" spans="1:8" ht="28.5" customHeight="1" x14ac:dyDescent="0.3">
      <c r="A28" s="188" t="s">
        <v>243</v>
      </c>
      <c r="B28" s="188"/>
      <c r="C28" s="188"/>
      <c r="D28" s="188"/>
      <c r="E28" s="188"/>
      <c r="F28" s="188"/>
      <c r="G28" s="6"/>
      <c r="H28" s="6"/>
    </row>
    <row r="29" spans="1:8" ht="19.5" customHeight="1" x14ac:dyDescent="0.3">
      <c r="A29" s="188"/>
      <c r="B29" s="188"/>
      <c r="C29" s="188"/>
      <c r="D29" s="188"/>
      <c r="E29" s="188"/>
      <c r="F29" s="188"/>
      <c r="G29" s="6"/>
      <c r="H29" s="6"/>
    </row>
    <row r="30" spans="1:8" ht="20.25" customHeight="1" x14ac:dyDescent="0.25">
      <c r="A30" s="190" t="s">
        <v>238</v>
      </c>
      <c r="B30" s="190"/>
      <c r="C30" s="190"/>
      <c r="D30" s="190"/>
      <c r="E30" s="190"/>
      <c r="F30" s="190"/>
    </row>
    <row r="31" spans="1:8" ht="52.5" customHeight="1" x14ac:dyDescent="0.25">
      <c r="A31" s="189" t="s">
        <v>239</v>
      </c>
      <c r="B31" s="189"/>
      <c r="C31" s="189"/>
      <c r="D31" s="189"/>
      <c r="E31" s="189"/>
      <c r="F31" s="189"/>
    </row>
    <row r="32" spans="1:8" ht="21.75" customHeight="1" x14ac:dyDescent="0.25">
      <c r="A32" s="191" t="s">
        <v>31</v>
      </c>
      <c r="B32" s="191"/>
      <c r="C32" s="191"/>
      <c r="D32" s="191"/>
      <c r="E32" s="191"/>
      <c r="F32" s="191"/>
    </row>
    <row r="33" spans="1:6" ht="102.75" customHeight="1" x14ac:dyDescent="0.25">
      <c r="A33" s="189" t="s">
        <v>197</v>
      </c>
      <c r="B33" s="189"/>
      <c r="C33" s="189"/>
      <c r="D33" s="189"/>
      <c r="E33" s="189"/>
      <c r="F33" s="189"/>
    </row>
    <row r="34" spans="1:6" ht="17.25" customHeight="1" x14ac:dyDescent="0.25">
      <c r="A34" s="189" t="s">
        <v>38</v>
      </c>
      <c r="B34" s="189"/>
      <c r="C34" s="189"/>
      <c r="D34" s="189"/>
      <c r="E34" s="189"/>
      <c r="F34" s="189"/>
    </row>
    <row r="35" spans="1:6" ht="35.25" customHeight="1" x14ac:dyDescent="0.25">
      <c r="A35" s="189" t="s">
        <v>108</v>
      </c>
      <c r="B35" s="189"/>
      <c r="C35" s="189"/>
      <c r="D35" s="189"/>
      <c r="E35" s="189"/>
      <c r="F35" s="189"/>
    </row>
    <row r="36" spans="1:6" ht="35.25" customHeight="1" x14ac:dyDescent="0.25">
      <c r="A36" s="189" t="s">
        <v>196</v>
      </c>
      <c r="B36" s="189"/>
      <c r="C36" s="189"/>
      <c r="D36" s="189"/>
      <c r="E36" s="189"/>
      <c r="F36" s="189"/>
    </row>
    <row r="37" spans="1:6" ht="21.75" customHeight="1" x14ac:dyDescent="0.25">
      <c r="A37" s="189" t="s">
        <v>72</v>
      </c>
      <c r="B37" s="189"/>
      <c r="C37" s="189"/>
      <c r="D37" s="189"/>
      <c r="E37" s="189"/>
      <c r="F37" s="189"/>
    </row>
    <row r="38" spans="1:6" ht="84" customHeight="1" x14ac:dyDescent="0.25">
      <c r="A38" s="189" t="s">
        <v>195</v>
      </c>
      <c r="B38" s="189"/>
      <c r="C38" s="189"/>
      <c r="D38" s="189"/>
      <c r="E38" s="189"/>
      <c r="F38" s="189"/>
    </row>
    <row r="39" spans="1:6" s="67" customFormat="1" ht="65.25" customHeight="1" x14ac:dyDescent="0.25">
      <c r="A39" s="198" t="s">
        <v>113</v>
      </c>
      <c r="B39" s="198"/>
      <c r="C39" s="198"/>
      <c r="D39" s="198"/>
      <c r="E39" s="198"/>
      <c r="F39" s="198"/>
    </row>
    <row r="40" spans="1:6" ht="19.5" customHeight="1" x14ac:dyDescent="0.25">
      <c r="A40" s="189" t="s">
        <v>37</v>
      </c>
      <c r="B40" s="189"/>
      <c r="C40" s="189"/>
      <c r="D40" s="189"/>
      <c r="E40" s="189"/>
      <c r="F40" s="189"/>
    </row>
    <row r="41" spans="1:6" ht="17.25" customHeight="1" x14ac:dyDescent="0.25">
      <c r="A41" s="189" t="s">
        <v>70</v>
      </c>
      <c r="B41" s="189"/>
      <c r="C41" s="189"/>
      <c r="D41" s="189"/>
      <c r="E41" s="189"/>
      <c r="F41" s="189"/>
    </row>
    <row r="42" spans="1:6" ht="87" customHeight="1" x14ac:dyDescent="0.25">
      <c r="A42" s="189" t="s">
        <v>226</v>
      </c>
      <c r="B42" s="189"/>
      <c r="C42" s="189"/>
      <c r="D42" s="189"/>
      <c r="E42" s="189"/>
      <c r="F42" s="189"/>
    </row>
    <row r="43" spans="1:6" ht="19.5" customHeight="1" x14ac:dyDescent="0.25">
      <c r="A43" s="189" t="s">
        <v>72</v>
      </c>
      <c r="B43" s="189"/>
      <c r="C43" s="189"/>
      <c r="D43" s="189"/>
      <c r="E43" s="189"/>
      <c r="F43" s="189"/>
    </row>
    <row r="44" spans="1:6" ht="68.25" customHeight="1" x14ac:dyDescent="0.25">
      <c r="A44" s="189" t="s">
        <v>128</v>
      </c>
      <c r="B44" s="189"/>
      <c r="C44" s="189"/>
      <c r="D44" s="189"/>
      <c r="E44" s="189"/>
      <c r="F44" s="189"/>
    </row>
    <row r="45" spans="1:6" ht="12.75" customHeight="1" x14ac:dyDescent="0.25">
      <c r="A45" s="12"/>
      <c r="B45" s="12"/>
      <c r="C45" s="12"/>
      <c r="D45" s="12"/>
      <c r="E45" s="12"/>
      <c r="F45" s="10" t="s">
        <v>7</v>
      </c>
    </row>
    <row r="46" spans="1:6" s="19" customFormat="1" ht="24" customHeight="1" x14ac:dyDescent="0.2">
      <c r="A46" s="17" t="s">
        <v>1</v>
      </c>
      <c r="B46" s="203" t="s">
        <v>2</v>
      </c>
      <c r="C46" s="203"/>
      <c r="D46" s="17" t="s">
        <v>3</v>
      </c>
      <c r="E46" s="17" t="s">
        <v>4</v>
      </c>
      <c r="F46" s="17" t="s">
        <v>5</v>
      </c>
    </row>
    <row r="47" spans="1:6" s="26" customFormat="1" ht="15" customHeight="1" x14ac:dyDescent="0.25">
      <c r="A47" s="201" t="s">
        <v>30</v>
      </c>
      <c r="B47" s="199" t="s">
        <v>117</v>
      </c>
      <c r="C47" s="200"/>
      <c r="D47" s="33">
        <v>0</v>
      </c>
      <c r="E47" s="34">
        <v>720</v>
      </c>
      <c r="F47" s="35">
        <f t="shared" ref="F47:F60" si="1">SUM(D47:E47)</f>
        <v>720</v>
      </c>
    </row>
    <row r="48" spans="1:6" s="26" customFormat="1" ht="15" customHeight="1" x14ac:dyDescent="0.25">
      <c r="A48" s="204"/>
      <c r="B48" s="199" t="s">
        <v>95</v>
      </c>
      <c r="C48" s="200"/>
      <c r="D48" s="33">
        <v>91.1</v>
      </c>
      <c r="E48" s="34">
        <v>11.1</v>
      </c>
      <c r="F48" s="35">
        <f t="shared" si="1"/>
        <v>102.19999999999999</v>
      </c>
    </row>
    <row r="49" spans="1:8" s="26" customFormat="1" ht="15" customHeight="1" x14ac:dyDescent="0.25">
      <c r="A49" s="201" t="s">
        <v>8</v>
      </c>
      <c r="B49" s="199" t="s">
        <v>118</v>
      </c>
      <c r="C49" s="200"/>
      <c r="D49" s="33">
        <v>0</v>
      </c>
      <c r="E49" s="34">
        <v>815.7</v>
      </c>
      <c r="F49" s="35">
        <f t="shared" si="1"/>
        <v>815.7</v>
      </c>
    </row>
    <row r="50" spans="1:8" s="26" customFormat="1" ht="15" customHeight="1" x14ac:dyDescent="0.25">
      <c r="A50" s="202"/>
      <c r="B50" s="31" t="s">
        <v>69</v>
      </c>
      <c r="C50" s="32"/>
      <c r="D50" s="36">
        <v>873.6</v>
      </c>
      <c r="E50" s="34">
        <v>-816</v>
      </c>
      <c r="F50" s="35">
        <f t="shared" si="1"/>
        <v>57.600000000000023</v>
      </c>
    </row>
    <row r="51" spans="1:8" s="27" customFormat="1" ht="17.25" customHeight="1" x14ac:dyDescent="0.25">
      <c r="A51" s="202"/>
      <c r="B51" s="37" t="s">
        <v>103</v>
      </c>
      <c r="C51" s="38"/>
      <c r="D51" s="36">
        <v>5500</v>
      </c>
      <c r="E51" s="39">
        <v>407</v>
      </c>
      <c r="F51" s="35">
        <f>SUM(D51:E51)</f>
        <v>5907</v>
      </c>
    </row>
    <row r="52" spans="1:8" s="27" customFormat="1" ht="17.25" customHeight="1" x14ac:dyDescent="0.25">
      <c r="A52" s="201" t="s">
        <v>25</v>
      </c>
      <c r="B52" s="37" t="s">
        <v>107</v>
      </c>
      <c r="C52" s="38"/>
      <c r="D52" s="36">
        <v>161.60000000000002</v>
      </c>
      <c r="E52" s="39">
        <v>33.799999999999997</v>
      </c>
      <c r="F52" s="35">
        <f t="shared" si="1"/>
        <v>195.40000000000003</v>
      </c>
    </row>
    <row r="53" spans="1:8" s="27" customFormat="1" ht="17.25" customHeight="1" x14ac:dyDescent="0.25">
      <c r="A53" s="202"/>
      <c r="B53" s="37" t="s">
        <v>96</v>
      </c>
      <c r="C53" s="38"/>
      <c r="D53" s="39">
        <v>36.064360000000001</v>
      </c>
      <c r="E53" s="48">
        <f>0.15382+2.71139</f>
        <v>2.8652100000000003</v>
      </c>
      <c r="F53" s="35">
        <f t="shared" si="1"/>
        <v>38.929569999999998</v>
      </c>
    </row>
    <row r="54" spans="1:8" s="27" customFormat="1" ht="17.25" customHeight="1" x14ac:dyDescent="0.25">
      <c r="A54" s="202"/>
      <c r="B54" s="37" t="s">
        <v>51</v>
      </c>
      <c r="C54" s="38"/>
      <c r="D54" s="39">
        <v>7295.7725899999996</v>
      </c>
      <c r="E54" s="48">
        <f>30.76347+542.27756</f>
        <v>573.04102999999998</v>
      </c>
      <c r="F54" s="35">
        <f t="shared" si="1"/>
        <v>7868.8136199999999</v>
      </c>
    </row>
    <row r="55" spans="1:8" s="27" customFormat="1" ht="17.25" customHeight="1" x14ac:dyDescent="0.25">
      <c r="A55" s="202"/>
      <c r="B55" s="37" t="s">
        <v>102</v>
      </c>
      <c r="C55" s="38"/>
      <c r="D55" s="36">
        <v>11466</v>
      </c>
      <c r="E55" s="39">
        <v>372</v>
      </c>
      <c r="F55" s="35">
        <f t="shared" si="1"/>
        <v>11838</v>
      </c>
    </row>
    <row r="56" spans="1:8" s="27" customFormat="1" ht="17.25" customHeight="1" x14ac:dyDescent="0.25">
      <c r="A56" s="202"/>
      <c r="B56" s="37" t="s">
        <v>127</v>
      </c>
      <c r="C56" s="38"/>
      <c r="D56" s="36">
        <v>4629</v>
      </c>
      <c r="E56" s="39">
        <v>-1200</v>
      </c>
      <c r="F56" s="35">
        <f>SUM(D56:E56)</f>
        <v>3429</v>
      </c>
    </row>
    <row r="57" spans="1:8" s="27" customFormat="1" ht="17.25" customHeight="1" x14ac:dyDescent="0.25">
      <c r="A57" s="202"/>
      <c r="B57" s="37" t="s">
        <v>104</v>
      </c>
      <c r="C57" s="38"/>
      <c r="D57" s="36">
        <v>102613.5</v>
      </c>
      <c r="E57" s="39">
        <v>-7428</v>
      </c>
      <c r="F57" s="35">
        <f>SUM(D57:E57)</f>
        <v>95185.5</v>
      </c>
    </row>
    <row r="58" spans="1:8" s="27" customFormat="1" ht="17.25" customHeight="1" x14ac:dyDescent="0.25">
      <c r="A58" s="202"/>
      <c r="B58" s="37" t="s">
        <v>105</v>
      </c>
      <c r="C58" s="38"/>
      <c r="D58" s="36">
        <v>1459</v>
      </c>
      <c r="E58" s="39">
        <v>-100</v>
      </c>
      <c r="F58" s="35">
        <f>SUM(D58:E58)</f>
        <v>1359</v>
      </c>
    </row>
    <row r="59" spans="1:8" s="27" customFormat="1" ht="17.25" customHeight="1" x14ac:dyDescent="0.25">
      <c r="A59" s="202"/>
      <c r="B59" s="37" t="s">
        <v>106</v>
      </c>
      <c r="C59" s="38"/>
      <c r="D59" s="36">
        <v>52009</v>
      </c>
      <c r="E59" s="39">
        <v>300</v>
      </c>
      <c r="F59" s="35">
        <f>SUM(D59:E59)</f>
        <v>52309</v>
      </c>
    </row>
    <row r="60" spans="1:8" s="27" customFormat="1" ht="17.25" customHeight="1" x14ac:dyDescent="0.25">
      <c r="A60" s="204"/>
      <c r="B60" s="37" t="s">
        <v>114</v>
      </c>
      <c r="C60" s="38"/>
      <c r="D60" s="36">
        <v>1095</v>
      </c>
      <c r="E60" s="39">
        <v>100</v>
      </c>
      <c r="F60" s="35">
        <f t="shared" si="1"/>
        <v>1195</v>
      </c>
    </row>
    <row r="61" spans="1:8" ht="15" customHeight="1" x14ac:dyDescent="0.25">
      <c r="A61" s="7" t="s">
        <v>6</v>
      </c>
      <c r="B61" s="205"/>
      <c r="C61" s="205"/>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206" t="s">
        <v>29</v>
      </c>
      <c r="B63" s="206"/>
      <c r="C63" s="206"/>
      <c r="D63" s="206"/>
      <c r="E63" s="206"/>
      <c r="F63" s="206"/>
    </row>
    <row r="64" spans="1:8" ht="106.5" customHeight="1" x14ac:dyDescent="0.25">
      <c r="A64" s="207" t="s">
        <v>240</v>
      </c>
      <c r="B64" s="207"/>
      <c r="C64" s="207"/>
      <c r="D64" s="207"/>
      <c r="E64" s="207"/>
      <c r="F64" s="207"/>
    </row>
    <row r="65" spans="1:6" ht="65.25" customHeight="1" x14ac:dyDescent="0.25">
      <c r="A65" s="208" t="s">
        <v>198</v>
      </c>
      <c r="B65" s="207"/>
      <c r="C65" s="207"/>
      <c r="D65" s="207"/>
      <c r="E65" s="207"/>
      <c r="F65" s="207"/>
    </row>
    <row r="66" spans="1:6" ht="36.75" customHeight="1" x14ac:dyDescent="0.25">
      <c r="A66" s="208" t="s">
        <v>121</v>
      </c>
      <c r="B66" s="207"/>
      <c r="C66" s="207"/>
      <c r="D66" s="207"/>
      <c r="E66" s="207"/>
      <c r="F66" s="207"/>
    </row>
    <row r="67" spans="1:6" ht="68.25" customHeight="1" x14ac:dyDescent="0.25">
      <c r="A67" s="208" t="s">
        <v>171</v>
      </c>
      <c r="B67" s="208"/>
      <c r="C67" s="208"/>
      <c r="D67" s="208"/>
      <c r="E67" s="208"/>
      <c r="F67" s="208"/>
    </row>
    <row r="68" spans="1:6" ht="87.75" customHeight="1" x14ac:dyDescent="0.25">
      <c r="A68" s="208" t="s">
        <v>227</v>
      </c>
      <c r="B68" s="208"/>
      <c r="C68" s="208"/>
      <c r="D68" s="208"/>
      <c r="E68" s="208"/>
      <c r="F68" s="208"/>
    </row>
    <row r="69" spans="1:6" ht="20.25" customHeight="1" x14ac:dyDescent="0.25">
      <c r="A69" s="210" t="s">
        <v>32</v>
      </c>
      <c r="B69" s="210"/>
      <c r="C69" s="210"/>
      <c r="D69" s="210"/>
      <c r="E69" s="210"/>
      <c r="F69" s="210"/>
    </row>
    <row r="70" spans="1:6" ht="114" customHeight="1" x14ac:dyDescent="0.25">
      <c r="A70" s="209" t="s">
        <v>201</v>
      </c>
      <c r="B70" s="209"/>
      <c r="C70" s="209"/>
      <c r="D70" s="209"/>
      <c r="E70" s="209"/>
      <c r="F70" s="209"/>
    </row>
    <row r="71" spans="1:6" ht="71.25" customHeight="1" x14ac:dyDescent="0.25">
      <c r="A71" s="209" t="s">
        <v>190</v>
      </c>
      <c r="B71" s="209"/>
      <c r="C71" s="209"/>
      <c r="D71" s="209"/>
      <c r="E71" s="209"/>
      <c r="F71" s="209"/>
    </row>
    <row r="72" spans="1:6" ht="83.25" customHeight="1" x14ac:dyDescent="0.25">
      <c r="A72" s="209" t="s">
        <v>228</v>
      </c>
      <c r="B72" s="209"/>
      <c r="C72" s="209"/>
      <c r="D72" s="209"/>
      <c r="E72" s="209"/>
      <c r="F72" s="209"/>
    </row>
    <row r="73" spans="1:6" ht="38.25" customHeight="1" x14ac:dyDescent="0.25">
      <c r="A73" s="209" t="s">
        <v>191</v>
      </c>
      <c r="B73" s="209"/>
      <c r="C73" s="209"/>
      <c r="D73" s="209"/>
      <c r="E73" s="209"/>
      <c r="F73" s="209"/>
    </row>
    <row r="74" spans="1:6" ht="82.5" customHeight="1" x14ac:dyDescent="0.25">
      <c r="A74" s="209" t="s">
        <v>202</v>
      </c>
      <c r="B74" s="209"/>
      <c r="C74" s="209"/>
      <c r="D74" s="209"/>
      <c r="E74" s="209"/>
      <c r="F74" s="209"/>
    </row>
    <row r="75" spans="1:6" ht="18.75" customHeight="1" x14ac:dyDescent="0.25">
      <c r="A75" s="210" t="s">
        <v>35</v>
      </c>
      <c r="B75" s="210"/>
      <c r="C75" s="210"/>
      <c r="D75" s="210"/>
      <c r="E75" s="210"/>
      <c r="F75" s="210"/>
    </row>
    <row r="76" spans="1:6" ht="20.25" customHeight="1" x14ac:dyDescent="0.25">
      <c r="A76" s="209" t="s">
        <v>80</v>
      </c>
      <c r="B76" s="209"/>
      <c r="C76" s="209"/>
      <c r="D76" s="209"/>
      <c r="E76" s="209"/>
      <c r="F76" s="209"/>
    </row>
    <row r="77" spans="1:6" ht="87" customHeight="1" x14ac:dyDescent="0.25">
      <c r="A77" s="209" t="s">
        <v>186</v>
      </c>
      <c r="B77" s="209"/>
      <c r="C77" s="209"/>
      <c r="D77" s="209"/>
      <c r="E77" s="209"/>
      <c r="F77" s="209"/>
    </row>
    <row r="78" spans="1:6" ht="48" customHeight="1" x14ac:dyDescent="0.25">
      <c r="A78" s="209" t="s">
        <v>203</v>
      </c>
      <c r="B78" s="209"/>
      <c r="C78" s="209"/>
      <c r="D78" s="209"/>
      <c r="E78" s="209"/>
      <c r="F78" s="209"/>
    </row>
    <row r="79" spans="1:6" ht="48.75" customHeight="1" x14ac:dyDescent="0.25">
      <c r="A79" s="209" t="s">
        <v>126</v>
      </c>
      <c r="B79" s="209"/>
      <c r="C79" s="209"/>
      <c r="D79" s="209"/>
      <c r="E79" s="209"/>
      <c r="F79" s="209"/>
    </row>
    <row r="80" spans="1:6" ht="48.75" customHeight="1" x14ac:dyDescent="0.25">
      <c r="A80" s="209" t="s">
        <v>184</v>
      </c>
      <c r="B80" s="209"/>
      <c r="C80" s="209"/>
      <c r="D80" s="209"/>
      <c r="E80" s="209"/>
      <c r="F80" s="209"/>
    </row>
    <row r="81" spans="1:6" ht="48.75" customHeight="1" x14ac:dyDescent="0.25">
      <c r="A81" s="209" t="s">
        <v>204</v>
      </c>
      <c r="B81" s="209"/>
      <c r="C81" s="209"/>
      <c r="D81" s="209"/>
      <c r="E81" s="209"/>
      <c r="F81" s="209"/>
    </row>
    <row r="82" spans="1:6" ht="21" customHeight="1" x14ac:dyDescent="0.2">
      <c r="A82" s="211" t="s">
        <v>199</v>
      </c>
      <c r="B82" s="211"/>
      <c r="C82" s="211"/>
      <c r="D82" s="211"/>
      <c r="E82" s="211"/>
      <c r="F82" s="211"/>
    </row>
    <row r="83" spans="1:6" ht="20.25" customHeight="1" x14ac:dyDescent="0.25">
      <c r="A83" s="209" t="s">
        <v>80</v>
      </c>
      <c r="B83" s="209"/>
      <c r="C83" s="209"/>
      <c r="D83" s="209"/>
      <c r="E83" s="209"/>
      <c r="F83" s="209"/>
    </row>
    <row r="84" spans="1:6" ht="68.25" customHeight="1" x14ac:dyDescent="0.25">
      <c r="A84" s="208" t="s">
        <v>200</v>
      </c>
      <c r="B84" s="208"/>
      <c r="C84" s="208"/>
      <c r="D84" s="208"/>
      <c r="E84" s="208"/>
      <c r="F84" s="208"/>
    </row>
    <row r="85" spans="1:6" ht="24.75" hidden="1" customHeight="1" x14ac:dyDescent="0.25">
      <c r="A85" s="210" t="s">
        <v>85</v>
      </c>
      <c r="B85" s="210"/>
      <c r="C85" s="210"/>
      <c r="D85" s="210"/>
      <c r="E85" s="210"/>
      <c r="F85" s="210"/>
    </row>
    <row r="86" spans="1:6" ht="18" customHeight="1" x14ac:dyDescent="0.25">
      <c r="A86" s="207" t="s">
        <v>31</v>
      </c>
      <c r="B86" s="207"/>
      <c r="C86" s="207"/>
      <c r="D86" s="207"/>
      <c r="E86" s="207"/>
      <c r="F86" s="207"/>
    </row>
    <row r="87" spans="1:6" ht="32.25" customHeight="1" x14ac:dyDescent="0.3">
      <c r="A87" s="212" t="s">
        <v>129</v>
      </c>
      <c r="B87" s="212"/>
      <c r="C87" s="212"/>
      <c r="D87" s="212"/>
      <c r="E87" s="212"/>
      <c r="F87" s="212"/>
    </row>
    <row r="88" spans="1:6" ht="18" customHeight="1" x14ac:dyDescent="0.25">
      <c r="A88" s="47" t="s">
        <v>86</v>
      </c>
      <c r="B88" s="46"/>
      <c r="C88" s="46"/>
      <c r="D88" s="46"/>
      <c r="E88" s="46"/>
      <c r="F88" s="46"/>
    </row>
    <row r="89" spans="1:6" ht="36" customHeight="1" x14ac:dyDescent="0.25">
      <c r="A89" s="208" t="s">
        <v>130</v>
      </c>
      <c r="B89" s="208"/>
      <c r="C89" s="208"/>
      <c r="D89" s="208"/>
      <c r="E89" s="208"/>
      <c r="F89" s="208"/>
    </row>
    <row r="90" spans="1:6" ht="21" customHeight="1" x14ac:dyDescent="0.25">
      <c r="A90" s="208" t="s">
        <v>224</v>
      </c>
      <c r="B90" s="208"/>
      <c r="C90" s="208"/>
      <c r="D90" s="208"/>
      <c r="E90" s="208"/>
      <c r="F90" s="208"/>
    </row>
    <row r="91" spans="1:6" ht="21" customHeight="1" x14ac:dyDescent="0.25">
      <c r="A91" s="208" t="s">
        <v>131</v>
      </c>
      <c r="B91" s="208"/>
      <c r="C91" s="208"/>
      <c r="D91" s="208"/>
      <c r="E91" s="208"/>
      <c r="F91" s="208"/>
    </row>
    <row r="92" spans="1:6" ht="21" customHeight="1" x14ac:dyDescent="0.25">
      <c r="A92" s="208" t="s">
        <v>150</v>
      </c>
      <c r="B92" s="208"/>
      <c r="C92" s="208"/>
      <c r="D92" s="208"/>
      <c r="E92" s="208"/>
      <c r="F92" s="208"/>
    </row>
    <row r="93" spans="1:6" ht="21" customHeight="1" x14ac:dyDescent="0.25">
      <c r="A93" s="208" t="s">
        <v>132</v>
      </c>
      <c r="B93" s="208"/>
      <c r="C93" s="208"/>
      <c r="D93" s="208"/>
      <c r="E93" s="208"/>
      <c r="F93" s="208"/>
    </row>
    <row r="94" spans="1:6" ht="39" customHeight="1" x14ac:dyDescent="0.25">
      <c r="A94" s="208" t="s">
        <v>133</v>
      </c>
      <c r="B94" s="208"/>
      <c r="C94" s="208"/>
      <c r="D94" s="208"/>
      <c r="E94" s="208"/>
      <c r="F94" s="208"/>
    </row>
    <row r="95" spans="1:6" ht="72.75" customHeight="1" x14ac:dyDescent="0.25">
      <c r="A95" s="208" t="s">
        <v>229</v>
      </c>
      <c r="B95" s="208"/>
      <c r="C95" s="208"/>
      <c r="D95" s="208"/>
      <c r="E95" s="208"/>
      <c r="F95" s="208"/>
    </row>
    <row r="96" spans="1:6" ht="18" customHeight="1" x14ac:dyDescent="0.25">
      <c r="A96" s="47" t="s">
        <v>109</v>
      </c>
      <c r="B96" s="46"/>
      <c r="C96" s="46"/>
      <c r="D96" s="46"/>
      <c r="E96" s="46"/>
      <c r="F96" s="46"/>
    </row>
    <row r="97" spans="1:6" ht="21" customHeight="1" x14ac:dyDescent="0.25">
      <c r="A97" s="208" t="s">
        <v>134</v>
      </c>
      <c r="B97" s="208"/>
      <c r="C97" s="208"/>
      <c r="D97" s="208"/>
      <c r="E97" s="208"/>
      <c r="F97" s="208"/>
    </row>
    <row r="98" spans="1:6" ht="21" customHeight="1" x14ac:dyDescent="0.25">
      <c r="A98" s="208" t="s">
        <v>135</v>
      </c>
      <c r="B98" s="208"/>
      <c r="C98" s="208"/>
      <c r="D98" s="208"/>
      <c r="E98" s="208"/>
      <c r="F98" s="208"/>
    </row>
    <row r="99" spans="1:6" ht="18" customHeight="1" x14ac:dyDescent="0.25">
      <c r="A99" s="47" t="s">
        <v>34</v>
      </c>
      <c r="B99" s="46"/>
      <c r="C99" s="46"/>
      <c r="D99" s="46"/>
      <c r="E99" s="46"/>
      <c r="F99" s="46"/>
    </row>
    <row r="100" spans="1:6" ht="21" customHeight="1" x14ac:dyDescent="0.25">
      <c r="A100" s="208" t="s">
        <v>136</v>
      </c>
      <c r="B100" s="208"/>
      <c r="C100" s="208"/>
      <c r="D100" s="208"/>
      <c r="E100" s="208"/>
      <c r="F100" s="208"/>
    </row>
    <row r="101" spans="1:6" ht="18" customHeight="1" x14ac:dyDescent="0.25">
      <c r="A101" s="47" t="s">
        <v>14</v>
      </c>
      <c r="B101" s="46"/>
      <c r="C101" s="46"/>
      <c r="D101" s="46"/>
      <c r="E101" s="46"/>
      <c r="F101" s="46"/>
    </row>
    <row r="102" spans="1:6" ht="21" customHeight="1" x14ac:dyDescent="0.25">
      <c r="A102" s="208" t="s">
        <v>137</v>
      </c>
      <c r="B102" s="208"/>
      <c r="C102" s="208"/>
      <c r="D102" s="208"/>
      <c r="E102" s="208"/>
      <c r="F102" s="208"/>
    </row>
    <row r="103" spans="1:6" ht="21" customHeight="1" x14ac:dyDescent="0.25">
      <c r="A103" s="208" t="s">
        <v>225</v>
      </c>
      <c r="B103" s="208"/>
      <c r="C103" s="208"/>
      <c r="D103" s="208"/>
      <c r="E103" s="208"/>
      <c r="F103" s="208"/>
    </row>
    <row r="104" spans="1:6" ht="18" customHeight="1" x14ac:dyDescent="0.25">
      <c r="A104" s="47" t="s">
        <v>8</v>
      </c>
      <c r="B104" s="46"/>
      <c r="C104" s="46"/>
      <c r="D104" s="46"/>
      <c r="E104" s="46"/>
      <c r="F104" s="46"/>
    </row>
    <row r="105" spans="1:6" ht="21" customHeight="1" x14ac:dyDescent="0.25">
      <c r="A105" s="208" t="s">
        <v>143</v>
      </c>
      <c r="B105" s="208"/>
      <c r="C105" s="208"/>
      <c r="D105" s="208"/>
      <c r="E105" s="208"/>
      <c r="F105" s="208"/>
    </row>
    <row r="106" spans="1:6" ht="18" customHeight="1" x14ac:dyDescent="0.25">
      <c r="A106" s="47" t="s">
        <v>26</v>
      </c>
      <c r="B106" s="46"/>
      <c r="C106" s="46"/>
      <c r="D106" s="46"/>
      <c r="E106" s="46"/>
      <c r="F106" s="46"/>
    </row>
    <row r="107" spans="1:6" ht="21" customHeight="1" x14ac:dyDescent="0.25">
      <c r="A107" s="208" t="s">
        <v>138</v>
      </c>
      <c r="B107" s="208"/>
      <c r="C107" s="208"/>
      <c r="D107" s="208"/>
      <c r="E107" s="208"/>
      <c r="F107" s="208"/>
    </row>
    <row r="108" spans="1:6" ht="32.25" customHeight="1" x14ac:dyDescent="0.25">
      <c r="A108" s="208" t="s">
        <v>141</v>
      </c>
      <c r="B108" s="208"/>
      <c r="C108" s="208"/>
      <c r="D108" s="208"/>
      <c r="E108" s="208"/>
      <c r="F108" s="208"/>
    </row>
    <row r="109" spans="1:6" ht="21" customHeight="1" x14ac:dyDescent="0.25">
      <c r="A109" s="208" t="s">
        <v>139</v>
      </c>
      <c r="B109" s="208"/>
      <c r="C109" s="208"/>
      <c r="D109" s="208"/>
      <c r="E109" s="208"/>
      <c r="F109" s="208"/>
    </row>
    <row r="110" spans="1:6" ht="21" customHeight="1" x14ac:dyDescent="0.25">
      <c r="A110" s="208" t="s">
        <v>140</v>
      </c>
      <c r="B110" s="208"/>
      <c r="C110" s="208"/>
      <c r="D110" s="208"/>
      <c r="E110" s="208"/>
      <c r="F110" s="208"/>
    </row>
    <row r="111" spans="1:6" ht="18" customHeight="1" x14ac:dyDescent="0.3">
      <c r="A111" s="212" t="s">
        <v>87</v>
      </c>
      <c r="B111" s="212"/>
      <c r="C111" s="212"/>
      <c r="D111" s="212"/>
      <c r="E111" s="212"/>
      <c r="F111" s="212"/>
    </row>
    <row r="112" spans="1:6" ht="51" customHeight="1" x14ac:dyDescent="0.25">
      <c r="A112" s="213" t="s">
        <v>174</v>
      </c>
      <c r="B112" s="213"/>
      <c r="C112" s="213"/>
      <c r="D112" s="213"/>
      <c r="E112" s="213"/>
      <c r="F112" s="213"/>
    </row>
    <row r="113" spans="1:14" ht="18" customHeight="1" x14ac:dyDescent="0.3">
      <c r="A113" s="212" t="s">
        <v>81</v>
      </c>
      <c r="B113" s="212"/>
      <c r="C113" s="212"/>
      <c r="D113" s="212"/>
      <c r="E113" s="212"/>
      <c r="F113" s="212"/>
    </row>
    <row r="114" spans="1:14" s="68" customFormat="1" ht="18" customHeight="1" x14ac:dyDescent="0.25">
      <c r="A114" s="213" t="s">
        <v>86</v>
      </c>
      <c r="B114" s="213"/>
      <c r="C114" s="213"/>
      <c r="D114" s="213"/>
      <c r="E114" s="213"/>
      <c r="F114" s="213"/>
    </row>
    <row r="115" spans="1:14" ht="34.5" customHeight="1" x14ac:dyDescent="0.25">
      <c r="A115" s="213" t="s">
        <v>175</v>
      </c>
      <c r="B115" s="213"/>
      <c r="C115" s="213"/>
      <c r="D115" s="213"/>
      <c r="E115" s="213"/>
      <c r="F115" s="213"/>
    </row>
    <row r="116" spans="1:14" ht="18" customHeight="1" x14ac:dyDescent="0.3">
      <c r="A116" s="212" t="s">
        <v>194</v>
      </c>
      <c r="B116" s="212"/>
      <c r="C116" s="212"/>
      <c r="D116" s="212"/>
      <c r="E116" s="212"/>
      <c r="F116" s="212"/>
    </row>
    <row r="117" spans="1:14" s="68" customFormat="1" ht="18" customHeight="1" x14ac:dyDescent="0.25">
      <c r="A117" s="213" t="s">
        <v>230</v>
      </c>
      <c r="B117" s="213"/>
      <c r="C117" s="213"/>
      <c r="D117" s="213"/>
      <c r="E117" s="213"/>
      <c r="F117" s="213"/>
    </row>
    <row r="118" spans="1:14" ht="17.25" customHeight="1" x14ac:dyDescent="0.25">
      <c r="A118" s="213" t="s">
        <v>231</v>
      </c>
      <c r="B118" s="213"/>
      <c r="C118" s="213"/>
      <c r="D118" s="213"/>
      <c r="E118" s="213"/>
      <c r="F118" s="213"/>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203" t="s">
        <v>2</v>
      </c>
      <c r="C120" s="203"/>
      <c r="D120" s="17" t="s">
        <v>3</v>
      </c>
      <c r="E120" s="17" t="s">
        <v>4</v>
      </c>
      <c r="F120" s="17" t="s">
        <v>5</v>
      </c>
      <c r="M120" s="19"/>
      <c r="N120" s="19"/>
    </row>
    <row r="121" spans="1:14" ht="15.75" x14ac:dyDescent="0.25">
      <c r="A121" s="201" t="s">
        <v>30</v>
      </c>
      <c r="B121" s="37" t="s">
        <v>50</v>
      </c>
      <c r="C121" s="38"/>
      <c r="D121" s="36">
        <v>1217</v>
      </c>
      <c r="E121" s="39">
        <f>367.2+100</f>
        <v>467.2</v>
      </c>
      <c r="F121" s="35">
        <f t="shared" ref="F121:F194" si="2">SUM(D121:E121)</f>
        <v>1684.2</v>
      </c>
    </row>
    <row r="122" spans="1:14" ht="15.75" x14ac:dyDescent="0.25">
      <c r="A122" s="202"/>
      <c r="B122" s="37" t="s">
        <v>44</v>
      </c>
      <c r="C122" s="38"/>
      <c r="D122" s="36">
        <v>24010</v>
      </c>
      <c r="E122" s="39">
        <f>100+7079.8</f>
        <v>7179.8</v>
      </c>
      <c r="F122" s="35">
        <f>SUM(D122:E122)</f>
        <v>31189.8</v>
      </c>
    </row>
    <row r="123" spans="1:14" ht="15.75" x14ac:dyDescent="0.25">
      <c r="A123" s="202"/>
      <c r="B123" s="37" t="s">
        <v>45</v>
      </c>
      <c r="C123" s="38"/>
      <c r="D123" s="36">
        <v>13090.6</v>
      </c>
      <c r="E123" s="39">
        <f>-100-26.8-100-197.2</f>
        <v>-424</v>
      </c>
      <c r="F123" s="35">
        <f t="shared" si="2"/>
        <v>12666.6</v>
      </c>
    </row>
    <row r="124" spans="1:14" ht="15.75" x14ac:dyDescent="0.25">
      <c r="A124" s="202"/>
      <c r="B124" s="37" t="s">
        <v>61</v>
      </c>
      <c r="C124" s="38"/>
      <c r="D124" s="36">
        <v>278.7</v>
      </c>
      <c r="E124" s="39">
        <f>26.8+97.2</f>
        <v>124</v>
      </c>
      <c r="F124" s="35">
        <f t="shared" si="2"/>
        <v>402.7</v>
      </c>
    </row>
    <row r="125" spans="1:14" ht="15.75" x14ac:dyDescent="0.25">
      <c r="A125" s="202"/>
      <c r="B125" s="37" t="s">
        <v>82</v>
      </c>
      <c r="C125" s="38"/>
      <c r="D125" s="36">
        <v>2345.6</v>
      </c>
      <c r="E125" s="39">
        <f>313-84.6</f>
        <v>228.4</v>
      </c>
      <c r="F125" s="35">
        <f>SUM(D125:E125)</f>
        <v>2574</v>
      </c>
    </row>
    <row r="126" spans="1:14" ht="15.75" x14ac:dyDescent="0.25">
      <c r="A126" s="202"/>
      <c r="B126" s="37" t="s">
        <v>169</v>
      </c>
      <c r="C126" s="38"/>
      <c r="D126" s="36">
        <v>182.9</v>
      </c>
      <c r="E126" s="39">
        <v>100</v>
      </c>
      <c r="F126" s="35">
        <f>SUM(D126:E126)</f>
        <v>282.89999999999998</v>
      </c>
    </row>
    <row r="127" spans="1:14" ht="15.75" x14ac:dyDescent="0.25">
      <c r="A127" s="202"/>
      <c r="B127" s="37" t="s">
        <v>57</v>
      </c>
      <c r="C127" s="38"/>
      <c r="D127" s="36">
        <v>4447.6000000000004</v>
      </c>
      <c r="E127" s="39">
        <v>219.6</v>
      </c>
      <c r="F127" s="35">
        <f t="shared" si="2"/>
        <v>4667.2000000000007</v>
      </c>
    </row>
    <row r="128" spans="1:14" ht="15.75" x14ac:dyDescent="0.25">
      <c r="A128" s="202"/>
      <c r="B128" s="37" t="s">
        <v>83</v>
      </c>
      <c r="C128" s="38"/>
      <c r="D128" s="36">
        <v>679</v>
      </c>
      <c r="E128" s="39">
        <v>64.5</v>
      </c>
      <c r="F128" s="35">
        <f>SUM(D128:E128)</f>
        <v>743.5</v>
      </c>
    </row>
    <row r="129" spans="1:14" ht="15.75" x14ac:dyDescent="0.25">
      <c r="A129" s="202"/>
      <c r="B129" s="37" t="s">
        <v>151</v>
      </c>
      <c r="C129" s="38"/>
      <c r="D129" s="36">
        <v>5167.7</v>
      </c>
      <c r="E129" s="39">
        <v>1543.8</v>
      </c>
      <c r="F129" s="35">
        <f>SUM(D129:E129)</f>
        <v>6711.5</v>
      </c>
    </row>
    <row r="130" spans="1:14" ht="15.75" x14ac:dyDescent="0.25">
      <c r="A130" s="202"/>
      <c r="B130" s="37" t="s">
        <v>64</v>
      </c>
      <c r="C130" s="38"/>
      <c r="D130" s="36">
        <v>9430.1</v>
      </c>
      <c r="E130" s="39">
        <v>4609.7</v>
      </c>
      <c r="F130" s="35">
        <f>SUM(D130:E130)</f>
        <v>14039.8</v>
      </c>
    </row>
    <row r="131" spans="1:14" ht="15.75" x14ac:dyDescent="0.25">
      <c r="A131" s="202"/>
      <c r="B131" s="37" t="s">
        <v>92</v>
      </c>
      <c r="C131" s="38"/>
      <c r="D131" s="36">
        <v>525.1</v>
      </c>
      <c r="E131" s="39">
        <f>21.5+30</f>
        <v>51.5</v>
      </c>
      <c r="F131" s="35">
        <f t="shared" si="2"/>
        <v>576.6</v>
      </c>
    </row>
    <row r="132" spans="1:14" ht="15.75" x14ac:dyDescent="0.25">
      <c r="A132" s="202"/>
      <c r="B132" s="37" t="s">
        <v>187</v>
      </c>
      <c r="C132" s="38"/>
      <c r="D132" s="36">
        <v>154.5</v>
      </c>
      <c r="E132" s="39">
        <v>-30</v>
      </c>
      <c r="F132" s="35">
        <f t="shared" ref="F132:F137" si="3">SUM(D132:E132)</f>
        <v>124.5</v>
      </c>
    </row>
    <row r="133" spans="1:14" ht="15.75" x14ac:dyDescent="0.25">
      <c r="A133" s="202"/>
      <c r="B133" s="37" t="s">
        <v>188</v>
      </c>
      <c r="C133" s="38"/>
      <c r="D133" s="36">
        <v>52</v>
      </c>
      <c r="E133" s="39">
        <v>-52</v>
      </c>
      <c r="F133" s="35">
        <f t="shared" si="3"/>
        <v>0</v>
      </c>
    </row>
    <row r="134" spans="1:14" ht="15.75" x14ac:dyDescent="0.25">
      <c r="A134" s="202"/>
      <c r="B134" s="37" t="s">
        <v>189</v>
      </c>
      <c r="C134" s="38"/>
      <c r="D134" s="36">
        <v>0</v>
      </c>
      <c r="E134" s="39">
        <v>52</v>
      </c>
      <c r="F134" s="35">
        <f t="shared" si="3"/>
        <v>52</v>
      </c>
    </row>
    <row r="135" spans="1:14" ht="15.75" x14ac:dyDescent="0.25">
      <c r="A135" s="202"/>
      <c r="B135" s="37" t="s">
        <v>149</v>
      </c>
      <c r="C135" s="38"/>
      <c r="D135" s="36">
        <v>2888</v>
      </c>
      <c r="E135" s="39">
        <v>849</v>
      </c>
      <c r="F135" s="35">
        <f t="shared" si="3"/>
        <v>3737</v>
      </c>
    </row>
    <row r="136" spans="1:14" ht="15.75" x14ac:dyDescent="0.25">
      <c r="A136" s="202"/>
      <c r="B136" s="37" t="s">
        <v>98</v>
      </c>
      <c r="C136" s="38"/>
      <c r="D136" s="36">
        <v>21.5</v>
      </c>
      <c r="E136" s="39">
        <v>-21.5</v>
      </c>
      <c r="F136" s="35">
        <f t="shared" si="3"/>
        <v>0</v>
      </c>
    </row>
    <row r="137" spans="1:14" ht="15.75" x14ac:dyDescent="0.25">
      <c r="A137" s="202"/>
      <c r="B137" s="37" t="s">
        <v>173</v>
      </c>
      <c r="C137" s="38"/>
      <c r="D137" s="36">
        <v>1966.3</v>
      </c>
      <c r="E137" s="39">
        <v>-797.6</v>
      </c>
      <c r="F137" s="35">
        <f t="shared" si="3"/>
        <v>1168.6999999999998</v>
      </c>
    </row>
    <row r="138" spans="1:14" s="11" customFormat="1" ht="15.75" x14ac:dyDescent="0.25">
      <c r="A138" s="202"/>
      <c r="B138" s="37" t="s">
        <v>68</v>
      </c>
      <c r="C138" s="38"/>
      <c r="D138" s="36">
        <v>25694.500000000004</v>
      </c>
      <c r="E138" s="39">
        <f>-3000-45</f>
        <v>-3045</v>
      </c>
      <c r="F138" s="35">
        <f t="shared" si="2"/>
        <v>22649.500000000004</v>
      </c>
      <c r="M138" s="5"/>
      <c r="N138" s="5"/>
    </row>
    <row r="139" spans="1:14" s="11" customFormat="1" ht="15.75" x14ac:dyDescent="0.25">
      <c r="A139" s="202"/>
      <c r="B139" s="37" t="s">
        <v>56</v>
      </c>
      <c r="C139" s="38"/>
      <c r="D139" s="36">
        <v>28130.7</v>
      </c>
      <c r="E139" s="39">
        <f>3000+1500</f>
        <v>4500</v>
      </c>
      <c r="F139" s="35">
        <f t="shared" si="2"/>
        <v>32630.7</v>
      </c>
      <c r="M139" s="5"/>
      <c r="N139" s="5"/>
    </row>
    <row r="140" spans="1:14" s="11" customFormat="1" ht="15.75" x14ac:dyDescent="0.25">
      <c r="A140" s="202"/>
      <c r="B140" s="37" t="s">
        <v>172</v>
      </c>
      <c r="C140" s="38"/>
      <c r="D140" s="36">
        <v>0</v>
      </c>
      <c r="E140" s="39">
        <v>45</v>
      </c>
      <c r="F140" s="35">
        <f>SUM(D140:E140)</f>
        <v>45</v>
      </c>
      <c r="M140" s="5"/>
      <c r="N140" s="5"/>
    </row>
    <row r="141" spans="1:14" ht="15.75" x14ac:dyDescent="0.25">
      <c r="A141" s="202"/>
      <c r="B141" s="37" t="s">
        <v>58</v>
      </c>
      <c r="C141" s="38"/>
      <c r="D141" s="36">
        <v>150</v>
      </c>
      <c r="E141" s="39">
        <v>-62.5</v>
      </c>
      <c r="F141" s="35">
        <f t="shared" si="2"/>
        <v>87.5</v>
      </c>
      <c r="M141" s="11"/>
    </row>
    <row r="142" spans="1:14" ht="15.75" x14ac:dyDescent="0.25">
      <c r="A142" s="202"/>
      <c r="B142" s="37" t="s">
        <v>62</v>
      </c>
      <c r="C142" s="38"/>
      <c r="D142" s="36">
        <v>0.30000000000000004</v>
      </c>
      <c r="E142" s="39">
        <v>0.3</v>
      </c>
      <c r="F142" s="35">
        <f t="shared" si="2"/>
        <v>0.60000000000000009</v>
      </c>
      <c r="M142" s="11"/>
    </row>
    <row r="143" spans="1:14" ht="15.75" x14ac:dyDescent="0.25">
      <c r="A143" s="202"/>
      <c r="B143" s="37" t="s">
        <v>63</v>
      </c>
      <c r="C143" s="38"/>
      <c r="D143" s="36">
        <v>54.8</v>
      </c>
      <c r="E143" s="39">
        <v>62.2</v>
      </c>
      <c r="F143" s="35">
        <f>SUM(D143:E143)</f>
        <v>117</v>
      </c>
      <c r="M143" s="11"/>
    </row>
    <row r="144" spans="1:14" ht="15.75" x14ac:dyDescent="0.25">
      <c r="A144" s="216" t="s">
        <v>109</v>
      </c>
      <c r="B144" s="69" t="s">
        <v>110</v>
      </c>
      <c r="C144" s="70"/>
      <c r="D144" s="36">
        <v>1225.4000000000001</v>
      </c>
      <c r="E144" s="39">
        <f>-332.9967-84.9794+27.62326</f>
        <v>-390.35283999999996</v>
      </c>
      <c r="F144" s="35">
        <f t="shared" si="2"/>
        <v>835.04716000000008</v>
      </c>
      <c r="M144" s="11"/>
    </row>
    <row r="145" spans="1:13" ht="15.75" x14ac:dyDescent="0.25">
      <c r="A145" s="216"/>
      <c r="B145" s="69" t="s">
        <v>111</v>
      </c>
      <c r="C145" s="70"/>
      <c r="D145" s="36">
        <v>10</v>
      </c>
      <c r="E145" s="39">
        <v>-1</v>
      </c>
      <c r="F145" s="35">
        <f t="shared" si="2"/>
        <v>9</v>
      </c>
      <c r="M145" s="11"/>
    </row>
    <row r="146" spans="1:13" ht="15.75" x14ac:dyDescent="0.25">
      <c r="A146" s="216"/>
      <c r="B146" s="69" t="s">
        <v>112</v>
      </c>
      <c r="C146" s="70"/>
      <c r="D146" s="36">
        <v>0</v>
      </c>
      <c r="E146" s="39">
        <f>332.9967+84.9794+1-27.62326</f>
        <v>391.35283999999996</v>
      </c>
      <c r="F146" s="35">
        <f t="shared" si="2"/>
        <v>391.35283999999996</v>
      </c>
      <c r="M146" s="11"/>
    </row>
    <row r="147" spans="1:13" ht="15.75" x14ac:dyDescent="0.25">
      <c r="A147" s="216"/>
      <c r="B147" s="69" t="s">
        <v>147</v>
      </c>
      <c r="C147" s="70"/>
      <c r="D147" s="36">
        <v>6150.1</v>
      </c>
      <c r="E147" s="39">
        <v>1301.5</v>
      </c>
      <c r="F147" s="35">
        <f t="shared" si="2"/>
        <v>7451.6</v>
      </c>
      <c r="M147" s="11"/>
    </row>
    <row r="148" spans="1:13" ht="15.75" x14ac:dyDescent="0.25">
      <c r="A148" s="216"/>
      <c r="B148" s="69" t="s">
        <v>148</v>
      </c>
      <c r="C148" s="70"/>
      <c r="D148" s="36">
        <v>717.4</v>
      </c>
      <c r="E148" s="39">
        <v>213.7</v>
      </c>
      <c r="F148" s="35">
        <f t="shared" si="2"/>
        <v>931.09999999999991</v>
      </c>
      <c r="M148" s="11"/>
    </row>
    <row r="149" spans="1:13" ht="15.75" x14ac:dyDescent="0.25">
      <c r="A149" s="216" t="s">
        <v>34</v>
      </c>
      <c r="B149" s="69" t="s">
        <v>122</v>
      </c>
      <c r="C149" s="70"/>
      <c r="D149" s="36">
        <v>1000</v>
      </c>
      <c r="E149" s="39">
        <v>-200</v>
      </c>
      <c r="F149" s="35">
        <f t="shared" si="2"/>
        <v>800</v>
      </c>
      <c r="M149" s="11"/>
    </row>
    <row r="150" spans="1:13" ht="15.75" x14ac:dyDescent="0.25">
      <c r="A150" s="216"/>
      <c r="B150" s="217" t="s">
        <v>123</v>
      </c>
      <c r="C150" s="218"/>
      <c r="D150" s="36">
        <v>500.6</v>
      </c>
      <c r="E150" s="39">
        <v>-400</v>
      </c>
      <c r="F150" s="35">
        <f t="shared" si="2"/>
        <v>100.60000000000002</v>
      </c>
      <c r="M150" s="11"/>
    </row>
    <row r="151" spans="1:13" ht="15.75" x14ac:dyDescent="0.25">
      <c r="A151" s="216"/>
      <c r="B151" s="214" t="s">
        <v>125</v>
      </c>
      <c r="C151" s="215"/>
      <c r="D151" s="36">
        <v>100</v>
      </c>
      <c r="E151" s="39">
        <v>900</v>
      </c>
      <c r="F151" s="35">
        <f t="shared" si="2"/>
        <v>1000</v>
      </c>
      <c r="M151" s="11"/>
    </row>
    <row r="152" spans="1:13" ht="15.75" x14ac:dyDescent="0.25">
      <c r="A152" s="216"/>
      <c r="B152" s="214" t="s">
        <v>152</v>
      </c>
      <c r="C152" s="215"/>
      <c r="D152" s="36">
        <v>5203.1000000000004</v>
      </c>
      <c r="E152" s="39">
        <v>1554.3</v>
      </c>
      <c r="F152" s="35">
        <f>SUM(D152:E152)</f>
        <v>6757.4000000000005</v>
      </c>
      <c r="M152" s="11"/>
    </row>
    <row r="153" spans="1:13" ht="15.75" x14ac:dyDescent="0.25">
      <c r="A153" s="216"/>
      <c r="B153" s="214" t="s">
        <v>192</v>
      </c>
      <c r="C153" s="215"/>
      <c r="D153" s="36">
        <v>650.9</v>
      </c>
      <c r="E153" s="39">
        <v>220</v>
      </c>
      <c r="F153" s="35">
        <f>SUM(D153:E153)</f>
        <v>870.9</v>
      </c>
      <c r="M153" s="11"/>
    </row>
    <row r="154" spans="1:13" ht="15.75" x14ac:dyDescent="0.25">
      <c r="A154" s="216"/>
      <c r="B154" s="214" t="s">
        <v>124</v>
      </c>
      <c r="C154" s="215"/>
      <c r="D154" s="36">
        <v>1000</v>
      </c>
      <c r="E154" s="39">
        <f>-300-220</f>
        <v>-520</v>
      </c>
      <c r="F154" s="35">
        <f t="shared" si="2"/>
        <v>480</v>
      </c>
      <c r="M154" s="11"/>
    </row>
    <row r="155" spans="1:13" s="11" customFormat="1" ht="15.75" x14ac:dyDescent="0.25">
      <c r="A155" s="201" t="s">
        <v>8</v>
      </c>
      <c r="B155" s="37" t="s">
        <v>180</v>
      </c>
      <c r="C155" s="38"/>
      <c r="D155" s="39">
        <v>7844</v>
      </c>
      <c r="E155" s="39">
        <v>374.3</v>
      </c>
      <c r="F155" s="40">
        <f>SUM(D155:E155)</f>
        <v>8218.2999999999993</v>
      </c>
      <c r="M155" s="5"/>
    </row>
    <row r="156" spans="1:13" s="11" customFormat="1" ht="15.75" x14ac:dyDescent="0.25">
      <c r="A156" s="202"/>
      <c r="B156" s="37" t="s">
        <v>119</v>
      </c>
      <c r="C156" s="38"/>
      <c r="D156" s="39">
        <v>7847.2</v>
      </c>
      <c r="E156" s="39">
        <v>-82</v>
      </c>
      <c r="F156" s="40">
        <f t="shared" si="2"/>
        <v>7765.2</v>
      </c>
      <c r="M156" s="5"/>
    </row>
    <row r="157" spans="1:13" s="11" customFormat="1" ht="15.75" x14ac:dyDescent="0.25">
      <c r="A157" s="202"/>
      <c r="B157" s="37" t="s">
        <v>181</v>
      </c>
      <c r="C157" s="38"/>
      <c r="D157" s="39">
        <v>7765.2</v>
      </c>
      <c r="E157" s="39">
        <f>-374.3+30-5</f>
        <v>-349.3</v>
      </c>
      <c r="F157" s="40">
        <f t="shared" si="2"/>
        <v>7415.9</v>
      </c>
      <c r="M157" s="5"/>
    </row>
    <row r="158" spans="1:13" s="11" customFormat="1" ht="15.75" x14ac:dyDescent="0.25">
      <c r="A158" s="202"/>
      <c r="B158" s="37" t="s">
        <v>120</v>
      </c>
      <c r="C158" s="38"/>
      <c r="D158" s="39">
        <v>0</v>
      </c>
      <c r="E158" s="39">
        <v>82</v>
      </c>
      <c r="F158" s="40">
        <f t="shared" si="2"/>
        <v>82</v>
      </c>
      <c r="M158" s="5"/>
    </row>
    <row r="159" spans="1:13" s="11" customFormat="1" ht="15.75" x14ac:dyDescent="0.25">
      <c r="A159" s="202"/>
      <c r="B159" s="37" t="s">
        <v>43</v>
      </c>
      <c r="C159" s="38"/>
      <c r="D159" s="39">
        <v>56365.4</v>
      </c>
      <c r="E159" s="39">
        <f>-310+300+485+20</f>
        <v>495</v>
      </c>
      <c r="F159" s="40">
        <f t="shared" si="2"/>
        <v>56860.4</v>
      </c>
      <c r="M159" s="5"/>
    </row>
    <row r="160" spans="1:13" s="11" customFormat="1" ht="15.75" x14ac:dyDescent="0.25">
      <c r="A160" s="202"/>
      <c r="B160" s="37" t="s">
        <v>185</v>
      </c>
      <c r="C160" s="38"/>
      <c r="D160" s="39">
        <v>97199.6</v>
      </c>
      <c r="E160" s="39">
        <v>-230</v>
      </c>
      <c r="F160" s="40">
        <f t="shared" ref="F160:F170" si="4">SUM(D160:E160)</f>
        <v>96969.600000000006</v>
      </c>
      <c r="M160" s="5"/>
    </row>
    <row r="161" spans="1:13" s="11" customFormat="1" ht="15.75" x14ac:dyDescent="0.25">
      <c r="A161" s="202"/>
      <c r="B161" s="37" t="s">
        <v>178</v>
      </c>
      <c r="C161" s="38"/>
      <c r="D161" s="39">
        <v>10876.8</v>
      </c>
      <c r="E161" s="39">
        <f>250-15</f>
        <v>235</v>
      </c>
      <c r="F161" s="40">
        <f t="shared" si="4"/>
        <v>11111.8</v>
      </c>
      <c r="M161" s="5"/>
    </row>
    <row r="162" spans="1:13" s="11" customFormat="1" ht="15.75" x14ac:dyDescent="0.25">
      <c r="A162" s="202"/>
      <c r="B162" s="37" t="s">
        <v>39</v>
      </c>
      <c r="C162" s="38"/>
      <c r="D162" s="39">
        <v>15547.7</v>
      </c>
      <c r="E162" s="39">
        <v>-80</v>
      </c>
      <c r="F162" s="40">
        <f t="shared" si="4"/>
        <v>15467.7</v>
      </c>
      <c r="M162" s="5"/>
    </row>
    <row r="163" spans="1:13" s="11" customFormat="1" ht="15.75" x14ac:dyDescent="0.25">
      <c r="A163" s="202"/>
      <c r="B163" s="37" t="s">
        <v>183</v>
      </c>
      <c r="C163" s="38"/>
      <c r="D163" s="39">
        <v>2004</v>
      </c>
      <c r="E163" s="39">
        <v>80</v>
      </c>
      <c r="F163" s="40">
        <f t="shared" si="4"/>
        <v>2084</v>
      </c>
      <c r="M163" s="5"/>
    </row>
    <row r="164" spans="1:13" s="11" customFormat="1" ht="15.75" x14ac:dyDescent="0.25">
      <c r="A164" s="202"/>
      <c r="B164" s="37" t="s">
        <v>179</v>
      </c>
      <c r="C164" s="38"/>
      <c r="D164" s="39">
        <v>13462.5</v>
      </c>
      <c r="E164" s="39">
        <f>60-35</f>
        <v>25</v>
      </c>
      <c r="F164" s="40">
        <f t="shared" si="4"/>
        <v>13487.5</v>
      </c>
      <c r="M164" s="5"/>
    </row>
    <row r="165" spans="1:13" s="11" customFormat="1" ht="15.75" x14ac:dyDescent="0.25">
      <c r="A165" s="202"/>
      <c r="B165" s="37" t="s">
        <v>52</v>
      </c>
      <c r="C165" s="38"/>
      <c r="D165" s="39">
        <v>295.89999999999998</v>
      </c>
      <c r="E165" s="39">
        <v>45</v>
      </c>
      <c r="F165" s="35">
        <f t="shared" si="4"/>
        <v>340.9</v>
      </c>
      <c r="M165" s="5"/>
    </row>
    <row r="166" spans="1:13" ht="15.75" x14ac:dyDescent="0.25">
      <c r="A166" s="202"/>
      <c r="B166" s="214" t="s">
        <v>142</v>
      </c>
      <c r="C166" s="215"/>
      <c r="D166" s="36">
        <v>2640.2</v>
      </c>
      <c r="E166" s="39">
        <v>670.6</v>
      </c>
      <c r="F166" s="40">
        <f t="shared" si="4"/>
        <v>3310.7999999999997</v>
      </c>
    </row>
    <row r="167" spans="1:13" ht="15.75" x14ac:dyDescent="0.25">
      <c r="A167" s="202"/>
      <c r="B167" s="214" t="s">
        <v>177</v>
      </c>
      <c r="C167" s="215"/>
      <c r="D167" s="36">
        <v>4080.5</v>
      </c>
      <c r="E167" s="39">
        <v>1</v>
      </c>
      <c r="F167" s="40">
        <f t="shared" si="4"/>
        <v>4081.5</v>
      </c>
    </row>
    <row r="168" spans="1:13" ht="15.75" x14ac:dyDescent="0.25">
      <c r="A168" s="202"/>
      <c r="B168" s="214" t="s">
        <v>176</v>
      </c>
      <c r="C168" s="215"/>
      <c r="D168" s="36">
        <v>397</v>
      </c>
      <c r="E168" s="39">
        <v>-1</v>
      </c>
      <c r="F168" s="40">
        <f t="shared" si="4"/>
        <v>396</v>
      </c>
    </row>
    <row r="169" spans="1:13" ht="15.75" x14ac:dyDescent="0.25">
      <c r="A169" s="204"/>
      <c r="B169" s="214" t="s">
        <v>182</v>
      </c>
      <c r="C169" s="215"/>
      <c r="D169" s="36">
        <v>29401.1</v>
      </c>
      <c r="E169" s="39">
        <f>-300-250</f>
        <v>-550</v>
      </c>
      <c r="F169" s="40">
        <f t="shared" si="4"/>
        <v>28851.1</v>
      </c>
    </row>
    <row r="170" spans="1:13" ht="16.5" customHeight="1" x14ac:dyDescent="0.25">
      <c r="A170" s="216" t="s">
        <v>14</v>
      </c>
      <c r="B170" s="214" t="s">
        <v>54</v>
      </c>
      <c r="C170" s="215"/>
      <c r="D170" s="36">
        <v>16574.900000000001</v>
      </c>
      <c r="E170" s="39">
        <v>-16</v>
      </c>
      <c r="F170" s="35">
        <f t="shared" si="4"/>
        <v>16558.900000000001</v>
      </c>
    </row>
    <row r="171" spans="1:13" ht="15.75" x14ac:dyDescent="0.25">
      <c r="A171" s="216"/>
      <c r="B171" s="214" t="s">
        <v>40</v>
      </c>
      <c r="C171" s="215"/>
      <c r="D171" s="36">
        <v>31658.2</v>
      </c>
      <c r="E171" s="39">
        <f>758.1+15.6+84.6+1675.9</f>
        <v>2534.2000000000003</v>
      </c>
      <c r="F171" s="35">
        <f t="shared" si="2"/>
        <v>34192.400000000001</v>
      </c>
    </row>
    <row r="172" spans="1:13" ht="15.75" x14ac:dyDescent="0.25">
      <c r="A172" s="216"/>
      <c r="B172" s="214" t="s">
        <v>42</v>
      </c>
      <c r="C172" s="215"/>
      <c r="D172" s="36">
        <v>2042.0000000000002</v>
      </c>
      <c r="E172" s="39">
        <f>47.2+2.2+104.5</f>
        <v>153.9</v>
      </c>
      <c r="F172" s="35">
        <f t="shared" si="2"/>
        <v>2195.9</v>
      </c>
    </row>
    <row r="173" spans="1:13" ht="15.75" x14ac:dyDescent="0.25">
      <c r="A173" s="216"/>
      <c r="B173" s="37" t="s">
        <v>53</v>
      </c>
      <c r="C173" s="38"/>
      <c r="D173" s="36">
        <v>10560.5</v>
      </c>
      <c r="E173" s="39">
        <f>269.6-1.8+596</f>
        <v>863.8</v>
      </c>
      <c r="F173" s="35">
        <f t="shared" si="2"/>
        <v>11424.3</v>
      </c>
    </row>
    <row r="174" spans="1:13" ht="15.75" x14ac:dyDescent="0.25">
      <c r="A174" s="216"/>
      <c r="B174" s="214" t="s">
        <v>73</v>
      </c>
      <c r="C174" s="215"/>
      <c r="D174" s="36">
        <v>731.69999999999993</v>
      </c>
      <c r="E174" s="39">
        <v>213.6</v>
      </c>
      <c r="F174" s="35">
        <f t="shared" si="2"/>
        <v>945.3</v>
      </c>
    </row>
    <row r="175" spans="1:13" ht="15.75" x14ac:dyDescent="0.25">
      <c r="A175" s="216"/>
      <c r="B175" s="214" t="s">
        <v>41</v>
      </c>
      <c r="C175" s="215"/>
      <c r="D175" s="36">
        <v>1922.9</v>
      </c>
      <c r="E175" s="39">
        <f>55.6+120.7</f>
        <v>176.3</v>
      </c>
      <c r="F175" s="35">
        <f t="shared" si="2"/>
        <v>2099.2000000000003</v>
      </c>
    </row>
    <row r="176" spans="1:13" ht="15.75" hidden="1" customHeight="1" x14ac:dyDescent="0.25">
      <c r="A176" s="71"/>
      <c r="B176" s="214" t="s">
        <v>74</v>
      </c>
      <c r="C176" s="215"/>
      <c r="D176" s="36">
        <v>0</v>
      </c>
      <c r="E176" s="39"/>
      <c r="F176" s="35">
        <f t="shared" si="2"/>
        <v>0</v>
      </c>
    </row>
    <row r="177" spans="1:6" ht="15.75" x14ac:dyDescent="0.25">
      <c r="A177" s="201" t="s">
        <v>25</v>
      </c>
      <c r="B177" s="214" t="s">
        <v>116</v>
      </c>
      <c r="C177" s="215"/>
      <c r="D177" s="39">
        <v>16</v>
      </c>
      <c r="E177" s="39">
        <v>1.22</v>
      </c>
      <c r="F177" s="35">
        <f t="shared" si="2"/>
        <v>17.22</v>
      </c>
    </row>
    <row r="178" spans="1:6" ht="15.75" x14ac:dyDescent="0.25">
      <c r="A178" s="202"/>
      <c r="B178" s="214" t="s">
        <v>115</v>
      </c>
      <c r="C178" s="215"/>
      <c r="D178" s="39">
        <v>15</v>
      </c>
      <c r="E178" s="39">
        <v>-1.22</v>
      </c>
      <c r="F178" s="35">
        <f t="shared" si="2"/>
        <v>13.78</v>
      </c>
    </row>
    <row r="179" spans="1:6" ht="15.75" x14ac:dyDescent="0.25">
      <c r="A179" s="202"/>
      <c r="B179" s="214" t="s">
        <v>101</v>
      </c>
      <c r="C179" s="215"/>
      <c r="D179" s="39">
        <v>5945.1</v>
      </c>
      <c r="E179" s="39">
        <v>-34.1</v>
      </c>
      <c r="F179" s="35">
        <f t="shared" si="2"/>
        <v>5911</v>
      </c>
    </row>
    <row r="180" spans="1:6" ht="15.75" x14ac:dyDescent="0.25">
      <c r="A180" s="202"/>
      <c r="B180" s="214" t="s">
        <v>100</v>
      </c>
      <c r="C180" s="215"/>
      <c r="D180" s="39">
        <v>222</v>
      </c>
      <c r="E180" s="39">
        <v>34.1</v>
      </c>
      <c r="F180" s="35">
        <f t="shared" si="2"/>
        <v>256.10000000000002</v>
      </c>
    </row>
    <row r="181" spans="1:6" ht="15.75" x14ac:dyDescent="0.25">
      <c r="A181" s="202"/>
      <c r="B181" s="37" t="s">
        <v>59</v>
      </c>
      <c r="C181" s="38"/>
      <c r="D181" s="39">
        <v>439.4</v>
      </c>
      <c r="E181" s="39">
        <v>14.7</v>
      </c>
      <c r="F181" s="35">
        <f t="shared" si="2"/>
        <v>454.09999999999997</v>
      </c>
    </row>
    <row r="182" spans="1:6" ht="15.75" x14ac:dyDescent="0.25">
      <c r="A182" s="204"/>
      <c r="B182" s="37" t="s">
        <v>60</v>
      </c>
      <c r="C182" s="38"/>
      <c r="D182" s="39">
        <v>1055.5</v>
      </c>
      <c r="E182" s="39">
        <v>-14.7</v>
      </c>
      <c r="F182" s="35">
        <f t="shared" si="2"/>
        <v>1040.8</v>
      </c>
    </row>
    <row r="183" spans="1:6" ht="15.75" x14ac:dyDescent="0.25">
      <c r="A183" s="44" t="s">
        <v>36</v>
      </c>
      <c r="B183" s="214" t="s">
        <v>71</v>
      </c>
      <c r="C183" s="215"/>
      <c r="D183" s="36">
        <v>1316.8</v>
      </c>
      <c r="E183" s="39">
        <v>797.6</v>
      </c>
      <c r="F183" s="35">
        <f>SUM(D183:E183)</f>
        <v>2114.4</v>
      </c>
    </row>
    <row r="184" spans="1:6" ht="15.75" x14ac:dyDescent="0.25">
      <c r="A184" s="201" t="s">
        <v>26</v>
      </c>
      <c r="B184" s="214" t="s">
        <v>93</v>
      </c>
      <c r="C184" s="215"/>
      <c r="D184" s="36">
        <v>790.2</v>
      </c>
      <c r="E184" s="39">
        <v>195.8</v>
      </c>
      <c r="F184" s="40">
        <f t="shared" si="2"/>
        <v>986</v>
      </c>
    </row>
    <row r="185" spans="1:6" ht="15.75" x14ac:dyDescent="0.25">
      <c r="A185" s="202"/>
      <c r="B185" s="214" t="s">
        <v>65</v>
      </c>
      <c r="C185" s="215"/>
      <c r="D185" s="36">
        <v>87823.2</v>
      </c>
      <c r="E185" s="39">
        <v>-3000</v>
      </c>
      <c r="F185" s="40">
        <f t="shared" si="2"/>
        <v>84823.2</v>
      </c>
    </row>
    <row r="186" spans="1:6" ht="15.75" x14ac:dyDescent="0.25">
      <c r="A186" s="202"/>
      <c r="B186" s="214" t="s">
        <v>97</v>
      </c>
      <c r="C186" s="215"/>
      <c r="D186" s="36">
        <v>5736</v>
      </c>
      <c r="E186" s="39">
        <v>3000</v>
      </c>
      <c r="F186" s="40">
        <f t="shared" si="2"/>
        <v>8736</v>
      </c>
    </row>
    <row r="187" spans="1:6" ht="15.75" x14ac:dyDescent="0.25">
      <c r="A187" s="202"/>
      <c r="B187" s="37" t="s">
        <v>75</v>
      </c>
      <c r="C187" s="38"/>
      <c r="D187" s="36">
        <v>26090</v>
      </c>
      <c r="E187" s="39">
        <v>43000</v>
      </c>
      <c r="F187" s="40">
        <f t="shared" si="2"/>
        <v>69090</v>
      </c>
    </row>
    <row r="188" spans="1:6" ht="15.75" x14ac:dyDescent="0.25">
      <c r="A188" s="202"/>
      <c r="B188" s="37" t="s">
        <v>55</v>
      </c>
      <c r="C188" s="38"/>
      <c r="D188" s="36">
        <v>118474.4</v>
      </c>
      <c r="E188" s="39">
        <v>-43000</v>
      </c>
      <c r="F188" s="40">
        <f t="shared" si="2"/>
        <v>75474.399999999994</v>
      </c>
    </row>
    <row r="189" spans="1:6" ht="15.75" x14ac:dyDescent="0.25">
      <c r="A189" s="202"/>
      <c r="B189" s="37" t="s">
        <v>94</v>
      </c>
      <c r="C189" s="38"/>
      <c r="D189" s="36">
        <v>1064.3</v>
      </c>
      <c r="E189" s="39">
        <v>-1.1000000000000001</v>
      </c>
      <c r="F189" s="40">
        <f t="shared" si="2"/>
        <v>1063.2</v>
      </c>
    </row>
    <row r="190" spans="1:6" ht="15.75" x14ac:dyDescent="0.25">
      <c r="A190" s="202"/>
      <c r="B190" s="37" t="s">
        <v>99</v>
      </c>
      <c r="C190" s="38"/>
      <c r="D190" s="36">
        <v>82.3</v>
      </c>
      <c r="E190" s="39">
        <v>1.1000000000000001</v>
      </c>
      <c r="F190" s="40">
        <f t="shared" si="2"/>
        <v>83.399999999999991</v>
      </c>
    </row>
    <row r="191" spans="1:6" ht="15.75" x14ac:dyDescent="0.25">
      <c r="A191" s="202"/>
      <c r="B191" s="214" t="s">
        <v>145</v>
      </c>
      <c r="C191" s="215"/>
      <c r="D191" s="36">
        <v>3115.8</v>
      </c>
      <c r="E191" s="39">
        <v>930.4</v>
      </c>
      <c r="F191" s="40">
        <f t="shared" si="2"/>
        <v>4046.2000000000003</v>
      </c>
    </row>
    <row r="192" spans="1:6" ht="15.75" x14ac:dyDescent="0.25">
      <c r="A192" s="202"/>
      <c r="B192" s="214" t="s">
        <v>99</v>
      </c>
      <c r="C192" s="215"/>
      <c r="D192" s="36">
        <v>150.4</v>
      </c>
      <c r="E192" s="39">
        <v>83.4</v>
      </c>
      <c r="F192" s="40">
        <f t="shared" si="2"/>
        <v>233.8</v>
      </c>
    </row>
    <row r="193" spans="1:13" ht="15.75" x14ac:dyDescent="0.25">
      <c r="A193" s="202"/>
      <c r="B193" s="214" t="s">
        <v>144</v>
      </c>
      <c r="C193" s="215"/>
      <c r="D193" s="36">
        <v>4663.7</v>
      </c>
      <c r="E193" s="39">
        <v>1393.2</v>
      </c>
      <c r="F193" s="40">
        <f t="shared" si="2"/>
        <v>6056.9</v>
      </c>
    </row>
    <row r="194" spans="1:13" ht="15.75" x14ac:dyDescent="0.25">
      <c r="A194" s="202"/>
      <c r="B194" s="214" t="s">
        <v>146</v>
      </c>
      <c r="C194" s="215"/>
      <c r="D194" s="36">
        <v>9188.4</v>
      </c>
      <c r="E194" s="39">
        <v>2190.4</v>
      </c>
      <c r="F194" s="40">
        <f t="shared" si="2"/>
        <v>11378.8</v>
      </c>
    </row>
    <row r="195" spans="1:13" ht="15.75" x14ac:dyDescent="0.25">
      <c r="A195" s="7" t="s">
        <v>6</v>
      </c>
      <c r="B195" s="205"/>
      <c r="C195" s="205"/>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231" t="s">
        <v>241</v>
      </c>
      <c r="B197" s="231"/>
      <c r="C197" s="231"/>
      <c r="D197" s="231"/>
      <c r="E197" s="231"/>
      <c r="F197" s="231"/>
    </row>
    <row r="198" spans="1:13" ht="16.5" customHeight="1" x14ac:dyDescent="0.25">
      <c r="A198" s="231" t="s">
        <v>232</v>
      </c>
      <c r="B198" s="231"/>
      <c r="C198" s="231"/>
      <c r="D198" s="231"/>
      <c r="E198" s="231"/>
      <c r="F198" s="231"/>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241" t="s">
        <v>10</v>
      </c>
      <c r="B200" s="242"/>
      <c r="C200" s="243" t="s">
        <v>11</v>
      </c>
      <c r="D200" s="243"/>
      <c r="E200" s="243"/>
      <c r="F200" s="243"/>
    </row>
    <row r="201" spans="1:13" ht="17.25" customHeight="1" x14ac:dyDescent="0.25">
      <c r="A201" s="41" t="s">
        <v>12</v>
      </c>
      <c r="B201" s="72">
        <v>33.5</v>
      </c>
      <c r="C201" s="219" t="s">
        <v>27</v>
      </c>
      <c r="D201" s="220"/>
      <c r="E201" s="221"/>
      <c r="F201" s="238">
        <f>E61</f>
        <v>-6208.4937599999994</v>
      </c>
      <c r="M201" s="43"/>
    </row>
    <row r="202" spans="1:13" ht="15.75" customHeight="1" x14ac:dyDescent="0.2">
      <c r="A202" s="42" t="s">
        <v>13</v>
      </c>
      <c r="B202" s="72">
        <f>-7537.9+30.91729+544.98895</f>
        <v>-6961.9937599999994</v>
      </c>
      <c r="C202" s="222"/>
      <c r="D202" s="223"/>
      <c r="E202" s="224"/>
      <c r="F202" s="239"/>
    </row>
    <row r="203" spans="1:13" ht="16.5" customHeight="1" x14ac:dyDescent="0.25">
      <c r="A203" s="41" t="s">
        <v>28</v>
      </c>
      <c r="B203" s="72">
        <v>720</v>
      </c>
      <c r="C203" s="225"/>
      <c r="D203" s="226"/>
      <c r="E203" s="227"/>
      <c r="F203" s="240"/>
      <c r="G203" s="5">
        <f>-48.5-182.6+30.6-370.6-1713.1+150+1563.1+8173+48.5</f>
        <v>7650.4</v>
      </c>
      <c r="H203" s="16">
        <f>G203-E195</f>
        <v>-21315.700000000004</v>
      </c>
    </row>
    <row r="204" spans="1:13" ht="16.5" customHeight="1" x14ac:dyDescent="0.2">
      <c r="A204" s="228" t="s">
        <v>153</v>
      </c>
      <c r="B204" s="238">
        <v>24924</v>
      </c>
      <c r="C204" s="232" t="s">
        <v>154</v>
      </c>
      <c r="D204" s="233"/>
      <c r="E204" s="234"/>
      <c r="F204" s="74">
        <v>7447</v>
      </c>
      <c r="H204" s="16"/>
    </row>
    <row r="205" spans="1:13" ht="16.5" customHeight="1" x14ac:dyDescent="0.2">
      <c r="A205" s="229"/>
      <c r="B205" s="239"/>
      <c r="C205" s="232" t="s">
        <v>168</v>
      </c>
      <c r="D205" s="233"/>
      <c r="E205" s="234"/>
      <c r="F205" s="74">
        <f>313-84.6</f>
        <v>228.4</v>
      </c>
      <c r="H205" s="16"/>
    </row>
    <row r="206" spans="1:13" ht="16.5" customHeight="1" x14ac:dyDescent="0.2">
      <c r="A206" s="229"/>
      <c r="B206" s="239"/>
      <c r="C206" s="232" t="s">
        <v>155</v>
      </c>
      <c r="D206" s="233"/>
      <c r="E206" s="234"/>
      <c r="F206" s="74">
        <v>849</v>
      </c>
      <c r="H206" s="16"/>
    </row>
    <row r="207" spans="1:13" ht="16.5" customHeight="1" x14ac:dyDescent="0.2">
      <c r="A207" s="229"/>
      <c r="B207" s="239"/>
      <c r="C207" s="232" t="s">
        <v>156</v>
      </c>
      <c r="D207" s="233"/>
      <c r="E207" s="234"/>
      <c r="F207" s="74">
        <v>1543.8</v>
      </c>
      <c r="H207" s="16"/>
    </row>
    <row r="208" spans="1:13" ht="16.5" customHeight="1" x14ac:dyDescent="0.2">
      <c r="A208" s="229"/>
      <c r="B208" s="239"/>
      <c r="C208" s="232" t="s">
        <v>161</v>
      </c>
      <c r="D208" s="233"/>
      <c r="E208" s="234"/>
      <c r="F208" s="74">
        <v>1554.3</v>
      </c>
      <c r="H208" s="16"/>
    </row>
    <row r="209" spans="1:13" ht="16.5" customHeight="1" x14ac:dyDescent="0.2">
      <c r="A209" s="229"/>
      <c r="B209" s="239"/>
      <c r="C209" s="232" t="s">
        <v>157</v>
      </c>
      <c r="D209" s="233"/>
      <c r="E209" s="234"/>
      <c r="F209" s="74">
        <v>213.7</v>
      </c>
      <c r="H209" s="16"/>
    </row>
    <row r="210" spans="1:13" ht="16.5" customHeight="1" x14ac:dyDescent="0.2">
      <c r="A210" s="229"/>
      <c r="B210" s="239"/>
      <c r="C210" s="232" t="s">
        <v>158</v>
      </c>
      <c r="D210" s="233"/>
      <c r="E210" s="234"/>
      <c r="F210" s="74">
        <v>1301.5</v>
      </c>
      <c r="H210" s="16"/>
    </row>
    <row r="211" spans="1:13" ht="33" customHeight="1" x14ac:dyDescent="0.2">
      <c r="A211" s="229"/>
      <c r="B211" s="239"/>
      <c r="C211" s="232" t="s">
        <v>159</v>
      </c>
      <c r="D211" s="233"/>
      <c r="E211" s="234"/>
      <c r="F211" s="74">
        <v>213.6</v>
      </c>
      <c r="H211" s="16"/>
    </row>
    <row r="212" spans="1:13" ht="14.25" customHeight="1" x14ac:dyDescent="0.2">
      <c r="A212" s="229"/>
      <c r="B212" s="239"/>
      <c r="C212" s="232" t="s">
        <v>160</v>
      </c>
      <c r="D212" s="233"/>
      <c r="E212" s="234"/>
      <c r="F212" s="74">
        <f>1130.5+84.6</f>
        <v>1215.0999999999999</v>
      </c>
      <c r="H212" s="16"/>
    </row>
    <row r="213" spans="1:13" ht="33" customHeight="1" x14ac:dyDescent="0.2">
      <c r="A213" s="229"/>
      <c r="B213" s="239"/>
      <c r="C213" s="232" t="s">
        <v>162</v>
      </c>
      <c r="D213" s="233"/>
      <c r="E213" s="234"/>
      <c r="F213" s="74">
        <v>670.6</v>
      </c>
      <c r="H213" s="16"/>
    </row>
    <row r="214" spans="1:13" ht="16.5" customHeight="1" x14ac:dyDescent="0.2">
      <c r="A214" s="229"/>
      <c r="B214" s="239"/>
      <c r="C214" s="232" t="s">
        <v>163</v>
      </c>
      <c r="D214" s="233"/>
      <c r="E214" s="234"/>
      <c r="F214" s="74">
        <v>930.4</v>
      </c>
      <c r="H214" s="16"/>
    </row>
    <row r="215" spans="1:13" ht="16.5" customHeight="1" x14ac:dyDescent="0.2">
      <c r="A215" s="229"/>
      <c r="B215" s="239"/>
      <c r="C215" s="232" t="s">
        <v>164</v>
      </c>
      <c r="D215" s="233"/>
      <c r="E215" s="234"/>
      <c r="F215" s="74">
        <v>1589</v>
      </c>
      <c r="H215" s="16"/>
    </row>
    <row r="216" spans="1:13" ht="16.5" customHeight="1" x14ac:dyDescent="0.2">
      <c r="A216" s="229"/>
      <c r="B216" s="239"/>
      <c r="C216" s="232" t="s">
        <v>163</v>
      </c>
      <c r="D216" s="233"/>
      <c r="E216" s="234"/>
      <c r="F216" s="74">
        <v>2190.4</v>
      </c>
      <c r="H216" s="16"/>
    </row>
    <row r="217" spans="1:13" ht="16.5" customHeight="1" x14ac:dyDescent="0.2">
      <c r="A217" s="229"/>
      <c r="B217" s="239"/>
      <c r="C217" s="232" t="s">
        <v>165</v>
      </c>
      <c r="D217" s="233"/>
      <c r="E217" s="234"/>
      <c r="F217" s="74">
        <v>4609.7</v>
      </c>
      <c r="H217" s="16"/>
    </row>
    <row r="218" spans="1:13" ht="16.5" customHeight="1" x14ac:dyDescent="0.2">
      <c r="A218" s="229"/>
      <c r="B218" s="239"/>
      <c r="C218" s="235" t="s">
        <v>88</v>
      </c>
      <c r="D218" s="236"/>
      <c r="E218" s="237"/>
      <c r="F218" s="74">
        <v>64.5</v>
      </c>
      <c r="H218" s="16"/>
    </row>
    <row r="219" spans="1:13" ht="16.5" customHeight="1" x14ac:dyDescent="0.2">
      <c r="A219" s="229"/>
      <c r="B219" s="239"/>
      <c r="C219" s="232" t="s">
        <v>166</v>
      </c>
      <c r="D219" s="233"/>
      <c r="E219" s="234"/>
      <c r="F219" s="74">
        <v>219.6</v>
      </c>
      <c r="H219" s="16"/>
    </row>
    <row r="220" spans="1:13" ht="16.5" customHeight="1" x14ac:dyDescent="0.2">
      <c r="A220" s="230"/>
      <c r="B220" s="240"/>
      <c r="C220" s="232" t="s">
        <v>167</v>
      </c>
      <c r="D220" s="233"/>
      <c r="E220" s="234"/>
      <c r="F220" s="74">
        <v>83.4</v>
      </c>
      <c r="H220" s="16"/>
    </row>
    <row r="221" spans="1:13" ht="48" customHeight="1" x14ac:dyDescent="0.2">
      <c r="A221" s="60" t="s">
        <v>84</v>
      </c>
      <c r="B221" s="73">
        <v>65</v>
      </c>
      <c r="C221" s="232" t="s">
        <v>170</v>
      </c>
      <c r="D221" s="233"/>
      <c r="E221" s="234"/>
      <c r="F221" s="72">
        <v>45</v>
      </c>
    </row>
    <row r="222" spans="1:13" ht="16.5" customHeight="1" x14ac:dyDescent="0.2">
      <c r="A222" s="60" t="s">
        <v>22</v>
      </c>
      <c r="B222" s="73">
        <v>1500</v>
      </c>
      <c r="C222" s="232" t="s">
        <v>89</v>
      </c>
      <c r="D222" s="233"/>
      <c r="E222" s="234"/>
      <c r="F222" s="75">
        <v>1500</v>
      </c>
    </row>
    <row r="223" spans="1:13" ht="30.75" customHeight="1" x14ac:dyDescent="0.2">
      <c r="A223" s="76" t="s">
        <v>193</v>
      </c>
      <c r="B223" s="72">
        <v>2497.1</v>
      </c>
      <c r="C223" s="232" t="s">
        <v>160</v>
      </c>
      <c r="D223" s="233"/>
      <c r="E223" s="234"/>
      <c r="F223" s="72">
        <v>2497.1</v>
      </c>
    </row>
    <row r="224" spans="1:13" ht="15" x14ac:dyDescent="0.25">
      <c r="A224" s="18" t="s">
        <v>9</v>
      </c>
      <c r="B224" s="77">
        <f>SUM(B201:B222)</f>
        <v>20280.506240000002</v>
      </c>
      <c r="C224" s="244" t="s">
        <v>9</v>
      </c>
      <c r="D224" s="244"/>
      <c r="E224" s="244"/>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245" t="s">
        <v>66</v>
      </c>
      <c r="B226" s="245"/>
      <c r="C226" s="245"/>
      <c r="D226" s="245"/>
      <c r="E226" s="246" t="s">
        <v>67</v>
      </c>
      <c r="F226" s="246"/>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16:F116"/>
    <mergeCell ref="A118:F118"/>
    <mergeCell ref="A114:F114"/>
    <mergeCell ref="A87:F87"/>
    <mergeCell ref="A89:F89"/>
    <mergeCell ref="A90:F90"/>
    <mergeCell ref="A91:F91"/>
    <mergeCell ref="A92:F92"/>
    <mergeCell ref="A93:F93"/>
    <mergeCell ref="A94:F94"/>
    <mergeCell ref="A95:F95"/>
    <mergeCell ref="A97:F97"/>
    <mergeCell ref="A84:F84"/>
    <mergeCell ref="A82:F82"/>
    <mergeCell ref="A85:F85"/>
    <mergeCell ref="A86:F86"/>
    <mergeCell ref="A76:F76"/>
    <mergeCell ref="A77:F77"/>
    <mergeCell ref="A79:F79"/>
    <mergeCell ref="A78:F78"/>
    <mergeCell ref="A81:F81"/>
    <mergeCell ref="A80:F80"/>
    <mergeCell ref="A83:F83"/>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198"/>
  <sheetViews>
    <sheetView tabSelected="1" topLeftCell="A161" zoomScaleNormal="100" zoomScaleSheetLayoutView="50" workbookViewId="0">
      <selection activeCell="A194" sqref="A194"/>
    </sheetView>
  </sheetViews>
  <sheetFormatPr defaultColWidth="9.140625" defaultRowHeight="18" x14ac:dyDescent="0.25"/>
  <cols>
    <col min="1" max="1" width="48.7109375" style="79" customWidth="1"/>
    <col min="2" max="2" width="15.85546875" style="79" customWidth="1"/>
    <col min="3" max="3" width="15.42578125" style="79" customWidth="1"/>
    <col min="4" max="4" width="15.7109375" style="79" customWidth="1"/>
    <col min="5" max="5" width="20.5703125" style="100" customWidth="1"/>
    <col min="6" max="6" width="21.140625" style="79" customWidth="1"/>
    <col min="7" max="7" width="20.42578125" style="96" hidden="1" customWidth="1"/>
    <col min="8" max="8" width="21.85546875" style="87" hidden="1" customWidth="1"/>
    <col min="9" max="9" width="15.85546875" style="79" hidden="1" customWidth="1"/>
    <col min="10" max="10" width="9.140625" style="79"/>
    <col min="11" max="11" width="11.7109375" style="79" customWidth="1"/>
    <col min="12" max="12" width="12.140625" style="79" customWidth="1"/>
    <col min="13" max="16384" width="9.140625" style="79"/>
  </cols>
  <sheetData>
    <row r="1" spans="1:8" ht="19.5" customHeight="1" x14ac:dyDescent="0.3">
      <c r="A1" s="271" t="s">
        <v>0</v>
      </c>
      <c r="B1" s="271"/>
      <c r="C1" s="271"/>
      <c r="D1" s="271"/>
      <c r="E1" s="271"/>
      <c r="F1" s="271"/>
    </row>
    <row r="2" spans="1:8" ht="66.75" customHeight="1" x14ac:dyDescent="0.25">
      <c r="A2" s="272" t="s">
        <v>247</v>
      </c>
      <c r="B2" s="272"/>
      <c r="C2" s="272"/>
      <c r="D2" s="272"/>
      <c r="E2" s="272"/>
      <c r="F2" s="272"/>
      <c r="H2" s="104" t="s">
        <v>246</v>
      </c>
    </row>
    <row r="3" spans="1:8" ht="17.45" customHeight="1" x14ac:dyDescent="0.25">
      <c r="A3" s="273" t="s">
        <v>272</v>
      </c>
      <c r="B3" s="273"/>
      <c r="C3" s="273"/>
      <c r="D3" s="273"/>
      <c r="E3" s="273"/>
      <c r="F3" s="273"/>
    </row>
    <row r="4" spans="1:8" ht="16.5" customHeight="1" x14ac:dyDescent="0.25">
      <c r="A4" s="140" t="s">
        <v>273</v>
      </c>
      <c r="B4" s="140"/>
      <c r="C4" s="140"/>
      <c r="D4" s="140"/>
      <c r="E4" s="140"/>
      <c r="F4" s="140"/>
    </row>
    <row r="5" spans="1:8" ht="36" customHeight="1" x14ac:dyDescent="0.25">
      <c r="A5" s="275" t="s">
        <v>344</v>
      </c>
      <c r="B5" s="275"/>
      <c r="C5" s="275"/>
      <c r="D5" s="275"/>
      <c r="E5" s="275"/>
      <c r="F5" s="275"/>
    </row>
    <row r="6" spans="1:8" ht="3" customHeight="1" x14ac:dyDescent="0.25">
      <c r="A6" s="140"/>
      <c r="B6" s="140"/>
      <c r="C6" s="140"/>
      <c r="D6" s="140"/>
      <c r="E6" s="140"/>
      <c r="F6" s="140"/>
    </row>
    <row r="7" spans="1:8" ht="24" hidden="1" customHeight="1" x14ac:dyDescent="0.3">
      <c r="A7" s="274" t="s">
        <v>323</v>
      </c>
      <c r="B7" s="274"/>
      <c r="C7" s="274"/>
      <c r="D7" s="274"/>
      <c r="E7" s="140"/>
      <c r="F7" s="140"/>
      <c r="H7" s="118"/>
    </row>
    <row r="8" spans="1:8" ht="17.25" customHeight="1" x14ac:dyDescent="0.3">
      <c r="A8" s="274" t="s">
        <v>325</v>
      </c>
      <c r="B8" s="274"/>
      <c r="C8" s="274"/>
      <c r="D8" s="274"/>
      <c r="E8" s="143"/>
      <c r="F8" s="119"/>
      <c r="H8" s="118">
        <v>33885.9</v>
      </c>
    </row>
    <row r="9" spans="1:8" ht="18.75" customHeight="1" x14ac:dyDescent="0.3">
      <c r="A9" s="274" t="s">
        <v>326</v>
      </c>
      <c r="B9" s="274"/>
      <c r="C9" s="274"/>
      <c r="D9" s="143"/>
      <c r="E9" s="143"/>
      <c r="F9" s="119"/>
      <c r="H9" s="118">
        <v>-1813.1</v>
      </c>
    </row>
    <row r="10" spans="1:8" ht="20.25" customHeight="1" x14ac:dyDescent="0.25">
      <c r="A10" s="284" t="s">
        <v>324</v>
      </c>
      <c r="B10" s="284"/>
      <c r="C10" s="284"/>
      <c r="D10" s="284"/>
      <c r="E10" s="284"/>
      <c r="F10" s="119"/>
      <c r="H10" s="118">
        <v>163</v>
      </c>
    </row>
    <row r="11" spans="1:8" ht="159.75" customHeight="1" x14ac:dyDescent="0.25">
      <c r="A11" s="284" t="s">
        <v>396</v>
      </c>
      <c r="B11" s="284"/>
      <c r="C11" s="284"/>
      <c r="D11" s="284"/>
      <c r="E11" s="284"/>
      <c r="F11" s="284"/>
      <c r="H11" s="118"/>
    </row>
    <row r="12" spans="1:8" ht="94.5" customHeight="1" x14ac:dyDescent="0.25">
      <c r="A12" s="284" t="s">
        <v>397</v>
      </c>
      <c r="B12" s="284"/>
      <c r="C12" s="284"/>
      <c r="D12" s="284"/>
      <c r="E12" s="284"/>
      <c r="F12" s="284"/>
      <c r="H12" s="118"/>
    </row>
    <row r="13" spans="1:8" ht="24" customHeight="1" x14ac:dyDescent="0.25">
      <c r="A13" s="186"/>
      <c r="B13" s="186"/>
      <c r="C13" s="186"/>
      <c r="D13" s="186"/>
      <c r="E13" s="186"/>
      <c r="F13" s="186"/>
      <c r="H13" s="118"/>
    </row>
    <row r="14" spans="1:8" ht="56.25" customHeight="1" x14ac:dyDescent="0.25">
      <c r="A14" s="120" t="s">
        <v>15</v>
      </c>
      <c r="B14" s="283" t="s">
        <v>329</v>
      </c>
      <c r="C14" s="283"/>
      <c r="D14" s="138" t="s">
        <v>16</v>
      </c>
      <c r="E14" s="138" t="s">
        <v>17</v>
      </c>
      <c r="F14" s="93"/>
      <c r="H14" s="94"/>
    </row>
    <row r="15" spans="1:8" ht="122.25" customHeight="1" x14ac:dyDescent="0.25">
      <c r="A15" s="121" t="s">
        <v>385</v>
      </c>
      <c r="B15" s="279">
        <v>385784</v>
      </c>
      <c r="C15" s="280"/>
      <c r="D15" s="182">
        <v>359634</v>
      </c>
      <c r="E15" s="182">
        <f t="shared" ref="E15:E16" si="0">D15-B15</f>
        <v>-26150</v>
      </c>
      <c r="F15" s="93"/>
      <c r="H15" s="94"/>
    </row>
    <row r="16" spans="1:8" ht="138.75" customHeight="1" x14ac:dyDescent="0.25">
      <c r="A16" s="121" t="s">
        <v>386</v>
      </c>
      <c r="B16" s="279">
        <v>0</v>
      </c>
      <c r="C16" s="280"/>
      <c r="D16" s="182">
        <v>26150</v>
      </c>
      <c r="E16" s="182">
        <f t="shared" si="0"/>
        <v>26150</v>
      </c>
      <c r="F16" s="93"/>
      <c r="H16" s="94"/>
    </row>
    <row r="17" spans="1:8" ht="141.75" customHeight="1" x14ac:dyDescent="0.25">
      <c r="A17" s="121" t="s">
        <v>331</v>
      </c>
      <c r="B17" s="279">
        <v>26000</v>
      </c>
      <c r="C17" s="280"/>
      <c r="D17" s="138">
        <v>25126</v>
      </c>
      <c r="E17" s="138">
        <f>D17-B17</f>
        <v>-874</v>
      </c>
      <c r="F17" s="93"/>
      <c r="H17" s="94"/>
    </row>
    <row r="18" spans="1:8" ht="140.25" customHeight="1" x14ac:dyDescent="0.25">
      <c r="A18" s="121" t="s">
        <v>330</v>
      </c>
      <c r="B18" s="279">
        <v>2330</v>
      </c>
      <c r="C18" s="280"/>
      <c r="D18" s="138">
        <v>330</v>
      </c>
      <c r="E18" s="138">
        <f>D18-B18</f>
        <v>-2000</v>
      </c>
      <c r="F18" s="93"/>
      <c r="H18" s="94"/>
    </row>
    <row r="19" spans="1:8" ht="148.5" x14ac:dyDescent="0.25">
      <c r="A19" s="121" t="s">
        <v>328</v>
      </c>
      <c r="B19" s="283">
        <v>2000</v>
      </c>
      <c r="C19" s="283"/>
      <c r="D19" s="144">
        <v>4874</v>
      </c>
      <c r="E19" s="138">
        <f>D19-B19</f>
        <v>2874</v>
      </c>
      <c r="F19" s="122"/>
      <c r="H19" s="94"/>
    </row>
    <row r="20" spans="1:8" ht="83.25" customHeight="1" x14ac:dyDescent="0.25">
      <c r="A20" s="121" t="s">
        <v>327</v>
      </c>
      <c r="B20" s="283">
        <v>0</v>
      </c>
      <c r="C20" s="283"/>
      <c r="D20" s="138">
        <v>72</v>
      </c>
      <c r="E20" s="138">
        <f t="shared" ref="E20" si="1">D20-B20</f>
        <v>72</v>
      </c>
      <c r="F20" s="122"/>
      <c r="H20" s="94"/>
    </row>
    <row r="21" spans="1:8" ht="23.25" customHeight="1" x14ac:dyDescent="0.3">
      <c r="A21" s="121"/>
      <c r="B21" s="283"/>
      <c r="C21" s="283"/>
      <c r="D21" s="134"/>
      <c r="E21" s="187">
        <f>SUM(E15:E20)</f>
        <v>72</v>
      </c>
      <c r="F21" s="135"/>
      <c r="G21" s="16">
        <f>E21</f>
        <v>72</v>
      </c>
      <c r="H21" s="94"/>
    </row>
    <row r="22" spans="1:8" ht="111" customHeight="1" x14ac:dyDescent="0.3">
      <c r="A22" s="284" t="s">
        <v>380</v>
      </c>
      <c r="B22" s="284"/>
      <c r="C22" s="284"/>
      <c r="D22" s="284"/>
      <c r="E22" s="284"/>
      <c r="F22" s="183"/>
      <c r="G22" s="16">
        <v>380</v>
      </c>
      <c r="H22" s="94"/>
    </row>
    <row r="23" spans="1:8" ht="97.5" customHeight="1" x14ac:dyDescent="0.3">
      <c r="A23" s="284" t="s">
        <v>398</v>
      </c>
      <c r="B23" s="284"/>
      <c r="C23" s="284"/>
      <c r="D23" s="284"/>
      <c r="E23" s="284"/>
      <c r="F23" s="183"/>
      <c r="G23" s="16">
        <v>951.7</v>
      </c>
      <c r="H23" s="94"/>
    </row>
    <row r="24" spans="1:8" ht="45" customHeight="1" x14ac:dyDescent="0.3">
      <c r="A24" s="284" t="s">
        <v>383</v>
      </c>
      <c r="B24" s="284"/>
      <c r="C24" s="284"/>
      <c r="D24" s="284"/>
      <c r="E24" s="284"/>
      <c r="F24" s="183"/>
      <c r="G24" s="16">
        <v>1470</v>
      </c>
      <c r="H24" s="94"/>
    </row>
    <row r="25" spans="1:8" ht="6" customHeight="1" x14ac:dyDescent="0.3">
      <c r="A25" s="123"/>
      <c r="B25" s="92"/>
      <c r="C25" s="184"/>
      <c r="D25" s="183"/>
      <c r="E25" s="92"/>
      <c r="F25" s="183"/>
      <c r="G25" s="16"/>
      <c r="H25" s="94"/>
    </row>
    <row r="26" spans="1:8" ht="23.25" customHeight="1" x14ac:dyDescent="0.3">
      <c r="A26" s="285" t="s">
        <v>384</v>
      </c>
      <c r="B26" s="285"/>
      <c r="C26" s="285"/>
      <c r="D26" s="285"/>
      <c r="E26" s="285"/>
      <c r="F26" s="285"/>
      <c r="G26" s="16">
        <f>G21+G24</f>
        <v>1542</v>
      </c>
      <c r="H26" s="94"/>
    </row>
    <row r="27" spans="1:8" ht="12" customHeight="1" x14ac:dyDescent="0.3">
      <c r="A27" s="123"/>
      <c r="B27" s="92"/>
      <c r="C27" s="92"/>
      <c r="D27" s="135"/>
      <c r="E27" s="92"/>
      <c r="F27" s="135"/>
      <c r="G27" s="16"/>
      <c r="H27" s="94"/>
    </row>
    <row r="28" spans="1:8" ht="23.25" customHeight="1" x14ac:dyDescent="0.25">
      <c r="A28" s="140" t="s">
        <v>338</v>
      </c>
      <c r="B28" s="140"/>
      <c r="C28" s="140"/>
      <c r="D28" s="140"/>
      <c r="E28" s="140"/>
      <c r="F28" s="140"/>
      <c r="G28" s="16"/>
      <c r="H28" s="94"/>
    </row>
    <row r="29" spans="1:8" ht="19.5" customHeight="1" x14ac:dyDescent="0.25">
      <c r="A29" s="275" t="s">
        <v>379</v>
      </c>
      <c r="B29" s="275"/>
      <c r="C29" s="275"/>
      <c r="D29" s="275"/>
      <c r="E29" s="275"/>
      <c r="F29" s="275"/>
      <c r="G29" s="16"/>
      <c r="H29" s="94"/>
    </row>
    <row r="30" spans="1:8" ht="18.75" customHeight="1" x14ac:dyDescent="0.3">
      <c r="A30" s="274" t="s">
        <v>399</v>
      </c>
      <c r="B30" s="274"/>
      <c r="C30" s="274"/>
      <c r="D30" s="274"/>
      <c r="E30" s="143"/>
      <c r="F30" s="119"/>
      <c r="G30" s="16"/>
      <c r="H30" s="94"/>
    </row>
    <row r="31" spans="1:8" ht="93" customHeight="1" x14ac:dyDescent="0.3">
      <c r="A31" s="274" t="s">
        <v>381</v>
      </c>
      <c r="B31" s="274"/>
      <c r="C31" s="274"/>
      <c r="D31" s="274"/>
      <c r="E31" s="274"/>
      <c r="F31" s="119"/>
      <c r="G31" s="16"/>
      <c r="H31" s="94"/>
    </row>
    <row r="32" spans="1:8" ht="15.75" customHeight="1" x14ac:dyDescent="0.3">
      <c r="A32" s="181"/>
      <c r="B32" s="181"/>
      <c r="C32" s="181"/>
      <c r="D32" s="181"/>
      <c r="E32" s="143"/>
      <c r="F32" s="119"/>
      <c r="G32" s="16"/>
      <c r="H32" s="94"/>
    </row>
    <row r="33" spans="1:9" ht="23.25" customHeight="1" x14ac:dyDescent="0.25">
      <c r="A33" s="140" t="s">
        <v>339</v>
      </c>
      <c r="B33" s="140"/>
      <c r="C33" s="140"/>
      <c r="D33" s="140"/>
      <c r="E33" s="140"/>
      <c r="F33" s="140"/>
      <c r="G33" s="16"/>
      <c r="H33" s="94"/>
    </row>
    <row r="34" spans="1:9" ht="20.25" customHeight="1" x14ac:dyDescent="0.25">
      <c r="A34" s="275" t="s">
        <v>345</v>
      </c>
      <c r="B34" s="275"/>
      <c r="C34" s="275"/>
      <c r="D34" s="275"/>
      <c r="E34" s="275"/>
      <c r="F34" s="275"/>
      <c r="G34" s="16"/>
      <c r="H34" s="94"/>
    </row>
    <row r="35" spans="1:9" ht="15.75" customHeight="1" x14ac:dyDescent="0.3">
      <c r="A35" s="274" t="s">
        <v>400</v>
      </c>
      <c r="B35" s="274"/>
      <c r="C35" s="274"/>
      <c r="D35" s="274"/>
      <c r="E35" s="143"/>
      <c r="F35" s="119"/>
      <c r="G35" s="16"/>
      <c r="H35" s="94"/>
    </row>
    <row r="36" spans="1:9" ht="18" customHeight="1" x14ac:dyDescent="0.3">
      <c r="A36" s="135"/>
      <c r="B36" s="135"/>
      <c r="C36" s="135"/>
      <c r="D36" s="135"/>
      <c r="E36" s="135"/>
      <c r="F36" s="135"/>
      <c r="H36" s="94"/>
    </row>
    <row r="37" spans="1:9" ht="23.25" customHeight="1" x14ac:dyDescent="0.25">
      <c r="A37" s="95" t="s">
        <v>274</v>
      </c>
      <c r="B37" s="92"/>
      <c r="C37" s="92"/>
      <c r="D37" s="92"/>
      <c r="E37" s="97"/>
      <c r="F37" s="93"/>
      <c r="H37" s="94"/>
    </row>
    <row r="38" spans="1:9" s="125" customFormat="1" ht="51.75" customHeight="1" x14ac:dyDescent="0.3">
      <c r="A38" s="281" t="s">
        <v>317</v>
      </c>
      <c r="B38" s="281"/>
      <c r="C38" s="281"/>
      <c r="D38" s="281"/>
      <c r="E38" s="281"/>
      <c r="F38" s="281"/>
      <c r="G38" s="124"/>
    </row>
    <row r="39" spans="1:9" s="127" customFormat="1" ht="18.75" customHeight="1" x14ac:dyDescent="0.3">
      <c r="A39" s="282" t="s">
        <v>31</v>
      </c>
      <c r="B39" s="282"/>
      <c r="C39" s="282"/>
      <c r="D39" s="282"/>
      <c r="E39" s="282"/>
      <c r="F39" s="282"/>
      <c r="G39" s="126"/>
    </row>
    <row r="40" spans="1:9" s="127" customFormat="1" ht="144.75" customHeight="1" x14ac:dyDescent="0.3">
      <c r="A40" s="282" t="s">
        <v>346</v>
      </c>
      <c r="B40" s="282"/>
      <c r="C40" s="282"/>
      <c r="D40" s="282"/>
      <c r="E40" s="282"/>
      <c r="F40" s="282"/>
      <c r="G40" s="126"/>
    </row>
    <row r="41" spans="1:9" s="127" customFormat="1" ht="236.25" customHeight="1" x14ac:dyDescent="0.3">
      <c r="A41" s="282" t="s">
        <v>347</v>
      </c>
      <c r="B41" s="282"/>
      <c r="C41" s="282"/>
      <c r="D41" s="282"/>
      <c r="E41" s="282"/>
      <c r="F41" s="282"/>
      <c r="G41" s="126"/>
    </row>
    <row r="42" spans="1:9" s="146" customFormat="1" ht="124.5" customHeight="1" x14ac:dyDescent="0.3">
      <c r="A42" s="276" t="s">
        <v>348</v>
      </c>
      <c r="B42" s="276"/>
      <c r="C42" s="276"/>
      <c r="D42" s="276"/>
      <c r="E42" s="276"/>
      <c r="F42" s="276"/>
      <c r="G42" s="145"/>
    </row>
    <row r="43" spans="1:9" s="127" customFormat="1" ht="39" customHeight="1" x14ac:dyDescent="0.3">
      <c r="A43" s="282" t="s">
        <v>85</v>
      </c>
      <c r="B43" s="282"/>
      <c r="C43" s="282"/>
      <c r="D43" s="282"/>
      <c r="E43" s="282"/>
      <c r="F43" s="282"/>
      <c r="G43" s="126"/>
    </row>
    <row r="44" spans="1:9" s="146" customFormat="1" ht="148.5" customHeight="1" x14ac:dyDescent="0.3">
      <c r="A44" s="276" t="s">
        <v>340</v>
      </c>
      <c r="B44" s="276"/>
      <c r="C44" s="276"/>
      <c r="D44" s="276"/>
      <c r="E44" s="276"/>
      <c r="F44" s="276"/>
      <c r="G44" s="145"/>
    </row>
    <row r="45" spans="1:9" s="146" customFormat="1" ht="205.5" customHeight="1" x14ac:dyDescent="0.3">
      <c r="A45" s="276" t="s">
        <v>349</v>
      </c>
      <c r="B45" s="276"/>
      <c r="C45" s="276"/>
      <c r="D45" s="276"/>
      <c r="E45" s="276"/>
      <c r="F45" s="276"/>
      <c r="G45" s="145"/>
    </row>
    <row r="46" spans="1:9" s="109" customFormat="1" ht="29.25" customHeight="1" x14ac:dyDescent="0.3">
      <c r="A46" s="147"/>
      <c r="B46" s="147"/>
      <c r="C46" s="147"/>
      <c r="D46" s="147"/>
      <c r="E46" s="139"/>
      <c r="F46" s="148" t="s">
        <v>275</v>
      </c>
      <c r="G46" s="108"/>
    </row>
    <row r="47" spans="1:9" ht="39.75" customHeight="1" x14ac:dyDescent="0.25">
      <c r="A47" s="116"/>
      <c r="B47" s="286" t="s">
        <v>2</v>
      </c>
      <c r="C47" s="286"/>
      <c r="D47" s="116" t="s">
        <v>3</v>
      </c>
      <c r="E47" s="98" t="s">
        <v>4</v>
      </c>
      <c r="F47" s="116" t="s">
        <v>5</v>
      </c>
      <c r="H47" s="79"/>
      <c r="I47" s="149"/>
    </row>
    <row r="48" spans="1:9" ht="24.75" customHeight="1" x14ac:dyDescent="0.3">
      <c r="A48" s="267" t="s">
        <v>30</v>
      </c>
      <c r="B48" s="264" t="s">
        <v>316</v>
      </c>
      <c r="C48" s="265"/>
      <c r="D48" s="150">
        <v>1106.5</v>
      </c>
      <c r="E48" s="151">
        <v>110.8</v>
      </c>
      <c r="F48" s="152">
        <f t="shared" ref="F48:F52" si="2">SUM(D48:E48)</f>
        <v>1217.3</v>
      </c>
      <c r="H48" s="79"/>
      <c r="I48" s="149"/>
    </row>
    <row r="49" spans="1:9" ht="24.75" customHeight="1" x14ac:dyDescent="0.3">
      <c r="A49" s="278"/>
      <c r="B49" s="153" t="s">
        <v>318</v>
      </c>
      <c r="C49" s="154"/>
      <c r="D49" s="150">
        <v>187846</v>
      </c>
      <c r="E49" s="155">
        <v>32635.915059999999</v>
      </c>
      <c r="F49" s="152">
        <f t="shared" si="2"/>
        <v>220481.91506</v>
      </c>
      <c r="H49" s="79"/>
      <c r="I49" s="149"/>
    </row>
    <row r="50" spans="1:9" ht="24.75" customHeight="1" x14ac:dyDescent="0.3">
      <c r="A50" s="278"/>
      <c r="B50" s="264" t="s">
        <v>315</v>
      </c>
      <c r="C50" s="265"/>
      <c r="D50" s="150">
        <v>0</v>
      </c>
      <c r="E50" s="151">
        <v>163</v>
      </c>
      <c r="F50" s="152">
        <f t="shared" ref="F50" si="3">SUM(D50:E50)</f>
        <v>163</v>
      </c>
      <c r="H50" s="79"/>
      <c r="I50" s="149"/>
    </row>
    <row r="51" spans="1:9" s="158" customFormat="1" ht="24" customHeight="1" x14ac:dyDescent="0.3">
      <c r="A51" s="278"/>
      <c r="B51" s="153" t="s">
        <v>297</v>
      </c>
      <c r="C51" s="141"/>
      <c r="D51" s="152">
        <v>1424.3</v>
      </c>
      <c r="E51" s="156">
        <v>-1424.3</v>
      </c>
      <c r="F51" s="152">
        <f t="shared" si="2"/>
        <v>0</v>
      </c>
      <c r="G51" s="157"/>
    </row>
    <row r="52" spans="1:9" s="158" customFormat="1" ht="24" customHeight="1" x14ac:dyDescent="0.3">
      <c r="A52" s="278"/>
      <c r="B52" s="153" t="s">
        <v>306</v>
      </c>
      <c r="C52" s="141"/>
      <c r="D52" s="152">
        <v>0</v>
      </c>
      <c r="E52" s="156">
        <v>1462.8</v>
      </c>
      <c r="F52" s="152">
        <f t="shared" si="2"/>
        <v>1462.8</v>
      </c>
      <c r="G52" s="157"/>
    </row>
    <row r="53" spans="1:9" s="158" customFormat="1" ht="24" customHeight="1" x14ac:dyDescent="0.3">
      <c r="A53" s="278"/>
      <c r="B53" s="153" t="s">
        <v>307</v>
      </c>
      <c r="C53" s="141"/>
      <c r="D53" s="152">
        <v>1444</v>
      </c>
      <c r="E53" s="156">
        <v>18.8</v>
      </c>
      <c r="F53" s="152">
        <f t="shared" ref="F53:F57" si="4">SUM(D53:E53)</f>
        <v>1462.8</v>
      </c>
      <c r="G53" s="157"/>
    </row>
    <row r="54" spans="1:9" s="158" customFormat="1" ht="24" customHeight="1" x14ac:dyDescent="0.3">
      <c r="A54" s="268"/>
      <c r="B54" s="153" t="s">
        <v>337</v>
      </c>
      <c r="C54" s="141"/>
      <c r="D54" s="152">
        <v>5780</v>
      </c>
      <c r="E54" s="156">
        <v>-294.39999999999998</v>
      </c>
      <c r="F54" s="152">
        <f t="shared" si="4"/>
        <v>5485.6</v>
      </c>
      <c r="G54" s="157"/>
    </row>
    <row r="55" spans="1:9" s="158" customFormat="1" ht="24" customHeight="1" x14ac:dyDescent="0.3">
      <c r="A55" s="277" t="s">
        <v>8</v>
      </c>
      <c r="B55" s="159" t="s">
        <v>333</v>
      </c>
      <c r="C55" s="117"/>
      <c r="D55" s="152">
        <v>174268.2</v>
      </c>
      <c r="E55" s="156">
        <v>-29.4</v>
      </c>
      <c r="F55" s="152">
        <f t="shared" si="4"/>
        <v>174238.80000000002</v>
      </c>
      <c r="G55" s="157"/>
    </row>
    <row r="56" spans="1:9" s="158" customFormat="1" ht="24" customHeight="1" x14ac:dyDescent="0.3">
      <c r="A56" s="277"/>
      <c r="B56" s="159" t="s">
        <v>334</v>
      </c>
      <c r="C56" s="173"/>
      <c r="D56" s="152">
        <v>1608.8</v>
      </c>
      <c r="E56" s="156">
        <v>1</v>
      </c>
      <c r="F56" s="152">
        <f t="shared" ref="F56" si="5">SUM(D56:E56)</f>
        <v>1609.8</v>
      </c>
      <c r="G56" s="157"/>
    </row>
    <row r="57" spans="1:9" s="158" customFormat="1" ht="24" customHeight="1" x14ac:dyDescent="0.3">
      <c r="A57" s="277"/>
      <c r="B57" s="159" t="s">
        <v>343</v>
      </c>
      <c r="C57" s="117"/>
      <c r="D57" s="152">
        <v>282194.3</v>
      </c>
      <c r="E57" s="156">
        <v>1.9</v>
      </c>
      <c r="F57" s="152">
        <f t="shared" si="4"/>
        <v>282196.2</v>
      </c>
      <c r="G57" s="157"/>
    </row>
    <row r="58" spans="1:9" s="158" customFormat="1" ht="24" customHeight="1" x14ac:dyDescent="0.3">
      <c r="A58" s="277"/>
      <c r="B58" s="159" t="s">
        <v>283</v>
      </c>
      <c r="C58" s="117"/>
      <c r="D58" s="152">
        <v>125</v>
      </c>
      <c r="E58" s="156">
        <v>1250</v>
      </c>
      <c r="F58" s="152">
        <f t="shared" ref="F58:F60" si="6">SUM(D58:E58)</f>
        <v>1375</v>
      </c>
      <c r="G58" s="157"/>
    </row>
    <row r="59" spans="1:9" s="158" customFormat="1" ht="24" customHeight="1" x14ac:dyDescent="0.3">
      <c r="A59" s="277"/>
      <c r="B59" s="159" t="s">
        <v>335</v>
      </c>
      <c r="C59" s="117"/>
      <c r="D59" s="152">
        <v>79.2</v>
      </c>
      <c r="E59" s="156">
        <v>-14.4</v>
      </c>
      <c r="F59" s="152">
        <f t="shared" si="6"/>
        <v>64.8</v>
      </c>
      <c r="G59" s="157"/>
    </row>
    <row r="60" spans="1:9" s="158" customFormat="1" ht="24" customHeight="1" x14ac:dyDescent="0.3">
      <c r="A60" s="277"/>
      <c r="B60" s="159" t="s">
        <v>336</v>
      </c>
      <c r="C60" s="117"/>
      <c r="D60" s="152">
        <v>32916.699999999997</v>
      </c>
      <c r="E60" s="156">
        <v>-1645.9</v>
      </c>
      <c r="F60" s="152">
        <f t="shared" si="6"/>
        <v>31270.799999999996</v>
      </c>
      <c r="G60" s="157"/>
    </row>
    <row r="61" spans="1:9" s="158" customFormat="1" ht="24" customHeight="1" x14ac:dyDescent="0.2">
      <c r="A61" s="160"/>
      <c r="B61" s="269" t="s">
        <v>254</v>
      </c>
      <c r="C61" s="269"/>
      <c r="D61" s="269"/>
      <c r="E61" s="269"/>
      <c r="F61" s="270"/>
      <c r="G61" s="157"/>
    </row>
    <row r="62" spans="1:9" s="158" customFormat="1" ht="24" customHeight="1" x14ac:dyDescent="0.3">
      <c r="A62" s="267" t="s">
        <v>30</v>
      </c>
      <c r="B62" s="153" t="s">
        <v>318</v>
      </c>
      <c r="C62" s="141"/>
      <c r="D62" s="152">
        <v>88083.9</v>
      </c>
      <c r="E62" s="161">
        <v>2.0979999999999999E-2</v>
      </c>
      <c r="F62" s="152">
        <f>D62+E62</f>
        <v>88083.920979999995</v>
      </c>
      <c r="G62" s="157"/>
    </row>
    <row r="63" spans="1:9" s="158" customFormat="1" ht="24" customHeight="1" x14ac:dyDescent="0.3">
      <c r="A63" s="268"/>
      <c r="B63" s="153" t="s">
        <v>319</v>
      </c>
      <c r="C63" s="141"/>
      <c r="D63" s="152">
        <v>3279.4</v>
      </c>
      <c r="E63" s="161">
        <v>4.5629999999999997E-2</v>
      </c>
      <c r="F63" s="152">
        <f t="shared" ref="F63:F68" si="7">D63+E63</f>
        <v>3279.4456300000002</v>
      </c>
      <c r="G63" s="157"/>
    </row>
    <row r="64" spans="1:9" s="158" customFormat="1" ht="24" customHeight="1" x14ac:dyDescent="0.3">
      <c r="A64" s="137" t="s">
        <v>8</v>
      </c>
      <c r="B64" s="153" t="s">
        <v>320</v>
      </c>
      <c r="C64" s="141"/>
      <c r="D64" s="152">
        <v>45609.8</v>
      </c>
      <c r="E64" s="161">
        <v>1.6299999999999999E-2</v>
      </c>
      <c r="F64" s="152">
        <f t="shared" si="7"/>
        <v>45609.816300000006</v>
      </c>
      <c r="G64" s="157"/>
    </row>
    <row r="65" spans="1:8" s="158" customFormat="1" ht="24" customHeight="1" x14ac:dyDescent="0.2">
      <c r="A65" s="160"/>
      <c r="B65" s="269" t="s">
        <v>321</v>
      </c>
      <c r="C65" s="269"/>
      <c r="D65" s="269"/>
      <c r="E65" s="269"/>
      <c r="F65" s="270"/>
      <c r="G65" s="157"/>
    </row>
    <row r="66" spans="1:8" s="158" customFormat="1" ht="24" customHeight="1" x14ac:dyDescent="0.3">
      <c r="A66" s="267" t="s">
        <v>30</v>
      </c>
      <c r="B66" s="153" t="s">
        <v>318</v>
      </c>
      <c r="C66" s="141"/>
      <c r="D66" s="152">
        <v>206186</v>
      </c>
      <c r="E66" s="161">
        <v>1.562E-2</v>
      </c>
      <c r="F66" s="152">
        <f t="shared" si="7"/>
        <v>206186.01561999999</v>
      </c>
      <c r="G66" s="157"/>
    </row>
    <row r="67" spans="1:8" s="158" customFormat="1" ht="24" customHeight="1" x14ac:dyDescent="0.3">
      <c r="A67" s="268"/>
      <c r="B67" s="153" t="s">
        <v>319</v>
      </c>
      <c r="C67" s="141"/>
      <c r="D67" s="152">
        <v>5911</v>
      </c>
      <c r="E67" s="161">
        <v>2.6270000000000002E-2</v>
      </c>
      <c r="F67" s="152">
        <f t="shared" si="7"/>
        <v>5911.0262700000003</v>
      </c>
      <c r="G67" s="157"/>
    </row>
    <row r="68" spans="1:8" s="158" customFormat="1" ht="24" customHeight="1" x14ac:dyDescent="0.3">
      <c r="A68" s="137" t="s">
        <v>8</v>
      </c>
      <c r="B68" s="153" t="s">
        <v>320</v>
      </c>
      <c r="C68" s="141"/>
      <c r="D68" s="152">
        <v>44384.1</v>
      </c>
      <c r="E68" s="161">
        <v>2.24E-2</v>
      </c>
      <c r="F68" s="152">
        <f t="shared" si="7"/>
        <v>44384.1224</v>
      </c>
      <c r="G68" s="157"/>
    </row>
    <row r="69" spans="1:8" s="158" customFormat="1" ht="19.5" customHeight="1" x14ac:dyDescent="0.35">
      <c r="A69" s="90" t="s">
        <v>6</v>
      </c>
      <c r="B69" s="266"/>
      <c r="C69" s="266"/>
      <c r="D69" s="162"/>
      <c r="E69" s="163">
        <f>SUM(E48:E60)</f>
        <v>32235.815060000001</v>
      </c>
      <c r="F69" s="162"/>
      <c r="G69" s="157"/>
      <c r="H69" s="164"/>
    </row>
    <row r="70" spans="1:8" ht="17.45" customHeight="1" x14ac:dyDescent="0.25">
      <c r="A70" s="95" t="s">
        <v>274</v>
      </c>
      <c r="B70" s="92"/>
      <c r="C70" s="92"/>
      <c r="D70" s="92"/>
      <c r="E70" s="97"/>
      <c r="F70" s="93"/>
      <c r="H70" s="94"/>
    </row>
    <row r="71" spans="1:8" ht="16.5" customHeight="1" x14ac:dyDescent="0.3">
      <c r="A71" s="261" t="s">
        <v>244</v>
      </c>
      <c r="B71" s="261"/>
      <c r="C71" s="261"/>
      <c r="D71" s="261"/>
      <c r="E71" s="261"/>
      <c r="F71" s="261"/>
    </row>
    <row r="72" spans="1:8" ht="261" customHeight="1" x14ac:dyDescent="0.3">
      <c r="A72" s="263" t="s">
        <v>401</v>
      </c>
      <c r="B72" s="263"/>
      <c r="C72" s="263"/>
      <c r="D72" s="263"/>
      <c r="E72" s="263"/>
      <c r="F72" s="263"/>
    </row>
    <row r="73" spans="1:8" ht="166.5" customHeight="1" x14ac:dyDescent="0.3">
      <c r="A73" s="262" t="s">
        <v>392</v>
      </c>
      <c r="B73" s="262"/>
      <c r="C73" s="262"/>
      <c r="D73" s="262"/>
      <c r="E73" s="262"/>
      <c r="F73" s="262"/>
    </row>
    <row r="74" spans="1:8" ht="268.5" customHeight="1" x14ac:dyDescent="0.3">
      <c r="A74" s="263" t="s">
        <v>374</v>
      </c>
      <c r="B74" s="263"/>
      <c r="C74" s="263"/>
      <c r="D74" s="263"/>
      <c r="E74" s="263"/>
      <c r="F74" s="263"/>
    </row>
    <row r="75" spans="1:8" ht="189.75" customHeight="1" x14ac:dyDescent="0.3">
      <c r="A75" s="262" t="s">
        <v>373</v>
      </c>
      <c r="B75" s="262"/>
      <c r="C75" s="262"/>
      <c r="D75" s="262"/>
      <c r="E75" s="262"/>
      <c r="F75" s="262"/>
    </row>
    <row r="76" spans="1:8" ht="201" customHeight="1" x14ac:dyDescent="0.3">
      <c r="A76" s="261" t="s">
        <v>393</v>
      </c>
      <c r="B76" s="261"/>
      <c r="C76" s="261"/>
      <c r="D76" s="261"/>
      <c r="E76" s="261"/>
      <c r="F76" s="261"/>
    </row>
    <row r="77" spans="1:8" ht="163.5" customHeight="1" x14ac:dyDescent="0.3">
      <c r="A77" s="262" t="s">
        <v>394</v>
      </c>
      <c r="B77" s="262"/>
      <c r="C77" s="262"/>
      <c r="D77" s="262"/>
      <c r="E77" s="262"/>
      <c r="F77" s="262"/>
    </row>
    <row r="78" spans="1:8" ht="39.75" customHeight="1" x14ac:dyDescent="0.3">
      <c r="A78" s="262" t="s">
        <v>375</v>
      </c>
      <c r="B78" s="262"/>
      <c r="C78" s="262"/>
      <c r="D78" s="262"/>
      <c r="E78" s="262"/>
      <c r="F78" s="262"/>
    </row>
    <row r="79" spans="1:8" ht="146.25" customHeight="1" x14ac:dyDescent="0.3">
      <c r="A79" s="262" t="s">
        <v>387</v>
      </c>
      <c r="B79" s="262"/>
      <c r="C79" s="262"/>
      <c r="D79" s="262"/>
      <c r="E79" s="262"/>
      <c r="F79" s="262"/>
    </row>
    <row r="80" spans="1:8" ht="79.5" customHeight="1" x14ac:dyDescent="0.3">
      <c r="A80" s="262" t="s">
        <v>341</v>
      </c>
      <c r="B80" s="262"/>
      <c r="C80" s="262"/>
      <c r="D80" s="262"/>
      <c r="E80" s="262"/>
      <c r="F80" s="262"/>
    </row>
    <row r="81" spans="1:8" ht="77.25" customHeight="1" x14ac:dyDescent="0.3">
      <c r="A81" s="262" t="s">
        <v>388</v>
      </c>
      <c r="B81" s="262"/>
      <c r="C81" s="262"/>
      <c r="D81" s="262"/>
      <c r="E81" s="262"/>
      <c r="F81" s="262"/>
    </row>
    <row r="82" spans="1:8" ht="39.75" customHeight="1" x14ac:dyDescent="0.3">
      <c r="A82" s="262" t="s">
        <v>322</v>
      </c>
      <c r="B82" s="262"/>
      <c r="C82" s="262"/>
      <c r="D82" s="262"/>
      <c r="E82" s="262"/>
      <c r="F82" s="262"/>
    </row>
    <row r="83" spans="1:8" ht="39.75" customHeight="1" x14ac:dyDescent="0.3">
      <c r="A83" s="262" t="s">
        <v>389</v>
      </c>
      <c r="B83" s="262"/>
      <c r="C83" s="262"/>
      <c r="D83" s="262"/>
      <c r="E83" s="262"/>
      <c r="F83" s="262"/>
    </row>
    <row r="84" spans="1:8" ht="39.75" customHeight="1" x14ac:dyDescent="0.3">
      <c r="A84" s="262" t="s">
        <v>356</v>
      </c>
      <c r="B84" s="262"/>
      <c r="C84" s="262"/>
      <c r="D84" s="262"/>
      <c r="E84" s="262"/>
      <c r="F84" s="262"/>
    </row>
    <row r="85" spans="1:8" ht="55.5" customHeight="1" x14ac:dyDescent="0.3">
      <c r="A85" s="262" t="s">
        <v>358</v>
      </c>
      <c r="B85" s="262"/>
      <c r="C85" s="262"/>
      <c r="D85" s="262"/>
      <c r="E85" s="262"/>
      <c r="F85" s="262"/>
    </row>
    <row r="86" spans="1:8" ht="27" customHeight="1" x14ac:dyDescent="0.3">
      <c r="A86" s="262" t="s">
        <v>370</v>
      </c>
      <c r="B86" s="262"/>
      <c r="C86" s="262"/>
      <c r="D86" s="262"/>
      <c r="E86" s="262"/>
      <c r="F86" s="262"/>
    </row>
    <row r="87" spans="1:8" ht="129" customHeight="1" x14ac:dyDescent="0.3">
      <c r="A87" s="262" t="s">
        <v>354</v>
      </c>
      <c r="B87" s="262"/>
      <c r="C87" s="262"/>
      <c r="D87" s="262"/>
      <c r="E87" s="262"/>
      <c r="F87" s="262"/>
    </row>
    <row r="88" spans="1:8" ht="60" customHeight="1" x14ac:dyDescent="0.3">
      <c r="A88" s="262" t="s">
        <v>350</v>
      </c>
      <c r="B88" s="262"/>
      <c r="C88" s="262"/>
      <c r="D88" s="262"/>
      <c r="E88" s="262"/>
      <c r="F88" s="262"/>
    </row>
    <row r="89" spans="1:8" ht="129" customHeight="1" x14ac:dyDescent="0.3">
      <c r="A89" s="262" t="s">
        <v>376</v>
      </c>
      <c r="B89" s="262"/>
      <c r="C89" s="262"/>
      <c r="D89" s="262"/>
      <c r="E89" s="262"/>
      <c r="F89" s="262"/>
    </row>
    <row r="90" spans="1:8" ht="57" customHeight="1" x14ac:dyDescent="0.3">
      <c r="A90" s="262" t="s">
        <v>390</v>
      </c>
      <c r="B90" s="262"/>
      <c r="C90" s="262"/>
      <c r="D90" s="262"/>
      <c r="E90" s="262"/>
      <c r="F90" s="262"/>
    </row>
    <row r="91" spans="1:8" s="110" customFormat="1" ht="29.25" customHeight="1" x14ac:dyDescent="0.3">
      <c r="A91" s="111"/>
      <c r="B91" s="112"/>
      <c r="C91" s="111"/>
      <c r="D91" s="111"/>
      <c r="E91" s="113"/>
      <c r="F91" s="114" t="s">
        <v>250</v>
      </c>
      <c r="G91" s="107"/>
      <c r="H91" s="87"/>
    </row>
    <row r="92" spans="1:8" ht="21" customHeight="1" x14ac:dyDescent="0.25">
      <c r="A92" s="116" t="s">
        <v>1</v>
      </c>
      <c r="B92" s="290" t="s">
        <v>2</v>
      </c>
      <c r="C92" s="291"/>
      <c r="D92" s="116" t="s">
        <v>3</v>
      </c>
      <c r="E92" s="98" t="s">
        <v>4</v>
      </c>
      <c r="F92" s="116" t="s">
        <v>5</v>
      </c>
      <c r="H92" s="96"/>
    </row>
    <row r="93" spans="1:8" ht="18.75" customHeight="1" x14ac:dyDescent="0.3">
      <c r="A93" s="267" t="s">
        <v>30</v>
      </c>
      <c r="B93" s="165" t="s">
        <v>302</v>
      </c>
      <c r="C93" s="166"/>
      <c r="D93" s="152">
        <v>7154.5</v>
      </c>
      <c r="E93" s="167">
        <v>-6</v>
      </c>
      <c r="F93" s="168">
        <f t="shared" ref="F93" si="8">SUM(D93:E93)</f>
        <v>7148.5</v>
      </c>
      <c r="H93" s="79"/>
    </row>
    <row r="94" spans="1:8" ht="18.75" customHeight="1" x14ac:dyDescent="0.3">
      <c r="A94" s="278"/>
      <c r="B94" s="165" t="s">
        <v>303</v>
      </c>
      <c r="C94" s="166"/>
      <c r="D94" s="152">
        <v>177.1</v>
      </c>
      <c r="E94" s="167">
        <v>6</v>
      </c>
      <c r="F94" s="168">
        <f t="shared" ref="F94:F96" si="9">SUM(D94:E94)</f>
        <v>183.1</v>
      </c>
      <c r="H94" s="79"/>
    </row>
    <row r="95" spans="1:8" ht="18.75" customHeight="1" x14ac:dyDescent="0.3">
      <c r="A95" s="278"/>
      <c r="B95" s="165" t="s">
        <v>365</v>
      </c>
      <c r="C95" s="166"/>
      <c r="D95" s="152">
        <v>16199.3</v>
      </c>
      <c r="E95" s="167">
        <f>-1421.829-46-1000-76.9</f>
        <v>-2544.7289999999998</v>
      </c>
      <c r="F95" s="168">
        <f t="shared" si="9"/>
        <v>13654.571</v>
      </c>
      <c r="H95" s="79"/>
    </row>
    <row r="96" spans="1:8" ht="18.75" customHeight="1" x14ac:dyDescent="0.3">
      <c r="A96" s="278"/>
      <c r="B96" s="165" t="s">
        <v>357</v>
      </c>
      <c r="C96" s="166"/>
      <c r="D96" s="152">
        <v>1357.1</v>
      </c>
      <c r="E96" s="167">
        <f>1567.92834+299.53153+1421.829</f>
        <v>3289.2888699999999</v>
      </c>
      <c r="F96" s="168">
        <f t="shared" si="9"/>
        <v>4646.3888699999998</v>
      </c>
      <c r="H96" s="79"/>
    </row>
    <row r="97" spans="1:8" ht="18.75" customHeight="1" x14ac:dyDescent="0.3">
      <c r="A97" s="278"/>
      <c r="B97" s="165" t="s">
        <v>299</v>
      </c>
      <c r="C97" s="166"/>
      <c r="D97" s="152">
        <v>4266.3999999999996</v>
      </c>
      <c r="E97" s="167">
        <f>-2729-73.5-124-20-11.7</f>
        <v>-2958.2</v>
      </c>
      <c r="F97" s="168">
        <f t="shared" ref="F97:F99" si="10">SUM(D97:E97)</f>
        <v>1308.1999999999998</v>
      </c>
      <c r="H97" s="79"/>
    </row>
    <row r="98" spans="1:8" ht="18.75" customHeight="1" x14ac:dyDescent="0.3">
      <c r="A98" s="278"/>
      <c r="B98" s="165" t="s">
        <v>367</v>
      </c>
      <c r="C98" s="166"/>
      <c r="D98" s="152">
        <v>77.8</v>
      </c>
      <c r="E98" s="167">
        <v>11.7</v>
      </c>
      <c r="F98" s="168">
        <f t="shared" ref="F98" si="11">SUM(D98:E98)</f>
        <v>89.5</v>
      </c>
      <c r="H98" s="79"/>
    </row>
    <row r="99" spans="1:8" ht="18.75" customHeight="1" x14ac:dyDescent="0.3">
      <c r="A99" s="278"/>
      <c r="B99" s="165" t="s">
        <v>301</v>
      </c>
      <c r="C99" s="166"/>
      <c r="D99" s="152">
        <v>155.30000000000001</v>
      </c>
      <c r="E99" s="167">
        <f>73.5+20</f>
        <v>93.5</v>
      </c>
      <c r="F99" s="168">
        <f t="shared" si="10"/>
        <v>248.8</v>
      </c>
      <c r="H99" s="79"/>
    </row>
    <row r="100" spans="1:8" ht="18.75" customHeight="1" x14ac:dyDescent="0.3">
      <c r="A100" s="278"/>
      <c r="B100" s="165" t="s">
        <v>262</v>
      </c>
      <c r="C100" s="166"/>
      <c r="D100" s="152">
        <v>6477.2</v>
      </c>
      <c r="E100" s="167">
        <v>-5932.2</v>
      </c>
      <c r="F100" s="168">
        <f t="shared" ref="F100:F117" si="12">SUM(D100:E100)</f>
        <v>545</v>
      </c>
      <c r="H100" s="79"/>
    </row>
    <row r="101" spans="1:8" ht="18.75" customHeight="1" x14ac:dyDescent="0.3">
      <c r="A101" s="278"/>
      <c r="B101" s="165" t="s">
        <v>263</v>
      </c>
      <c r="C101" s="166"/>
      <c r="D101" s="152">
        <v>2532.5</v>
      </c>
      <c r="E101" s="167">
        <v>-1105.3891100000001</v>
      </c>
      <c r="F101" s="168">
        <f t="shared" si="12"/>
        <v>1427.1108899999999</v>
      </c>
      <c r="H101" s="79"/>
    </row>
    <row r="102" spans="1:8" ht="18.75" customHeight="1" x14ac:dyDescent="0.3">
      <c r="A102" s="278"/>
      <c r="B102" s="165" t="s">
        <v>264</v>
      </c>
      <c r="C102" s="166"/>
      <c r="D102" s="152">
        <v>38.5</v>
      </c>
      <c r="E102" s="167">
        <v>-38.5</v>
      </c>
      <c r="F102" s="168">
        <f t="shared" si="12"/>
        <v>0</v>
      </c>
      <c r="H102" s="79"/>
    </row>
    <row r="103" spans="1:8" ht="18.75" customHeight="1" x14ac:dyDescent="0.3">
      <c r="A103" s="278"/>
      <c r="B103" s="165" t="s">
        <v>255</v>
      </c>
      <c r="C103" s="166"/>
      <c r="D103" s="152">
        <v>24938.9</v>
      </c>
      <c r="E103" s="167">
        <f>7076.08911+2729+9974.3+3000</f>
        <v>22779.38911</v>
      </c>
      <c r="F103" s="168">
        <f t="shared" si="12"/>
        <v>47718.289109999998</v>
      </c>
      <c r="H103" s="79"/>
    </row>
    <row r="104" spans="1:8" ht="18.75" customHeight="1" x14ac:dyDescent="0.3">
      <c r="A104" s="278"/>
      <c r="B104" s="165" t="s">
        <v>304</v>
      </c>
      <c r="C104" s="166"/>
      <c r="D104" s="152">
        <v>497</v>
      </c>
      <c r="E104" s="167">
        <v>-43</v>
      </c>
      <c r="F104" s="168">
        <f t="shared" si="12"/>
        <v>454</v>
      </c>
      <c r="H104" s="79"/>
    </row>
    <row r="105" spans="1:8" ht="18.75" customHeight="1" x14ac:dyDescent="0.3">
      <c r="A105" s="278"/>
      <c r="B105" s="165" t="s">
        <v>305</v>
      </c>
      <c r="C105" s="166"/>
      <c r="D105" s="152">
        <v>9666.4</v>
      </c>
      <c r="E105" s="167">
        <v>43</v>
      </c>
      <c r="F105" s="168">
        <f t="shared" si="12"/>
        <v>9709.4</v>
      </c>
      <c r="H105" s="79"/>
    </row>
    <row r="106" spans="1:8" ht="18.75" customHeight="1" x14ac:dyDescent="0.3">
      <c r="A106" s="278"/>
      <c r="B106" s="165" t="s">
        <v>332</v>
      </c>
      <c r="C106" s="166"/>
      <c r="D106" s="152">
        <v>125</v>
      </c>
      <c r="E106" s="167">
        <v>124</v>
      </c>
      <c r="F106" s="168">
        <f t="shared" si="12"/>
        <v>249</v>
      </c>
      <c r="H106" s="79"/>
    </row>
    <row r="107" spans="1:8" ht="18.75" customHeight="1" x14ac:dyDescent="0.3">
      <c r="A107" s="278"/>
      <c r="B107" s="165" t="s">
        <v>292</v>
      </c>
      <c r="C107" s="166"/>
      <c r="D107" s="152">
        <v>11019.4</v>
      </c>
      <c r="E107" s="167">
        <f>-75.4-190</f>
        <v>-265.39999999999998</v>
      </c>
      <c r="F107" s="168">
        <f t="shared" si="12"/>
        <v>10754</v>
      </c>
      <c r="H107" s="79"/>
    </row>
    <row r="108" spans="1:8" ht="18.75" customHeight="1" x14ac:dyDescent="0.3">
      <c r="A108" s="278"/>
      <c r="B108" s="165" t="s">
        <v>293</v>
      </c>
      <c r="C108" s="166"/>
      <c r="D108" s="152">
        <v>521.5</v>
      </c>
      <c r="E108" s="167">
        <v>-521.5</v>
      </c>
      <c r="F108" s="168">
        <f t="shared" si="12"/>
        <v>0</v>
      </c>
      <c r="H108" s="79"/>
    </row>
    <row r="109" spans="1:8" ht="18.75" customHeight="1" x14ac:dyDescent="0.3">
      <c r="A109" s="278"/>
      <c r="B109" s="165" t="s">
        <v>294</v>
      </c>
      <c r="C109" s="166"/>
      <c r="D109" s="152">
        <v>0</v>
      </c>
      <c r="E109" s="167">
        <v>596.9</v>
      </c>
      <c r="F109" s="168">
        <f t="shared" si="12"/>
        <v>596.9</v>
      </c>
      <c r="H109" s="79"/>
    </row>
    <row r="110" spans="1:8" ht="18.75" customHeight="1" x14ac:dyDescent="0.3">
      <c r="A110" s="268"/>
      <c r="B110" s="165" t="s">
        <v>286</v>
      </c>
      <c r="C110" s="166"/>
      <c r="D110" s="152">
        <v>2232.4</v>
      </c>
      <c r="E110" s="167">
        <f>-527.9+1000</f>
        <v>472.1</v>
      </c>
      <c r="F110" s="168">
        <f t="shared" si="12"/>
        <v>2704.5</v>
      </c>
      <c r="H110" s="79"/>
    </row>
    <row r="111" spans="1:8" ht="18.75" customHeight="1" x14ac:dyDescent="0.3">
      <c r="A111" s="267" t="s">
        <v>34</v>
      </c>
      <c r="B111" s="165" t="s">
        <v>288</v>
      </c>
      <c r="C111" s="166"/>
      <c r="D111" s="152">
        <v>0</v>
      </c>
      <c r="E111" s="167">
        <v>586.1</v>
      </c>
      <c r="F111" s="168">
        <f t="shared" si="12"/>
        <v>586.1</v>
      </c>
      <c r="H111" s="79"/>
    </row>
    <row r="112" spans="1:8" ht="18.75" customHeight="1" x14ac:dyDescent="0.3">
      <c r="A112" s="278"/>
      <c r="B112" s="165" t="s">
        <v>312</v>
      </c>
      <c r="C112" s="166"/>
      <c r="D112" s="152">
        <v>38.299999999999997</v>
      </c>
      <c r="E112" s="167">
        <v>200</v>
      </c>
      <c r="F112" s="168">
        <f t="shared" si="12"/>
        <v>238.3</v>
      </c>
      <c r="H112" s="79"/>
    </row>
    <row r="113" spans="1:8" ht="18.75" customHeight="1" x14ac:dyDescent="0.3">
      <c r="A113" s="278"/>
      <c r="B113" s="165" t="s">
        <v>313</v>
      </c>
      <c r="C113" s="166"/>
      <c r="D113" s="152">
        <v>264</v>
      </c>
      <c r="E113" s="167">
        <v>200</v>
      </c>
      <c r="F113" s="168">
        <f t="shared" si="12"/>
        <v>464</v>
      </c>
      <c r="H113" s="79"/>
    </row>
    <row r="114" spans="1:8" ht="18.75" customHeight="1" x14ac:dyDescent="0.3">
      <c r="A114" s="278"/>
      <c r="B114" s="165" t="s">
        <v>289</v>
      </c>
      <c r="C114" s="166"/>
      <c r="D114" s="152">
        <v>30</v>
      </c>
      <c r="E114" s="167">
        <f>-30+5</f>
        <v>-25</v>
      </c>
      <c r="F114" s="168">
        <f t="shared" si="12"/>
        <v>5</v>
      </c>
      <c r="H114" s="79"/>
    </row>
    <row r="115" spans="1:8" ht="18.75" customHeight="1" x14ac:dyDescent="0.3">
      <c r="A115" s="278"/>
      <c r="B115" s="165" t="s">
        <v>290</v>
      </c>
      <c r="C115" s="166"/>
      <c r="D115" s="152">
        <v>2119.5</v>
      </c>
      <c r="E115" s="167">
        <f>246+134.2+500</f>
        <v>880.2</v>
      </c>
      <c r="F115" s="168">
        <f t="shared" si="12"/>
        <v>2999.7</v>
      </c>
      <c r="H115" s="79"/>
    </row>
    <row r="116" spans="1:8" ht="18.75" customHeight="1" x14ac:dyDescent="0.3">
      <c r="A116" s="278"/>
      <c r="B116" s="165" t="s">
        <v>291</v>
      </c>
      <c r="C116" s="166"/>
      <c r="D116" s="152">
        <v>14</v>
      </c>
      <c r="E116" s="167">
        <f>10+10</f>
        <v>20</v>
      </c>
      <c r="F116" s="168">
        <f t="shared" si="12"/>
        <v>34</v>
      </c>
      <c r="H116" s="79"/>
    </row>
    <row r="117" spans="1:8" ht="18.75" customHeight="1" x14ac:dyDescent="0.3">
      <c r="A117" s="278"/>
      <c r="B117" s="165" t="s">
        <v>300</v>
      </c>
      <c r="C117" s="166"/>
      <c r="D117" s="152">
        <v>100</v>
      </c>
      <c r="E117" s="167">
        <v>200</v>
      </c>
      <c r="F117" s="168">
        <f t="shared" si="12"/>
        <v>300</v>
      </c>
      <c r="H117" s="79"/>
    </row>
    <row r="118" spans="1:8" ht="18.75" customHeight="1" x14ac:dyDescent="0.3">
      <c r="A118" s="278"/>
      <c r="B118" s="165" t="s">
        <v>265</v>
      </c>
      <c r="C118" s="166"/>
      <c r="D118" s="152">
        <v>536.6</v>
      </c>
      <c r="E118" s="167">
        <f>-30.4+100</f>
        <v>69.599999999999994</v>
      </c>
      <c r="F118" s="168">
        <f t="shared" ref="F118:F126" si="13">SUM(D118:E118)</f>
        <v>606.20000000000005</v>
      </c>
    </row>
    <row r="119" spans="1:8" ht="18.75" customHeight="1" x14ac:dyDescent="0.3">
      <c r="A119" s="278"/>
      <c r="B119" s="165" t="s">
        <v>266</v>
      </c>
      <c r="C119" s="166"/>
      <c r="D119" s="152">
        <v>1</v>
      </c>
      <c r="E119" s="167">
        <f>30.4+12.3</f>
        <v>42.7</v>
      </c>
      <c r="F119" s="168">
        <f t="shared" si="13"/>
        <v>43.7</v>
      </c>
    </row>
    <row r="120" spans="1:8" ht="18.75" customHeight="1" x14ac:dyDescent="0.3">
      <c r="A120" s="278"/>
      <c r="B120" s="165" t="s">
        <v>314</v>
      </c>
      <c r="C120" s="166"/>
      <c r="D120" s="152">
        <v>107.8</v>
      </c>
      <c r="E120" s="167">
        <v>300</v>
      </c>
      <c r="F120" s="168">
        <f t="shared" si="13"/>
        <v>407.8</v>
      </c>
    </row>
    <row r="121" spans="1:8" ht="18.75" customHeight="1" x14ac:dyDescent="0.3">
      <c r="A121" s="268"/>
      <c r="B121" s="165" t="s">
        <v>287</v>
      </c>
      <c r="C121" s="166"/>
      <c r="D121" s="152">
        <v>4488.8</v>
      </c>
      <c r="E121" s="167">
        <f>527.9-812.1-212.3-949.2-500</f>
        <v>-1945.7</v>
      </c>
      <c r="F121" s="168">
        <f t="shared" si="13"/>
        <v>2543.1000000000004</v>
      </c>
    </row>
    <row r="122" spans="1:8" ht="18.75" customHeight="1" x14ac:dyDescent="0.3">
      <c r="A122" s="178" t="s">
        <v>371</v>
      </c>
      <c r="B122" s="165" t="s">
        <v>372</v>
      </c>
      <c r="C122" s="166"/>
      <c r="D122" s="152">
        <v>295.89999999999998</v>
      </c>
      <c r="E122" s="167">
        <v>46</v>
      </c>
      <c r="F122" s="168">
        <f t="shared" si="13"/>
        <v>341.9</v>
      </c>
    </row>
    <row r="123" spans="1:8" ht="18.75" customHeight="1" x14ac:dyDescent="0.3">
      <c r="A123" s="267" t="s">
        <v>14</v>
      </c>
      <c r="B123" s="165" t="s">
        <v>251</v>
      </c>
      <c r="C123" s="166"/>
      <c r="D123" s="152">
        <v>557</v>
      </c>
      <c r="E123" s="167">
        <v>-44.5</v>
      </c>
      <c r="F123" s="168">
        <f t="shared" si="13"/>
        <v>512.5</v>
      </c>
    </row>
    <row r="124" spans="1:8" ht="18.75" customHeight="1" x14ac:dyDescent="0.3">
      <c r="A124" s="278"/>
      <c r="B124" s="165" t="s">
        <v>252</v>
      </c>
      <c r="C124" s="166"/>
      <c r="D124" s="152">
        <v>25103.200000000001</v>
      </c>
      <c r="E124" s="167">
        <f>758.9+44.5+1422.6</f>
        <v>2226</v>
      </c>
      <c r="F124" s="168">
        <f t="shared" si="13"/>
        <v>27329.200000000001</v>
      </c>
    </row>
    <row r="125" spans="1:8" ht="18.75" customHeight="1" x14ac:dyDescent="0.3">
      <c r="A125" s="278"/>
      <c r="B125" s="165" t="s">
        <v>311</v>
      </c>
      <c r="C125" s="166"/>
      <c r="D125" s="152">
        <v>42630.6</v>
      </c>
      <c r="E125" s="167">
        <f>-146.2+70</f>
        <v>-76.199999999999989</v>
      </c>
      <c r="F125" s="168">
        <f t="shared" si="13"/>
        <v>42554.400000000001</v>
      </c>
    </row>
    <row r="126" spans="1:8" ht="18.75" customHeight="1" x14ac:dyDescent="0.3">
      <c r="A126" s="278"/>
      <c r="B126" s="165" t="s">
        <v>267</v>
      </c>
      <c r="C126" s="166"/>
      <c r="D126" s="152">
        <v>14452.4</v>
      </c>
      <c r="E126" s="167">
        <f>-126.5-48.7</f>
        <v>-175.2</v>
      </c>
      <c r="F126" s="168">
        <f t="shared" si="13"/>
        <v>14277.199999999999</v>
      </c>
    </row>
    <row r="127" spans="1:8" ht="18.75" customHeight="1" x14ac:dyDescent="0.3">
      <c r="A127" s="268"/>
      <c r="B127" s="165" t="s">
        <v>268</v>
      </c>
      <c r="C127" s="166"/>
      <c r="D127" s="152">
        <v>15216.2</v>
      </c>
      <c r="E127" s="167">
        <f>-632.4-1227.7</f>
        <v>-1860.1</v>
      </c>
      <c r="F127" s="168">
        <f t="shared" ref="F127:F133" si="14">SUM(D127:E127)</f>
        <v>13356.1</v>
      </c>
    </row>
    <row r="128" spans="1:8" ht="18.75" customHeight="1" x14ac:dyDescent="0.3">
      <c r="A128" s="267" t="s">
        <v>8</v>
      </c>
      <c r="B128" s="165" t="s">
        <v>359</v>
      </c>
      <c r="C128" s="166"/>
      <c r="D128" s="152">
        <v>2475.8000000000002</v>
      </c>
      <c r="E128" s="167">
        <f>-100-470</f>
        <v>-570</v>
      </c>
      <c r="F128" s="168">
        <f t="shared" si="14"/>
        <v>1905.8000000000002</v>
      </c>
    </row>
    <row r="129" spans="1:6" ht="18.75" customHeight="1" x14ac:dyDescent="0.3">
      <c r="A129" s="278"/>
      <c r="B129" s="165" t="s">
        <v>362</v>
      </c>
      <c r="C129" s="166"/>
      <c r="D129" s="152">
        <v>10160.5</v>
      </c>
      <c r="E129" s="167">
        <v>-49.4</v>
      </c>
      <c r="F129" s="168">
        <f t="shared" si="14"/>
        <v>10111.1</v>
      </c>
    </row>
    <row r="130" spans="1:6" ht="18.75" customHeight="1" x14ac:dyDescent="0.3">
      <c r="A130" s="278"/>
      <c r="B130" s="165" t="s">
        <v>363</v>
      </c>
      <c r="C130" s="166"/>
      <c r="D130" s="152">
        <v>172.2</v>
      </c>
      <c r="E130" s="167">
        <v>49.4</v>
      </c>
      <c r="F130" s="168">
        <f t="shared" si="14"/>
        <v>221.6</v>
      </c>
    </row>
    <row r="131" spans="1:6" ht="18.75" customHeight="1" x14ac:dyDescent="0.3">
      <c r="A131" s="278"/>
      <c r="B131" s="165" t="s">
        <v>364</v>
      </c>
      <c r="C131" s="166"/>
      <c r="D131" s="152">
        <v>773.3</v>
      </c>
      <c r="E131" s="167">
        <v>-160</v>
      </c>
      <c r="F131" s="168">
        <f t="shared" si="14"/>
        <v>613.29999999999995</v>
      </c>
    </row>
    <row r="132" spans="1:6" ht="18.75" customHeight="1" x14ac:dyDescent="0.3">
      <c r="A132" s="278"/>
      <c r="B132" s="165" t="s">
        <v>361</v>
      </c>
      <c r="C132" s="166"/>
      <c r="D132" s="152">
        <v>2415.9</v>
      </c>
      <c r="E132" s="167">
        <f>-99.53153-524.6</f>
        <v>-624.13153</v>
      </c>
      <c r="F132" s="168">
        <f t="shared" si="14"/>
        <v>1791.76847</v>
      </c>
    </row>
    <row r="133" spans="1:6" ht="19.5" customHeight="1" x14ac:dyDescent="0.3">
      <c r="A133" s="278"/>
      <c r="B133" s="169" t="s">
        <v>253</v>
      </c>
      <c r="C133" s="166"/>
      <c r="D133" s="152">
        <v>52678.2</v>
      </c>
      <c r="E133" s="167">
        <f>94.1-74.6-9974.3+821</f>
        <v>-9133.7999999999993</v>
      </c>
      <c r="F133" s="168">
        <f t="shared" si="14"/>
        <v>43544.399999999994</v>
      </c>
    </row>
    <row r="134" spans="1:6" ht="19.5" customHeight="1" x14ac:dyDescent="0.3">
      <c r="A134" s="278"/>
      <c r="B134" s="169" t="s">
        <v>284</v>
      </c>
      <c r="C134" s="166"/>
      <c r="D134" s="152">
        <v>0.8</v>
      </c>
      <c r="E134" s="167">
        <v>2.8</v>
      </c>
      <c r="F134" s="168">
        <f t="shared" ref="F134:F148" si="15">SUM(D134:E134)</f>
        <v>3.5999999999999996</v>
      </c>
    </row>
    <row r="135" spans="1:6" ht="19.5" customHeight="1" x14ac:dyDescent="0.3">
      <c r="A135" s="278"/>
      <c r="B135" s="169" t="s">
        <v>285</v>
      </c>
      <c r="C135" s="166"/>
      <c r="D135" s="152">
        <v>4335.5</v>
      </c>
      <c r="E135" s="167">
        <v>71.8</v>
      </c>
      <c r="F135" s="168">
        <f t="shared" si="15"/>
        <v>4407.3</v>
      </c>
    </row>
    <row r="136" spans="1:6" ht="19.5" customHeight="1" x14ac:dyDescent="0.3">
      <c r="A136" s="278"/>
      <c r="B136" s="169" t="s">
        <v>283</v>
      </c>
      <c r="C136" s="166"/>
      <c r="D136" s="152">
        <f>F58</f>
        <v>1375</v>
      </c>
      <c r="E136" s="167">
        <v>72</v>
      </c>
      <c r="F136" s="168">
        <f t="shared" si="15"/>
        <v>1447</v>
      </c>
    </row>
    <row r="137" spans="1:6" ht="18.75" x14ac:dyDescent="0.3">
      <c r="A137" s="278"/>
      <c r="B137" s="169" t="s">
        <v>256</v>
      </c>
      <c r="C137" s="166"/>
      <c r="D137" s="152">
        <v>89826.8</v>
      </c>
      <c r="E137" s="167">
        <f>56.5+503.6</f>
        <v>560.1</v>
      </c>
      <c r="F137" s="168">
        <f t="shared" si="15"/>
        <v>90386.900000000009</v>
      </c>
    </row>
    <row r="138" spans="1:6" ht="18.75" x14ac:dyDescent="0.3">
      <c r="A138" s="278"/>
      <c r="B138" s="169" t="s">
        <v>360</v>
      </c>
      <c r="C138" s="166"/>
      <c r="D138" s="152">
        <v>1132.0999999999999</v>
      </c>
      <c r="E138" s="167">
        <f>-100-170</f>
        <v>-270</v>
      </c>
      <c r="F138" s="168">
        <f t="shared" si="15"/>
        <v>862.09999999999991</v>
      </c>
    </row>
    <row r="139" spans="1:6" ht="18.75" x14ac:dyDescent="0.3">
      <c r="A139" s="278"/>
      <c r="B139" s="169" t="s">
        <v>257</v>
      </c>
      <c r="C139" s="166"/>
      <c r="D139" s="152">
        <v>1344.1</v>
      </c>
      <c r="E139" s="167">
        <v>-94.1</v>
      </c>
      <c r="F139" s="168">
        <f t="shared" si="15"/>
        <v>1250</v>
      </c>
    </row>
    <row r="140" spans="1:6" ht="18.75" x14ac:dyDescent="0.3">
      <c r="A140" s="278"/>
      <c r="B140" s="169" t="s">
        <v>258</v>
      </c>
      <c r="C140" s="166"/>
      <c r="D140" s="152">
        <v>806.5</v>
      </c>
      <c r="E140" s="167">
        <v>-56.5</v>
      </c>
      <c r="F140" s="168">
        <f t="shared" si="15"/>
        <v>750</v>
      </c>
    </row>
    <row r="141" spans="1:6" ht="18.75" x14ac:dyDescent="0.3">
      <c r="A141" s="268"/>
      <c r="B141" s="165" t="s">
        <v>377</v>
      </c>
      <c r="C141" s="166"/>
      <c r="D141" s="152">
        <v>804</v>
      </c>
      <c r="E141" s="167">
        <v>100</v>
      </c>
      <c r="F141" s="168">
        <f t="shared" si="15"/>
        <v>904</v>
      </c>
    </row>
    <row r="142" spans="1:6" ht="18.75" x14ac:dyDescent="0.3">
      <c r="A142" s="267" t="s">
        <v>308</v>
      </c>
      <c r="B142" s="165" t="s">
        <v>309</v>
      </c>
      <c r="C142" s="166"/>
      <c r="D142" s="152">
        <v>59.2</v>
      </c>
      <c r="E142" s="167">
        <v>23</v>
      </c>
      <c r="F142" s="168">
        <f t="shared" si="15"/>
        <v>82.2</v>
      </c>
    </row>
    <row r="143" spans="1:6" ht="18.75" x14ac:dyDescent="0.3">
      <c r="A143" s="268"/>
      <c r="B143" s="165" t="s">
        <v>310</v>
      </c>
      <c r="C143" s="166"/>
      <c r="D143" s="152">
        <v>23</v>
      </c>
      <c r="E143" s="167">
        <v>-23</v>
      </c>
      <c r="F143" s="168">
        <f t="shared" si="15"/>
        <v>0</v>
      </c>
    </row>
    <row r="144" spans="1:6" ht="18.75" x14ac:dyDescent="0.3">
      <c r="A144" s="267" t="s">
        <v>25</v>
      </c>
      <c r="B144" s="165" t="s">
        <v>353</v>
      </c>
      <c r="C144" s="166"/>
      <c r="D144" s="152">
        <v>0</v>
      </c>
      <c r="E144" s="167">
        <f>113.9+94.5</f>
        <v>208.4</v>
      </c>
      <c r="F144" s="168">
        <f t="shared" ref="F144" si="16">SUM(D144:E144)</f>
        <v>208.4</v>
      </c>
    </row>
    <row r="145" spans="1:8" ht="18.75" x14ac:dyDescent="0.3">
      <c r="A145" s="268"/>
      <c r="B145" s="165" t="s">
        <v>269</v>
      </c>
      <c r="C145" s="166"/>
      <c r="D145" s="152">
        <v>439.7</v>
      </c>
      <c r="E145" s="167">
        <f>186.72+266.1+857.2</f>
        <v>1310.02</v>
      </c>
      <c r="F145" s="168">
        <f t="shared" ref="F145" si="17">SUM(D145:E145)</f>
        <v>1749.72</v>
      </c>
    </row>
    <row r="146" spans="1:8" ht="18.75" x14ac:dyDescent="0.3">
      <c r="A146" s="267" t="s">
        <v>26</v>
      </c>
      <c r="B146" s="169" t="s">
        <v>259</v>
      </c>
      <c r="C146" s="169"/>
      <c r="D146" s="152">
        <v>61460.2</v>
      </c>
      <c r="E146" s="167">
        <f>17700-1567.92834+12610.7+1000</f>
        <v>29742.771659999999</v>
      </c>
      <c r="F146" s="168">
        <f t="shared" si="15"/>
        <v>91202.971659999996</v>
      </c>
    </row>
    <row r="147" spans="1:8" ht="18.75" x14ac:dyDescent="0.3">
      <c r="A147" s="278"/>
      <c r="B147" s="169" t="s">
        <v>298</v>
      </c>
      <c r="C147" s="169"/>
      <c r="D147" s="152">
        <v>0</v>
      </c>
      <c r="E147" s="167">
        <v>190</v>
      </c>
      <c r="F147" s="168">
        <f t="shared" si="15"/>
        <v>190</v>
      </c>
    </row>
    <row r="148" spans="1:8" ht="18.75" x14ac:dyDescent="0.3">
      <c r="A148" s="278"/>
      <c r="B148" s="169" t="s">
        <v>260</v>
      </c>
      <c r="C148" s="169"/>
      <c r="D148" s="152">
        <v>2000</v>
      </c>
      <c r="E148" s="167">
        <v>2000</v>
      </c>
      <c r="F148" s="168">
        <f t="shared" si="15"/>
        <v>4000</v>
      </c>
    </row>
    <row r="149" spans="1:8" ht="18.75" x14ac:dyDescent="0.3">
      <c r="A149" s="278"/>
      <c r="B149" s="169" t="s">
        <v>249</v>
      </c>
      <c r="C149" s="169"/>
      <c r="D149" s="152">
        <v>65839.7</v>
      </c>
      <c r="E149" s="167">
        <f>-10000-1000-3000-14000</f>
        <v>-28000</v>
      </c>
      <c r="F149" s="168">
        <f t="shared" ref="F149" si="18">SUM(D149:E149)</f>
        <v>37839.699999999997</v>
      </c>
      <c r="H149" s="79"/>
    </row>
    <row r="150" spans="1:8" ht="18.75" x14ac:dyDescent="0.3">
      <c r="A150" s="278"/>
      <c r="B150" s="169" t="s">
        <v>248</v>
      </c>
      <c r="C150" s="169"/>
      <c r="D150" s="152">
        <v>29108.1</v>
      </c>
      <c r="E150" s="167">
        <f>-10000+1000-8000</f>
        <v>-17000</v>
      </c>
      <c r="F150" s="168">
        <f t="shared" ref="F150:F154" si="19">SUM(D150:E150)</f>
        <v>12108.099999999999</v>
      </c>
      <c r="H150" s="79"/>
    </row>
    <row r="151" spans="1:8" ht="18.75" x14ac:dyDescent="0.3">
      <c r="A151" s="278"/>
      <c r="B151" s="169" t="s">
        <v>270</v>
      </c>
      <c r="C151" s="169"/>
      <c r="D151" s="152">
        <v>0</v>
      </c>
      <c r="E151" s="167">
        <v>121</v>
      </c>
      <c r="F151" s="168">
        <f t="shared" ref="F151" si="20">SUM(D151:E151)</f>
        <v>121</v>
      </c>
      <c r="H151" s="79"/>
    </row>
    <row r="152" spans="1:8" ht="18.75" x14ac:dyDescent="0.3">
      <c r="A152" s="278"/>
      <c r="B152" s="169" t="s">
        <v>271</v>
      </c>
      <c r="C152" s="169"/>
      <c r="D152" s="152">
        <v>2294.5</v>
      </c>
      <c r="E152" s="167">
        <v>-121</v>
      </c>
      <c r="F152" s="168">
        <f t="shared" si="19"/>
        <v>2173.5</v>
      </c>
      <c r="H152" s="79"/>
    </row>
    <row r="153" spans="1:8" ht="18.75" x14ac:dyDescent="0.3">
      <c r="A153" s="278"/>
      <c r="B153" s="169" t="s">
        <v>260</v>
      </c>
      <c r="C153" s="169"/>
      <c r="D153" s="152">
        <v>4000</v>
      </c>
      <c r="E153" s="167">
        <v>1300</v>
      </c>
      <c r="F153" s="168">
        <f t="shared" si="19"/>
        <v>5300</v>
      </c>
      <c r="H153" s="79"/>
    </row>
    <row r="154" spans="1:8" ht="18.75" x14ac:dyDescent="0.3">
      <c r="A154" s="268"/>
      <c r="B154" s="169" t="s">
        <v>261</v>
      </c>
      <c r="C154" s="169"/>
      <c r="D154" s="152">
        <v>6861.1</v>
      </c>
      <c r="E154" s="167">
        <f>300+8089.3+300</f>
        <v>8689.2999999999993</v>
      </c>
      <c r="F154" s="168">
        <f t="shared" si="19"/>
        <v>15550.4</v>
      </c>
      <c r="H154" s="79"/>
    </row>
    <row r="155" spans="1:8" ht="18.75" x14ac:dyDescent="0.25">
      <c r="A155" s="117"/>
      <c r="B155" s="292" t="s">
        <v>254</v>
      </c>
      <c r="C155" s="269"/>
      <c r="D155" s="269"/>
      <c r="E155" s="269"/>
      <c r="F155" s="270"/>
      <c r="H155" s="79"/>
    </row>
    <row r="156" spans="1:8" ht="18.75" x14ac:dyDescent="0.3">
      <c r="A156" s="267" t="s">
        <v>30</v>
      </c>
      <c r="B156" s="264" t="s">
        <v>365</v>
      </c>
      <c r="C156" s="265"/>
      <c r="D156" s="150">
        <v>16231</v>
      </c>
      <c r="E156" s="150">
        <f>-10.2-1794</f>
        <v>-1804.2</v>
      </c>
      <c r="F156" s="168">
        <f t="shared" ref="F156:F162" si="21">SUM(D156:E156)</f>
        <v>14426.8</v>
      </c>
      <c r="H156" s="79"/>
    </row>
    <row r="157" spans="1:8" ht="18.75" x14ac:dyDescent="0.3">
      <c r="A157" s="278"/>
      <c r="B157" s="264" t="s">
        <v>286</v>
      </c>
      <c r="C157" s="265"/>
      <c r="D157" s="150">
        <v>1556.7</v>
      </c>
      <c r="E157" s="150">
        <v>1794</v>
      </c>
      <c r="F157" s="168">
        <f t="shared" si="21"/>
        <v>3350.7</v>
      </c>
      <c r="H157" s="79"/>
    </row>
    <row r="158" spans="1:8" ht="18.75" x14ac:dyDescent="0.3">
      <c r="A158" s="268"/>
      <c r="B158" s="277" t="s">
        <v>366</v>
      </c>
      <c r="C158" s="277"/>
      <c r="D158" s="150">
        <v>21146.400000000001</v>
      </c>
      <c r="E158" s="150">
        <v>10.199999999999999</v>
      </c>
      <c r="F158" s="168">
        <f t="shared" si="21"/>
        <v>21156.600000000002</v>
      </c>
      <c r="H158" s="79"/>
    </row>
    <row r="159" spans="1:8" ht="18.75" x14ac:dyDescent="0.3">
      <c r="A159" s="267" t="s">
        <v>8</v>
      </c>
      <c r="B159" s="169" t="s">
        <v>253</v>
      </c>
      <c r="C159" s="169"/>
      <c r="D159" s="152">
        <v>53254.9</v>
      </c>
      <c r="E159" s="167">
        <v>94.1</v>
      </c>
      <c r="F159" s="168">
        <f t="shared" si="21"/>
        <v>53349</v>
      </c>
    </row>
    <row r="160" spans="1:8" ht="18.75" x14ac:dyDescent="0.3">
      <c r="A160" s="278"/>
      <c r="B160" s="169" t="s">
        <v>256</v>
      </c>
      <c r="C160" s="166"/>
      <c r="D160" s="152">
        <v>89826.8</v>
      </c>
      <c r="E160" s="167">
        <v>98.3</v>
      </c>
      <c r="F160" s="168">
        <f t="shared" si="21"/>
        <v>89925.1</v>
      </c>
    </row>
    <row r="161" spans="1:8" ht="18.75" x14ac:dyDescent="0.3">
      <c r="A161" s="278"/>
      <c r="B161" s="169" t="s">
        <v>257</v>
      </c>
      <c r="C161" s="166"/>
      <c r="D161" s="152">
        <v>1344.1</v>
      </c>
      <c r="E161" s="167">
        <v>-94.1</v>
      </c>
      <c r="F161" s="168">
        <f t="shared" si="21"/>
        <v>1250</v>
      </c>
    </row>
    <row r="162" spans="1:8" ht="18.75" x14ac:dyDescent="0.3">
      <c r="A162" s="268"/>
      <c r="B162" s="169" t="s">
        <v>258</v>
      </c>
      <c r="C162" s="166"/>
      <c r="D162" s="152">
        <v>806.5</v>
      </c>
      <c r="E162" s="167">
        <v>-98.3</v>
      </c>
      <c r="F162" s="168">
        <f t="shared" si="21"/>
        <v>708.2</v>
      </c>
    </row>
    <row r="163" spans="1:8" ht="18.75" x14ac:dyDescent="0.3">
      <c r="A163" s="177"/>
      <c r="B163" s="165" t="s">
        <v>269</v>
      </c>
      <c r="C163" s="166"/>
      <c r="D163" s="152">
        <v>0</v>
      </c>
      <c r="E163" s="167">
        <v>407.9</v>
      </c>
      <c r="F163" s="168">
        <f t="shared" ref="F163" si="22">SUM(D163:E163)</f>
        <v>407.9</v>
      </c>
    </row>
    <row r="164" spans="1:8" ht="18.75" x14ac:dyDescent="0.25">
      <c r="A164" s="180"/>
      <c r="B164" s="292" t="s">
        <v>321</v>
      </c>
      <c r="C164" s="269"/>
      <c r="D164" s="269"/>
      <c r="E164" s="269"/>
      <c r="F164" s="270"/>
      <c r="H164" s="79"/>
    </row>
    <row r="165" spans="1:8" ht="18.75" x14ac:dyDescent="0.3">
      <c r="A165" s="179"/>
      <c r="B165" s="264" t="s">
        <v>365</v>
      </c>
      <c r="C165" s="265"/>
      <c r="D165" s="150">
        <v>15965.1</v>
      </c>
      <c r="E165" s="150">
        <v>-357.9</v>
      </c>
      <c r="F165" s="168">
        <f t="shared" ref="F165:F166" si="23">SUM(D165:E165)</f>
        <v>15607.2</v>
      </c>
      <c r="H165" s="79"/>
    </row>
    <row r="166" spans="1:8" ht="18.75" x14ac:dyDescent="0.3">
      <c r="A166" s="179"/>
      <c r="B166" s="264" t="s">
        <v>286</v>
      </c>
      <c r="C166" s="265"/>
      <c r="D166" s="150">
        <v>1480.3</v>
      </c>
      <c r="E166" s="150">
        <v>357.9</v>
      </c>
      <c r="F166" s="168">
        <f t="shared" si="23"/>
        <v>1838.1999999999998</v>
      </c>
      <c r="H166" s="79"/>
    </row>
    <row r="167" spans="1:8" ht="19.5" x14ac:dyDescent="0.35">
      <c r="A167" s="90" t="s">
        <v>6</v>
      </c>
      <c r="B167" s="288"/>
      <c r="C167" s="289"/>
      <c r="D167" s="91" t="s">
        <v>20</v>
      </c>
      <c r="E167" s="101">
        <f>SUM(E93:E154)</f>
        <v>2983.5200000000004</v>
      </c>
      <c r="F167" s="102"/>
      <c r="H167" s="79"/>
    </row>
    <row r="168" spans="1:8" ht="10.5" customHeight="1" x14ac:dyDescent="0.35">
      <c r="A168" s="80"/>
      <c r="B168" s="81"/>
      <c r="C168" s="81"/>
      <c r="D168" s="82"/>
      <c r="E168" s="105"/>
      <c r="F168" s="83"/>
      <c r="G168" s="103"/>
    </row>
    <row r="169" spans="1:8" ht="69" customHeight="1" x14ac:dyDescent="0.3">
      <c r="A169" s="293" t="s">
        <v>342</v>
      </c>
      <c r="B169" s="293"/>
      <c r="C169" s="293"/>
      <c r="D169" s="293"/>
      <c r="E169" s="293"/>
      <c r="F169" s="293"/>
      <c r="G169" s="84"/>
    </row>
    <row r="170" spans="1:8" ht="70.5" customHeight="1" x14ac:dyDescent="0.3">
      <c r="A170" s="293" t="s">
        <v>395</v>
      </c>
      <c r="B170" s="293"/>
      <c r="C170" s="293"/>
      <c r="D170" s="293"/>
      <c r="E170" s="293"/>
      <c r="F170" s="293"/>
    </row>
    <row r="171" spans="1:8" ht="72.75" customHeight="1" x14ac:dyDescent="0.3">
      <c r="A171" s="293" t="s">
        <v>355</v>
      </c>
      <c r="B171" s="293"/>
      <c r="C171" s="293"/>
      <c r="D171" s="293"/>
      <c r="E171" s="293"/>
      <c r="F171" s="293"/>
    </row>
    <row r="172" spans="1:8" ht="17.25" customHeight="1" x14ac:dyDescent="0.3">
      <c r="A172" s="293" t="s">
        <v>276</v>
      </c>
      <c r="B172" s="293"/>
      <c r="C172" s="293"/>
      <c r="D172" s="293"/>
      <c r="E172" s="293"/>
      <c r="F172" s="293"/>
    </row>
    <row r="173" spans="1:8" ht="16.5" customHeight="1" x14ac:dyDescent="0.25">
      <c r="A173" s="56"/>
      <c r="B173" s="56"/>
      <c r="C173" s="128"/>
      <c r="D173" s="128"/>
      <c r="E173" s="129"/>
      <c r="F173" s="57" t="s">
        <v>277</v>
      </c>
      <c r="H173" s="88"/>
    </row>
    <row r="174" spans="1:8" s="58" customFormat="1" ht="21" customHeight="1" x14ac:dyDescent="0.3">
      <c r="A174" s="294" t="s">
        <v>10</v>
      </c>
      <c r="B174" s="295"/>
      <c r="C174" s="294" t="s">
        <v>11</v>
      </c>
      <c r="D174" s="296"/>
      <c r="E174" s="296"/>
      <c r="F174" s="295"/>
      <c r="G174" s="96"/>
      <c r="H174" s="87"/>
    </row>
    <row r="175" spans="1:8" ht="19.5" hidden="1" customHeight="1" x14ac:dyDescent="0.25">
      <c r="A175" s="170" t="s">
        <v>278</v>
      </c>
      <c r="B175" s="130"/>
      <c r="C175" s="257" t="s">
        <v>279</v>
      </c>
      <c r="D175" s="257"/>
      <c r="E175" s="257"/>
      <c r="F175" s="258">
        <f>E69</f>
        <v>32235.815060000001</v>
      </c>
    </row>
    <row r="176" spans="1:8" ht="20.25" customHeight="1" x14ac:dyDescent="0.25">
      <c r="A176" s="170" t="s">
        <v>12</v>
      </c>
      <c r="B176" s="130">
        <f>H8</f>
        <v>33885.9</v>
      </c>
      <c r="C176" s="257"/>
      <c r="D176" s="257"/>
      <c r="E176" s="257"/>
      <c r="F176" s="259"/>
    </row>
    <row r="177" spans="1:9" ht="19.5" customHeight="1" x14ac:dyDescent="0.3">
      <c r="A177" s="171" t="s">
        <v>13</v>
      </c>
      <c r="B177" s="130">
        <v>-1813.1</v>
      </c>
      <c r="C177" s="257"/>
      <c r="D177" s="257"/>
      <c r="E177" s="257"/>
      <c r="F177" s="259"/>
      <c r="G177" s="131">
        <f>SUM(B175:B178)-F175-21100</f>
        <v>-21100.015059999998</v>
      </c>
      <c r="H177" s="79"/>
    </row>
    <row r="178" spans="1:9" ht="22.5" customHeight="1" x14ac:dyDescent="0.25">
      <c r="A178" s="172" t="s">
        <v>28</v>
      </c>
      <c r="B178" s="130">
        <f>H10</f>
        <v>163</v>
      </c>
      <c r="C178" s="257"/>
      <c r="D178" s="257"/>
      <c r="E178" s="257"/>
      <c r="F178" s="260"/>
    </row>
    <row r="179" spans="1:9" ht="20.25" customHeight="1" x14ac:dyDescent="0.25">
      <c r="A179" s="172" t="s">
        <v>280</v>
      </c>
      <c r="B179" s="156">
        <f>G21</f>
        <v>72</v>
      </c>
      <c r="C179" s="247" t="s">
        <v>295</v>
      </c>
      <c r="D179" s="248"/>
      <c r="E179" s="249"/>
      <c r="F179" s="156">
        <v>72</v>
      </c>
      <c r="G179" s="84"/>
    </row>
    <row r="180" spans="1:9" ht="38.25" customHeight="1" x14ac:dyDescent="0.25">
      <c r="A180" s="172" t="s">
        <v>281</v>
      </c>
      <c r="B180" s="156">
        <f>G22+G23</f>
        <v>1331.7</v>
      </c>
      <c r="C180" s="247" t="s">
        <v>296</v>
      </c>
      <c r="D180" s="248"/>
      <c r="E180" s="249"/>
      <c r="F180" s="156">
        <f>186.72+380+951.7</f>
        <v>1518.42</v>
      </c>
      <c r="G180" s="84"/>
    </row>
    <row r="181" spans="1:9" ht="18.75" x14ac:dyDescent="0.25">
      <c r="A181" s="250" t="s">
        <v>382</v>
      </c>
      <c r="B181" s="253">
        <f>G24</f>
        <v>1470</v>
      </c>
      <c r="C181" s="247" t="s">
        <v>368</v>
      </c>
      <c r="D181" s="248"/>
      <c r="E181" s="249"/>
      <c r="F181" s="156">
        <v>1300</v>
      </c>
      <c r="G181" s="84"/>
    </row>
    <row r="182" spans="1:9" ht="21" customHeight="1" x14ac:dyDescent="0.25">
      <c r="A182" s="251"/>
      <c r="B182" s="254"/>
      <c r="C182" s="247" t="s">
        <v>369</v>
      </c>
      <c r="D182" s="248"/>
      <c r="E182" s="249"/>
      <c r="F182" s="156">
        <v>70</v>
      </c>
      <c r="G182" s="84"/>
    </row>
    <row r="183" spans="1:9" ht="20.25" customHeight="1" x14ac:dyDescent="0.25">
      <c r="A183" s="251"/>
      <c r="B183" s="254"/>
      <c r="C183" s="247" t="s">
        <v>378</v>
      </c>
      <c r="D183" s="248"/>
      <c r="E183" s="249"/>
      <c r="F183" s="156">
        <f>100</f>
        <v>100</v>
      </c>
      <c r="G183" s="84"/>
    </row>
    <row r="184" spans="1:9" ht="20.25" customHeight="1" x14ac:dyDescent="0.25">
      <c r="A184" s="251"/>
      <c r="B184" s="254"/>
      <c r="C184" s="247" t="s">
        <v>402</v>
      </c>
      <c r="D184" s="248"/>
      <c r="E184" s="249"/>
      <c r="F184" s="156">
        <f>1000-527.9</f>
        <v>472.1</v>
      </c>
      <c r="G184" s="84"/>
    </row>
    <row r="185" spans="1:9" ht="20.25" customHeight="1" x14ac:dyDescent="0.25">
      <c r="A185" s="251"/>
      <c r="B185" s="254"/>
      <c r="C185" s="247" t="s">
        <v>405</v>
      </c>
      <c r="D185" s="248"/>
      <c r="E185" s="249"/>
      <c r="F185" s="156">
        <v>-1567.9283399999999</v>
      </c>
      <c r="G185" s="84"/>
    </row>
    <row r="186" spans="1:9" ht="20.25" customHeight="1" x14ac:dyDescent="0.25">
      <c r="A186" s="251"/>
      <c r="B186" s="254"/>
      <c r="C186" s="247" t="s">
        <v>404</v>
      </c>
      <c r="D186" s="248"/>
      <c r="E186" s="249"/>
      <c r="F186" s="156">
        <v>527.9</v>
      </c>
      <c r="G186" s="84"/>
    </row>
    <row r="187" spans="1:9" ht="20.25" customHeight="1" x14ac:dyDescent="0.25">
      <c r="A187" s="251"/>
      <c r="B187" s="254"/>
      <c r="C187" s="247" t="s">
        <v>406</v>
      </c>
      <c r="D187" s="248"/>
      <c r="E187" s="249"/>
      <c r="F187" s="156">
        <v>-299.53152999999998</v>
      </c>
      <c r="G187" s="84"/>
    </row>
    <row r="188" spans="1:9" ht="20.25" customHeight="1" x14ac:dyDescent="0.25">
      <c r="A188" s="251"/>
      <c r="B188" s="254"/>
      <c r="C188" s="247" t="s">
        <v>371</v>
      </c>
      <c r="D188" s="248"/>
      <c r="E188" s="249"/>
      <c r="F188" s="156">
        <v>46</v>
      </c>
      <c r="G188" s="84"/>
    </row>
    <row r="189" spans="1:9" ht="20.25" customHeight="1" x14ac:dyDescent="0.3">
      <c r="A189" s="252"/>
      <c r="B189" s="255"/>
      <c r="C189" s="247" t="s">
        <v>403</v>
      </c>
      <c r="D189" s="248"/>
      <c r="E189" s="249"/>
      <c r="F189" s="167">
        <f>1567.92834+299.53153+1421.829</f>
        <v>3289.2888699999999</v>
      </c>
      <c r="G189" s="84"/>
    </row>
    <row r="190" spans="1:9" ht="22.5" customHeight="1" x14ac:dyDescent="0.25">
      <c r="A190" s="136" t="s">
        <v>282</v>
      </c>
      <c r="B190" s="185">
        <f>186.72-76.9</f>
        <v>109.82</v>
      </c>
      <c r="C190" s="247" t="s">
        <v>391</v>
      </c>
      <c r="D190" s="248"/>
      <c r="E190" s="249"/>
      <c r="F190" s="156">
        <f>-76.9-1421.829-1000-46</f>
        <v>-2544.7290000000003</v>
      </c>
      <c r="G190" s="84">
        <f>SUM(F179:F190)</f>
        <v>2983.5199999999995</v>
      </c>
    </row>
    <row r="191" spans="1:9" ht="24" customHeight="1" x14ac:dyDescent="0.35">
      <c r="A191" s="132" t="s">
        <v>9</v>
      </c>
      <c r="B191" s="133">
        <f>SUM(B175:B190)</f>
        <v>35219.32</v>
      </c>
      <c r="C191" s="256" t="s">
        <v>9</v>
      </c>
      <c r="D191" s="256"/>
      <c r="E191" s="256"/>
      <c r="F191" s="174">
        <f>SUM(F175:F190)</f>
        <v>35219.335059999998</v>
      </c>
    </row>
    <row r="192" spans="1:9" ht="9" customHeight="1" x14ac:dyDescent="0.3">
      <c r="A192" s="142"/>
      <c r="B192" s="85"/>
      <c r="C192" s="142"/>
      <c r="D192" s="142"/>
      <c r="E192" s="99"/>
      <c r="F192" s="86"/>
      <c r="G192" s="115"/>
      <c r="I192" s="89"/>
    </row>
    <row r="193" spans="1:8" s="5" customFormat="1" ht="27" customHeight="1" x14ac:dyDescent="0.2">
      <c r="A193" s="287" t="s">
        <v>352</v>
      </c>
      <c r="B193" s="287"/>
      <c r="C193" s="287"/>
      <c r="D193" s="287"/>
      <c r="E193" s="175"/>
      <c r="F193" s="175" t="s">
        <v>351</v>
      </c>
      <c r="G193" s="175"/>
      <c r="H193" s="176"/>
    </row>
    <row r="194" spans="1:8" ht="18.75" customHeight="1" x14ac:dyDescent="0.25">
      <c r="B194" s="84"/>
      <c r="C194" s="106"/>
      <c r="E194" s="100" t="s">
        <v>245</v>
      </c>
    </row>
    <row r="195" spans="1:8" ht="20.25" customHeight="1" x14ac:dyDescent="0.25">
      <c r="F195" s="87"/>
    </row>
    <row r="196" spans="1:8" ht="16.5" customHeight="1" x14ac:dyDescent="0.25"/>
    <row r="197" spans="1:8" ht="19.5" customHeight="1" x14ac:dyDescent="0.25"/>
    <row r="198" spans="1:8" ht="24" customHeight="1" x14ac:dyDescent="0.25"/>
  </sheetData>
  <mergeCells count="107">
    <mergeCell ref="A111:A121"/>
    <mergeCell ref="A88:F88"/>
    <mergeCell ref="A144:A145"/>
    <mergeCell ref="A170:F170"/>
    <mergeCell ref="B164:F164"/>
    <mergeCell ref="B165:C165"/>
    <mergeCell ref="B166:C166"/>
    <mergeCell ref="A89:F89"/>
    <mergeCell ref="A85:F85"/>
    <mergeCell ref="B157:C157"/>
    <mergeCell ref="A128:A141"/>
    <mergeCell ref="A156:A158"/>
    <mergeCell ref="B156:C156"/>
    <mergeCell ref="B158:C158"/>
    <mergeCell ref="A90:F90"/>
    <mergeCell ref="A93:A110"/>
    <mergeCell ref="A81:F81"/>
    <mergeCell ref="A83:F83"/>
    <mergeCell ref="B47:C47"/>
    <mergeCell ref="A193:D193"/>
    <mergeCell ref="B167:C167"/>
    <mergeCell ref="A123:A127"/>
    <mergeCell ref="A86:F86"/>
    <mergeCell ref="A87:F87"/>
    <mergeCell ref="A159:A162"/>
    <mergeCell ref="B92:C92"/>
    <mergeCell ref="B155:F155"/>
    <mergeCell ref="A146:A154"/>
    <mergeCell ref="A169:F169"/>
    <mergeCell ref="A172:F172"/>
    <mergeCell ref="A174:B174"/>
    <mergeCell ref="C174:F174"/>
    <mergeCell ref="A142:A143"/>
    <mergeCell ref="A75:F75"/>
    <mergeCell ref="A171:F171"/>
    <mergeCell ref="A77:F77"/>
    <mergeCell ref="A10:E10"/>
    <mergeCell ref="B14:C14"/>
    <mergeCell ref="A42:F42"/>
    <mergeCell ref="A11:F11"/>
    <mergeCell ref="A26:F26"/>
    <mergeCell ref="B17:C17"/>
    <mergeCell ref="B18:C18"/>
    <mergeCell ref="A22:E22"/>
    <mergeCell ref="A23:E23"/>
    <mergeCell ref="A31:E31"/>
    <mergeCell ref="A24:E24"/>
    <mergeCell ref="B15:C15"/>
    <mergeCell ref="A12:F12"/>
    <mergeCell ref="A1:F1"/>
    <mergeCell ref="A2:F2"/>
    <mergeCell ref="A3:F3"/>
    <mergeCell ref="A7:D7"/>
    <mergeCell ref="A8:D8"/>
    <mergeCell ref="A5:F5"/>
    <mergeCell ref="A45:F45"/>
    <mergeCell ref="A55:A60"/>
    <mergeCell ref="A48:A54"/>
    <mergeCell ref="B16:C16"/>
    <mergeCell ref="A29:F29"/>
    <mergeCell ref="A30:D30"/>
    <mergeCell ref="A34:F34"/>
    <mergeCell ref="A35:D35"/>
    <mergeCell ref="A38:F38"/>
    <mergeCell ref="A39:F39"/>
    <mergeCell ref="A43:F43"/>
    <mergeCell ref="A40:F40"/>
    <mergeCell ref="A41:F41"/>
    <mergeCell ref="B19:C19"/>
    <mergeCell ref="B20:C20"/>
    <mergeCell ref="B21:C21"/>
    <mergeCell ref="A44:F44"/>
    <mergeCell ref="A9:C9"/>
    <mergeCell ref="A71:F71"/>
    <mergeCell ref="A84:F84"/>
    <mergeCell ref="A72:F72"/>
    <mergeCell ref="A74:F74"/>
    <mergeCell ref="B48:C48"/>
    <mergeCell ref="A82:F82"/>
    <mergeCell ref="B50:C50"/>
    <mergeCell ref="B69:C69"/>
    <mergeCell ref="A62:A63"/>
    <mergeCell ref="A66:A67"/>
    <mergeCell ref="B65:F65"/>
    <mergeCell ref="A73:F73"/>
    <mergeCell ref="B61:F61"/>
    <mergeCell ref="A78:F78"/>
    <mergeCell ref="A76:F76"/>
    <mergeCell ref="A79:F79"/>
    <mergeCell ref="A80:F80"/>
    <mergeCell ref="C183:E183"/>
    <mergeCell ref="A181:A189"/>
    <mergeCell ref="B181:B189"/>
    <mergeCell ref="C191:E191"/>
    <mergeCell ref="C175:E178"/>
    <mergeCell ref="F175:F178"/>
    <mergeCell ref="C190:E190"/>
    <mergeCell ref="C180:E180"/>
    <mergeCell ref="C182:E182"/>
    <mergeCell ref="C179:E179"/>
    <mergeCell ref="C181:E181"/>
    <mergeCell ref="C184:E184"/>
    <mergeCell ref="C189:E189"/>
    <mergeCell ref="C188:E188"/>
    <mergeCell ref="C185:E185"/>
    <mergeCell ref="C186:E186"/>
    <mergeCell ref="C187:E187"/>
  </mergeCells>
  <pageMargins left="0.70866141732283472" right="0.11811023622047245" top="0.55118110236220474" bottom="0.15748031496062992" header="0.31496062992125984" footer="0.31496062992125984"/>
  <pageSetup paperSize="9" scale="69" fitToHeight="12"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апрель</vt:lpstr>
      <vt:lpstr>август!Область_печати</vt:lpstr>
      <vt:lpstr>апрель!Область_печати</vt:lpstr>
    </vt:vector>
  </TitlesOfParts>
  <Company>Dnsoft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Elena Kataeva</cp:lastModifiedBy>
  <cp:lastPrinted>2021-04-23T08:16:32Z</cp:lastPrinted>
  <dcterms:created xsi:type="dcterms:W3CDTF">2009-01-26T06:44:36Z</dcterms:created>
  <dcterms:modified xsi:type="dcterms:W3CDTF">2021-04-23T08:25:59Z</dcterms:modified>
</cp:coreProperties>
</file>