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щие\РЕШЕНИЯ ГОРСОВЕТА НАРОДНЫХ ДЕПУТАТОВ\Изменения 2018\Изменения октябрь 2018\Для КСП - проект решения изм. в б-т 2018-2020гг. (изм. октябрь 2018г.) отпр.   .10.2018 в  ч\"/>
    </mc:Choice>
  </mc:AlternateContent>
  <bookViews>
    <workbookView xWindow="13125" yWindow="6225" windowWidth="15480" windowHeight="1170"/>
  </bookViews>
  <sheets>
    <sheet name="для КСП" sheetId="15" r:id="rId1"/>
  </sheets>
  <externalReferences>
    <externalReference r:id="rId2"/>
    <externalReference r:id="rId3"/>
  </externalReferences>
  <definedNames>
    <definedName name="_xlnm._FilterDatabase" localSheetId="0" hidden="1">'для КСП'!$A$11:$P$511</definedName>
    <definedName name="_xlnm.Print_Titles" localSheetId="0">'для КСП'!$12:$12</definedName>
    <definedName name="_xlnm.Print_Area" localSheetId="0">'для КСП'!$A$1:$I$513</definedName>
  </definedNames>
  <calcPr calcId="152511"/>
  <customWorkbookViews>
    <customWorkbookView name="Татьяна - Личное представление" guid="{39DFD954-E818-44E9-9549-C794F1423164}" mergeInterval="0" personalView="1" maximized="1" windowWidth="1276" windowHeight="852" activeSheetId="1"/>
    <customWorkbookView name="1 - Личное представление" guid="{A175164D-EEF6-45D9-AB98-D99F028604DF}" mergeInterval="0" personalView="1" maximized="1" windowWidth="1020" windowHeight="603" activeSheetId="1"/>
  </customWorkbookViews>
</workbook>
</file>

<file path=xl/calcChain.xml><?xml version="1.0" encoding="utf-8"?>
<calcChain xmlns="http://schemas.openxmlformats.org/spreadsheetml/2006/main">
  <c r="G33" i="15" l="1"/>
  <c r="G130" i="15"/>
  <c r="H133" i="15"/>
  <c r="I133" i="15"/>
  <c r="G501" i="15"/>
  <c r="G496" i="15"/>
  <c r="G129" i="15"/>
  <c r="G128" i="15"/>
  <c r="G291" i="15"/>
  <c r="G290" i="15"/>
  <c r="G278" i="15" l="1"/>
  <c r="G463" i="15"/>
  <c r="G118" i="15"/>
  <c r="G409" i="15"/>
  <c r="G62" i="15"/>
  <c r="I515" i="15" l="1"/>
  <c r="H515" i="15"/>
  <c r="G515" i="15"/>
  <c r="I508" i="15"/>
  <c r="I507" i="15" s="1"/>
  <c r="I506" i="15" s="1"/>
  <c r="I505" i="15" s="1"/>
  <c r="H508" i="15"/>
  <c r="H507" i="15"/>
  <c r="H506" i="15" s="1"/>
  <c r="H505" i="15" s="1"/>
  <c r="I503" i="15"/>
  <c r="H503" i="15"/>
  <c r="G503" i="15"/>
  <c r="I502" i="15"/>
  <c r="H502" i="15"/>
  <c r="G502" i="15"/>
  <c r="I501" i="15"/>
  <c r="H501" i="15"/>
  <c r="I500" i="15"/>
  <c r="H500" i="15"/>
  <c r="G500" i="15"/>
  <c r="I498" i="15"/>
  <c r="I497" i="15" s="1"/>
  <c r="H498" i="15"/>
  <c r="H497" i="15" s="1"/>
  <c r="G498" i="15"/>
  <c r="G497" i="15" s="1"/>
  <c r="I496" i="15"/>
  <c r="H496" i="15"/>
  <c r="H495" i="15" s="1"/>
  <c r="I495" i="15"/>
  <c r="G495" i="15"/>
  <c r="I494" i="15"/>
  <c r="H494" i="15"/>
  <c r="H493" i="15" s="1"/>
  <c r="G494" i="15"/>
  <c r="G493" i="15" s="1"/>
  <c r="I493" i="15"/>
  <c r="I491" i="15"/>
  <c r="H491" i="15"/>
  <c r="G491" i="15"/>
  <c r="G489" i="15" s="1"/>
  <c r="G488" i="15" s="1"/>
  <c r="I490" i="15"/>
  <c r="I489" i="15" s="1"/>
  <c r="I488" i="15" s="1"/>
  <c r="H490" i="15"/>
  <c r="H489" i="15" s="1"/>
  <c r="H488" i="15" s="1"/>
  <c r="G490" i="15"/>
  <c r="G487" i="15"/>
  <c r="G486" i="15" s="1"/>
  <c r="I486" i="15"/>
  <c r="H486" i="15"/>
  <c r="I484" i="15"/>
  <c r="H484" i="15"/>
  <c r="G484" i="15"/>
  <c r="G481" i="15"/>
  <c r="G479" i="15"/>
  <c r="I478" i="15"/>
  <c r="I477" i="15" s="1"/>
  <c r="I476" i="15" s="1"/>
  <c r="H478" i="15"/>
  <c r="G478" i="15"/>
  <c r="G477" i="15" s="1"/>
  <c r="H477" i="15"/>
  <c r="H476" i="15" s="1"/>
  <c r="G475" i="15"/>
  <c r="G474" i="15" s="1"/>
  <c r="G473" i="15" s="1"/>
  <c r="I474" i="15"/>
  <c r="I473" i="15" s="1"/>
  <c r="H474" i="15"/>
  <c r="H473" i="15" s="1"/>
  <c r="I471" i="15"/>
  <c r="I470" i="15" s="1"/>
  <c r="H471" i="15"/>
  <c r="H470" i="15" s="1"/>
  <c r="G471" i="15"/>
  <c r="G470" i="15" s="1"/>
  <c r="I469" i="15"/>
  <c r="I468" i="15" s="1"/>
  <c r="I467" i="15" s="1"/>
  <c r="H469" i="15"/>
  <c r="H468" i="15" s="1"/>
  <c r="H467" i="15" s="1"/>
  <c r="G469" i="15"/>
  <c r="G468" i="15" s="1"/>
  <c r="G467" i="15" s="1"/>
  <c r="I466" i="15"/>
  <c r="I465" i="15" s="1"/>
  <c r="I464" i="15" s="1"/>
  <c r="H466" i="15"/>
  <c r="H465" i="15" s="1"/>
  <c r="H464" i="15" s="1"/>
  <c r="G466" i="15"/>
  <c r="G465" i="15" s="1"/>
  <c r="G464" i="15" s="1"/>
  <c r="G462" i="15"/>
  <c r="G461" i="15" s="1"/>
  <c r="I462" i="15"/>
  <c r="I461" i="15" s="1"/>
  <c r="H462" i="15"/>
  <c r="H461" i="15" s="1"/>
  <c r="I459" i="15"/>
  <c r="I458" i="15" s="1"/>
  <c r="H459" i="15"/>
  <c r="H458" i="15" s="1"/>
  <c r="G459" i="15"/>
  <c r="G458" i="15" s="1"/>
  <c r="I456" i="15"/>
  <c r="I455" i="15" s="1"/>
  <c r="H456" i="15"/>
  <c r="H455" i="15" s="1"/>
  <c r="G456" i="15"/>
  <c r="G455" i="15" s="1"/>
  <c r="G454" i="15"/>
  <c r="G453" i="15" s="1"/>
  <c r="I453" i="15"/>
  <c r="H453" i="15"/>
  <c r="G452" i="15"/>
  <c r="G451" i="15" s="1"/>
  <c r="I451" i="15"/>
  <c r="I450" i="15" s="1"/>
  <c r="H451" i="15"/>
  <c r="I449" i="15"/>
  <c r="I448" i="15" s="1"/>
  <c r="H449" i="15"/>
  <c r="H448" i="15" s="1"/>
  <c r="G449" i="15"/>
  <c r="G448" i="15" s="1"/>
  <c r="G447" i="15"/>
  <c r="G446" i="15" s="1"/>
  <c r="I446" i="15"/>
  <c r="H446" i="15"/>
  <c r="G445" i="15"/>
  <c r="G444" i="15" s="1"/>
  <c r="I444" i="15"/>
  <c r="H444" i="15"/>
  <c r="I440" i="15"/>
  <c r="I439" i="15" s="1"/>
  <c r="H440" i="15"/>
  <c r="H439" i="15" s="1"/>
  <c r="G440" i="15"/>
  <c r="G439" i="15" s="1"/>
  <c r="I437" i="15"/>
  <c r="H437" i="15"/>
  <c r="G437" i="15"/>
  <c r="I436" i="15"/>
  <c r="H436" i="15"/>
  <c r="G436" i="15"/>
  <c r="G433" i="15"/>
  <c r="G432" i="15" s="1"/>
  <c r="I432" i="15"/>
  <c r="H432" i="15"/>
  <c r="G431" i="15"/>
  <c r="G430" i="15" s="1"/>
  <c r="I430" i="15"/>
  <c r="H430" i="15"/>
  <c r="G429" i="15"/>
  <c r="G428" i="15" s="1"/>
  <c r="I428" i="15"/>
  <c r="H428" i="15"/>
  <c r="G427" i="15"/>
  <c r="G426" i="15" s="1"/>
  <c r="I426" i="15"/>
  <c r="H426" i="15"/>
  <c r="I424" i="15"/>
  <c r="I423" i="15" s="1"/>
  <c r="I422" i="15" s="1"/>
  <c r="H424" i="15"/>
  <c r="H423" i="15" s="1"/>
  <c r="H422" i="15" s="1"/>
  <c r="G424" i="15"/>
  <c r="G423" i="15" s="1"/>
  <c r="G422" i="15" s="1"/>
  <c r="G421" i="15"/>
  <c r="G420" i="15" s="1"/>
  <c r="I420" i="15"/>
  <c r="H420" i="15"/>
  <c r="I418" i="15"/>
  <c r="H418" i="15"/>
  <c r="G418" i="15"/>
  <c r="G417" i="15"/>
  <c r="I416" i="15"/>
  <c r="H416" i="15"/>
  <c r="G416" i="15"/>
  <c r="G414" i="15"/>
  <c r="I413" i="15"/>
  <c r="H413" i="15"/>
  <c r="G413" i="15"/>
  <c r="G412" i="15"/>
  <c r="I411" i="15"/>
  <c r="H411" i="15"/>
  <c r="G411" i="15"/>
  <c r="I409" i="15"/>
  <c r="I408" i="15" s="1"/>
  <c r="H409" i="15"/>
  <c r="H408" i="15" s="1"/>
  <c r="G408" i="15"/>
  <c r="I406" i="15"/>
  <c r="H406" i="15"/>
  <c r="G406" i="15"/>
  <c r="I404" i="15"/>
  <c r="H404" i="15"/>
  <c r="G404" i="15"/>
  <c r="I402" i="15"/>
  <c r="H402" i="15"/>
  <c r="G402" i="15"/>
  <c r="I399" i="15"/>
  <c r="I398" i="15" s="1"/>
  <c r="H399" i="15"/>
  <c r="H398" i="15" s="1"/>
  <c r="G399" i="15"/>
  <c r="G398" i="15" s="1"/>
  <c r="I396" i="15"/>
  <c r="H396" i="15"/>
  <c r="G396" i="15"/>
  <c r="I394" i="15"/>
  <c r="H394" i="15"/>
  <c r="G394" i="15"/>
  <c r="G393" i="15"/>
  <c r="G391" i="15" s="1"/>
  <c r="I392" i="15"/>
  <c r="H392" i="15"/>
  <c r="H391" i="15" s="1"/>
  <c r="G392" i="15"/>
  <c r="I391" i="15"/>
  <c r="I390" i="15"/>
  <c r="H390" i="15"/>
  <c r="H389" i="15" s="1"/>
  <c r="G390" i="15"/>
  <c r="G389" i="15" s="1"/>
  <c r="I389" i="15"/>
  <c r="G386" i="15"/>
  <c r="G384" i="15" s="1"/>
  <c r="G383" i="15" s="1"/>
  <c r="I384" i="15"/>
  <c r="I383" i="15" s="1"/>
  <c r="H384" i="15"/>
  <c r="H383" i="15" s="1"/>
  <c r="I381" i="15"/>
  <c r="H381" i="15"/>
  <c r="G381" i="15"/>
  <c r="I380" i="15"/>
  <c r="I379" i="15" s="1"/>
  <c r="H380" i="15"/>
  <c r="H379" i="15" s="1"/>
  <c r="G380" i="15"/>
  <c r="G379" i="15" s="1"/>
  <c r="G378" i="15"/>
  <c r="I377" i="15"/>
  <c r="H377" i="15"/>
  <c r="G377" i="15"/>
  <c r="G376" i="15"/>
  <c r="I375" i="15"/>
  <c r="H375" i="15"/>
  <c r="I374" i="15"/>
  <c r="H374" i="15"/>
  <c r="G374" i="15"/>
  <c r="I373" i="15"/>
  <c r="H373" i="15"/>
  <c r="G373" i="15"/>
  <c r="G371" i="15"/>
  <c r="G370" i="15"/>
  <c r="I369" i="15"/>
  <c r="H369" i="15"/>
  <c r="I368" i="15"/>
  <c r="H368" i="15"/>
  <c r="G368" i="15"/>
  <c r="I367" i="15"/>
  <c r="H367" i="15"/>
  <c r="G367" i="15"/>
  <c r="G366" i="15" s="1"/>
  <c r="I363" i="15"/>
  <c r="H363" i="15"/>
  <c r="G363" i="15"/>
  <c r="I360" i="15"/>
  <c r="H360" i="15"/>
  <c r="G360" i="15"/>
  <c r="G359" i="15"/>
  <c r="I358" i="15"/>
  <c r="I357" i="15" s="1"/>
  <c r="H358" i="15"/>
  <c r="G358" i="15"/>
  <c r="H357" i="15"/>
  <c r="G356" i="15"/>
  <c r="G355" i="15"/>
  <c r="I354" i="15"/>
  <c r="H354" i="15"/>
  <c r="G354" i="15"/>
  <c r="G353" i="15"/>
  <c r="I352" i="15"/>
  <c r="H352" i="15"/>
  <c r="G352" i="15"/>
  <c r="I350" i="15"/>
  <c r="H350" i="15"/>
  <c r="G350" i="15"/>
  <c r="G349" i="15"/>
  <c r="G348" i="15"/>
  <c r="I347" i="15"/>
  <c r="H347" i="15"/>
  <c r="G347" i="15"/>
  <c r="I346" i="15"/>
  <c r="H346" i="15"/>
  <c r="G346" i="15"/>
  <c r="I345" i="15"/>
  <c r="H345" i="15"/>
  <c r="G345" i="15"/>
  <c r="I341" i="15"/>
  <c r="H341" i="15"/>
  <c r="G341" i="15"/>
  <c r="I340" i="15"/>
  <c r="H340" i="15"/>
  <c r="G340" i="15"/>
  <c r="I339" i="15"/>
  <c r="H339" i="15"/>
  <c r="G339" i="15"/>
  <c r="I336" i="15"/>
  <c r="H336" i="15"/>
  <c r="G336" i="15"/>
  <c r="G334" i="15" s="1"/>
  <c r="I335" i="15"/>
  <c r="H335" i="15"/>
  <c r="H334" i="15" s="1"/>
  <c r="G335" i="15"/>
  <c r="I333" i="15"/>
  <c r="H333" i="15"/>
  <c r="G333" i="15"/>
  <c r="I332" i="15"/>
  <c r="H332" i="15"/>
  <c r="G332" i="15"/>
  <c r="I330" i="15"/>
  <c r="H330" i="15"/>
  <c r="G330" i="15"/>
  <c r="I329" i="15"/>
  <c r="H329" i="15"/>
  <c r="G329" i="15"/>
  <c r="I328" i="15"/>
  <c r="I327" i="15"/>
  <c r="H327" i="15"/>
  <c r="G327" i="15"/>
  <c r="I326" i="15"/>
  <c r="I325" i="15" s="1"/>
  <c r="H326" i="15"/>
  <c r="G326" i="15"/>
  <c r="G324" i="15"/>
  <c r="G323" i="15"/>
  <c r="G322" i="15" s="1"/>
  <c r="I322" i="15"/>
  <c r="H322" i="15"/>
  <c r="I321" i="15"/>
  <c r="I319" i="15" s="1"/>
  <c r="H321" i="15"/>
  <c r="H319" i="15" s="1"/>
  <c r="G321" i="15"/>
  <c r="G319" i="15"/>
  <c r="G318" i="15"/>
  <c r="G317" i="15"/>
  <c r="I316" i="15"/>
  <c r="H316" i="15"/>
  <c r="G315" i="15"/>
  <c r="G314" i="15" s="1"/>
  <c r="I314" i="15"/>
  <c r="H314" i="15"/>
  <c r="I312" i="15"/>
  <c r="I311" i="15" s="1"/>
  <c r="H312" i="15"/>
  <c r="G312" i="15"/>
  <c r="G311" i="15" s="1"/>
  <c r="H311" i="15"/>
  <c r="I310" i="15"/>
  <c r="H310" i="15"/>
  <c r="G310" i="15"/>
  <c r="G309" i="15"/>
  <c r="I308" i="15"/>
  <c r="H308" i="15"/>
  <c r="G307" i="15"/>
  <c r="G305" i="15" s="1"/>
  <c r="I305" i="15"/>
  <c r="H305" i="15"/>
  <c r="G303" i="15"/>
  <c r="I301" i="15"/>
  <c r="H301" i="15"/>
  <c r="G301" i="15"/>
  <c r="I300" i="15"/>
  <c r="H300" i="15"/>
  <c r="G300" i="15"/>
  <c r="I298" i="15"/>
  <c r="I297" i="15" s="1"/>
  <c r="H298" i="15"/>
  <c r="H297" i="15" s="1"/>
  <c r="G298" i="15"/>
  <c r="G297" i="15" s="1"/>
  <c r="G296" i="15"/>
  <c r="G295" i="15"/>
  <c r="G294" i="15" s="1"/>
  <c r="I294" i="15"/>
  <c r="H294" i="15"/>
  <c r="G292" i="15"/>
  <c r="G289" i="15" s="1"/>
  <c r="G288" i="15" s="1"/>
  <c r="I290" i="15"/>
  <c r="I289" i="15" s="1"/>
  <c r="I288" i="15" s="1"/>
  <c r="H290" i="15"/>
  <c r="H289" i="15"/>
  <c r="H288" i="15" s="1"/>
  <c r="G287" i="15"/>
  <c r="I286" i="15"/>
  <c r="I285" i="15" s="1"/>
  <c r="H286" i="15"/>
  <c r="H285" i="15" s="1"/>
  <c r="G286" i="15"/>
  <c r="G285" i="15" s="1"/>
  <c r="G284" i="15"/>
  <c r="G283" i="15"/>
  <c r="G282" i="15" s="1"/>
  <c r="G281" i="15" s="1"/>
  <c r="I282" i="15"/>
  <c r="I281" i="15" s="1"/>
  <c r="H282" i="15"/>
  <c r="H281" i="15" s="1"/>
  <c r="I279" i="15"/>
  <c r="H279" i="15"/>
  <c r="G279" i="15"/>
  <c r="I277" i="15"/>
  <c r="H277" i="15"/>
  <c r="G277" i="15"/>
  <c r="G275" i="15"/>
  <c r="G274" i="15" s="1"/>
  <c r="I274" i="15"/>
  <c r="H274" i="15"/>
  <c r="G273" i="15"/>
  <c r="G272" i="15" s="1"/>
  <c r="I272" i="15"/>
  <c r="H272" i="15"/>
  <c r="I271" i="15"/>
  <c r="H271" i="15"/>
  <c r="G271" i="15"/>
  <c r="I270" i="15"/>
  <c r="H270" i="15"/>
  <c r="G270" i="15"/>
  <c r="I269" i="15"/>
  <c r="H269" i="15"/>
  <c r="G269" i="15"/>
  <c r="G264" i="15"/>
  <c r="I263" i="15"/>
  <c r="I262" i="15" s="1"/>
  <c r="H263" i="15"/>
  <c r="H262" i="15" s="1"/>
  <c r="G263" i="15"/>
  <c r="G262" i="15" s="1"/>
  <c r="G260" i="15"/>
  <c r="I259" i="15"/>
  <c r="I258" i="15" s="1"/>
  <c r="H259" i="15"/>
  <c r="H258" i="15" s="1"/>
  <c r="G259" i="15"/>
  <c r="G257" i="15"/>
  <c r="G255" i="15" s="1"/>
  <c r="I255" i="15"/>
  <c r="H255" i="15"/>
  <c r="G254" i="15"/>
  <c r="G253" i="15" s="1"/>
  <c r="I253" i="15"/>
  <c r="H253" i="15"/>
  <c r="I252" i="15"/>
  <c r="H252" i="15"/>
  <c r="H250" i="15" s="1"/>
  <c r="G252" i="15"/>
  <c r="G250" i="15" s="1"/>
  <c r="I250" i="15"/>
  <c r="I248" i="15"/>
  <c r="H248" i="15"/>
  <c r="G248" i="15"/>
  <c r="I246" i="15"/>
  <c r="H246" i="15"/>
  <c r="G246" i="15"/>
  <c r="I244" i="15"/>
  <c r="H244" i="15"/>
  <c r="G244" i="15"/>
  <c r="I243" i="15"/>
  <c r="H243" i="15"/>
  <c r="G243" i="15"/>
  <c r="G242" i="15" s="1"/>
  <c r="G241" i="15"/>
  <c r="I240" i="15"/>
  <c r="H240" i="15"/>
  <c r="G240" i="15"/>
  <c r="G239" i="15"/>
  <c r="I238" i="15"/>
  <c r="I237" i="15" s="1"/>
  <c r="H238" i="15"/>
  <c r="H237" i="15" s="1"/>
  <c r="G238" i="15"/>
  <c r="I236" i="15"/>
  <c r="I235" i="15" s="1"/>
  <c r="H236" i="15"/>
  <c r="H235" i="15" s="1"/>
  <c r="G236" i="15"/>
  <c r="G235" i="15" s="1"/>
  <c r="G234" i="15"/>
  <c r="I233" i="15"/>
  <c r="I232" i="15" s="1"/>
  <c r="H233" i="15"/>
  <c r="H232" i="15" s="1"/>
  <c r="G233" i="15"/>
  <c r="I229" i="15"/>
  <c r="H229" i="15"/>
  <c r="G229" i="15"/>
  <c r="G228" i="15"/>
  <c r="G227" i="15" s="1"/>
  <c r="I227" i="15"/>
  <c r="H227" i="15"/>
  <c r="I226" i="15"/>
  <c r="H226" i="15"/>
  <c r="G226" i="15"/>
  <c r="G225" i="15"/>
  <c r="I224" i="15"/>
  <c r="H224" i="15"/>
  <c r="I222" i="15"/>
  <c r="H222" i="15"/>
  <c r="G222" i="15"/>
  <c r="I221" i="15"/>
  <c r="I220" i="15" s="1"/>
  <c r="H221" i="15"/>
  <c r="H220" i="15" s="1"/>
  <c r="G221" i="15"/>
  <c r="G220" i="15" s="1"/>
  <c r="I218" i="15"/>
  <c r="H218" i="15"/>
  <c r="G218" i="15"/>
  <c r="I217" i="15"/>
  <c r="H217" i="15"/>
  <c r="G217" i="15"/>
  <c r="I216" i="15"/>
  <c r="I215" i="15" s="1"/>
  <c r="H216" i="15"/>
  <c r="G216" i="15"/>
  <c r="I214" i="15"/>
  <c r="H214" i="15"/>
  <c r="G214" i="15"/>
  <c r="G213" i="15"/>
  <c r="I212" i="15"/>
  <c r="H212" i="15"/>
  <c r="I211" i="15"/>
  <c r="I208" i="15" s="1"/>
  <c r="H211" i="15"/>
  <c r="H208" i="15" s="1"/>
  <c r="G211" i="15"/>
  <c r="G210" i="15"/>
  <c r="G209" i="15"/>
  <c r="G207" i="15"/>
  <c r="G206" i="15" s="1"/>
  <c r="I206" i="15"/>
  <c r="H206" i="15"/>
  <c r="I204" i="15"/>
  <c r="H204" i="15"/>
  <c r="G204" i="15"/>
  <c r="G203" i="15"/>
  <c r="G202" i="15"/>
  <c r="I201" i="15"/>
  <c r="H201" i="15"/>
  <c r="I199" i="15"/>
  <c r="H199" i="15"/>
  <c r="G199" i="15"/>
  <c r="G198" i="15"/>
  <c r="G197" i="15" s="1"/>
  <c r="I197" i="15"/>
  <c r="H197" i="15"/>
  <c r="I196" i="15"/>
  <c r="H196" i="15"/>
  <c r="G196" i="15"/>
  <c r="I195" i="15"/>
  <c r="H195" i="15"/>
  <c r="G195" i="15"/>
  <c r="I192" i="15"/>
  <c r="H192" i="15"/>
  <c r="G192" i="15"/>
  <c r="I191" i="15"/>
  <c r="H191" i="15"/>
  <c r="G191" i="15"/>
  <c r="I190" i="15"/>
  <c r="H190" i="15"/>
  <c r="G190" i="15"/>
  <c r="I189" i="15"/>
  <c r="H189" i="15"/>
  <c r="G189" i="15"/>
  <c r="I187" i="15"/>
  <c r="H187" i="15"/>
  <c r="G187" i="15"/>
  <c r="I186" i="15"/>
  <c r="H186" i="15"/>
  <c r="G186" i="15"/>
  <c r="I185" i="15"/>
  <c r="H185" i="15"/>
  <c r="G185" i="15"/>
  <c r="I183" i="15"/>
  <c r="H183" i="15"/>
  <c r="G183" i="15"/>
  <c r="I182" i="15"/>
  <c r="H182" i="15"/>
  <c r="G182" i="15"/>
  <c r="I181" i="15"/>
  <c r="H181" i="15"/>
  <c r="G181" i="15"/>
  <c r="G179" i="15"/>
  <c r="G178" i="15"/>
  <c r="G177" i="15"/>
  <c r="I176" i="15"/>
  <c r="H176" i="15"/>
  <c r="G175" i="15"/>
  <c r="G174" i="15"/>
  <c r="I173" i="15"/>
  <c r="H173" i="15"/>
  <c r="G172" i="15"/>
  <c r="I171" i="15"/>
  <c r="I170" i="15" s="1"/>
  <c r="H171" i="15"/>
  <c r="H170" i="15" s="1"/>
  <c r="G171" i="15"/>
  <c r="I169" i="15"/>
  <c r="I168" i="15" s="1"/>
  <c r="H169" i="15"/>
  <c r="H168" i="15" s="1"/>
  <c r="G169" i="15"/>
  <c r="G168" i="15" s="1"/>
  <c r="I167" i="15"/>
  <c r="I166" i="15" s="1"/>
  <c r="H167" i="15"/>
  <c r="H166" i="15" s="1"/>
  <c r="G167" i="15"/>
  <c r="G166" i="15" s="1"/>
  <c r="G165" i="15"/>
  <c r="G164" i="15"/>
  <c r="I163" i="15"/>
  <c r="H163" i="15"/>
  <c r="I162" i="15"/>
  <c r="I159" i="15" s="1"/>
  <c r="H162" i="15"/>
  <c r="G162" i="15"/>
  <c r="G161" i="15"/>
  <c r="H159" i="15"/>
  <c r="G158" i="15"/>
  <c r="I157" i="15"/>
  <c r="H157" i="15"/>
  <c r="G157" i="15"/>
  <c r="G156" i="15"/>
  <c r="I155" i="15"/>
  <c r="H155" i="15"/>
  <c r="I154" i="15"/>
  <c r="H154" i="15"/>
  <c r="G154" i="15"/>
  <c r="I153" i="15"/>
  <c r="H153" i="15"/>
  <c r="G153" i="15"/>
  <c r="G151" i="15"/>
  <c r="G150" i="15" s="1"/>
  <c r="I150" i="15"/>
  <c r="H150" i="15"/>
  <c r="I149" i="15"/>
  <c r="I146" i="15" s="1"/>
  <c r="H149" i="15"/>
  <c r="H146" i="15" s="1"/>
  <c r="G149" i="15"/>
  <c r="G146" i="15" s="1"/>
  <c r="G145" i="15"/>
  <c r="G144" i="15" s="1"/>
  <c r="I144" i="15"/>
  <c r="H144" i="15"/>
  <c r="G143" i="15"/>
  <c r="I142" i="15"/>
  <c r="H142" i="15"/>
  <c r="G142" i="15"/>
  <c r="I141" i="15"/>
  <c r="H141" i="15"/>
  <c r="G141" i="15"/>
  <c r="I140" i="15"/>
  <c r="H140" i="15"/>
  <c r="G140" i="15"/>
  <c r="I135" i="15"/>
  <c r="I132" i="15" s="1"/>
  <c r="H135" i="15"/>
  <c r="H132" i="15" s="1"/>
  <c r="G135" i="15"/>
  <c r="G134" i="15"/>
  <c r="G133" i="15" s="1"/>
  <c r="H129" i="15"/>
  <c r="G127" i="15"/>
  <c r="H128" i="15"/>
  <c r="I127" i="15"/>
  <c r="I126" i="15"/>
  <c r="I124" i="15" s="1"/>
  <c r="H126" i="15"/>
  <c r="G126" i="15"/>
  <c r="I125" i="15"/>
  <c r="H125" i="15"/>
  <c r="G125" i="15"/>
  <c r="G121" i="15"/>
  <c r="I119" i="15"/>
  <c r="H119" i="15"/>
  <c r="G119" i="15"/>
  <c r="I117" i="15"/>
  <c r="H117" i="15"/>
  <c r="G117" i="15"/>
  <c r="G116" i="15"/>
  <c r="G115" i="15" s="1"/>
  <c r="I115" i="15"/>
  <c r="H115" i="15"/>
  <c r="H113" i="15"/>
  <c r="H112" i="15" s="1"/>
  <c r="G113" i="15"/>
  <c r="I112" i="15"/>
  <c r="G112" i="15"/>
  <c r="I111" i="15"/>
  <c r="I110" i="15" s="1"/>
  <c r="H111" i="15"/>
  <c r="H110" i="15" s="1"/>
  <c r="G111" i="15"/>
  <c r="G110" i="15" s="1"/>
  <c r="I108" i="15"/>
  <c r="I107" i="15" s="1"/>
  <c r="H108" i="15"/>
  <c r="G108" i="15"/>
  <c r="G107" i="15" s="1"/>
  <c r="H107" i="15"/>
  <c r="I106" i="15"/>
  <c r="I105" i="15" s="1"/>
  <c r="H106" i="15"/>
  <c r="H105" i="15" s="1"/>
  <c r="G106" i="15"/>
  <c r="G105" i="15" s="1"/>
  <c r="I103" i="15"/>
  <c r="H103" i="15"/>
  <c r="G103" i="15"/>
  <c r="I102" i="15"/>
  <c r="I100" i="15" s="1"/>
  <c r="H102" i="15"/>
  <c r="H100" i="15" s="1"/>
  <c r="G102" i="15"/>
  <c r="G100" i="15" s="1"/>
  <c r="G99" i="15"/>
  <c r="G98" i="15" s="1"/>
  <c r="I98" i="15"/>
  <c r="H98" i="15"/>
  <c r="I96" i="15"/>
  <c r="H96" i="15"/>
  <c r="G96" i="15"/>
  <c r="G93" i="15"/>
  <c r="G92" i="15" s="1"/>
  <c r="I92" i="15"/>
  <c r="H92" i="15"/>
  <c r="I91" i="15"/>
  <c r="H91" i="15"/>
  <c r="G91" i="15"/>
  <c r="I90" i="15"/>
  <c r="H90" i="15"/>
  <c r="G90" i="15"/>
  <c r="I89" i="15"/>
  <c r="G87" i="15"/>
  <c r="I86" i="15"/>
  <c r="H86" i="15"/>
  <c r="G86" i="15"/>
  <c r="G85" i="15"/>
  <c r="I84" i="15"/>
  <c r="H84" i="15"/>
  <c r="G84" i="15"/>
  <c r="I83" i="15"/>
  <c r="H83" i="15"/>
  <c r="G83" i="15"/>
  <c r="G82" i="15"/>
  <c r="G81" i="15" s="1"/>
  <c r="I81" i="15"/>
  <c r="H81" i="15"/>
  <c r="I79" i="15"/>
  <c r="I78" i="15" s="1"/>
  <c r="H79" i="15"/>
  <c r="H78" i="15" s="1"/>
  <c r="G79" i="15"/>
  <c r="G78" i="15" s="1"/>
  <c r="G77" i="15"/>
  <c r="I76" i="15"/>
  <c r="H76" i="15"/>
  <c r="G76" i="15"/>
  <c r="I75" i="15"/>
  <c r="H75" i="15"/>
  <c r="G75" i="15"/>
  <c r="G70" i="15"/>
  <c r="I69" i="15"/>
  <c r="I68" i="15" s="1"/>
  <c r="H69" i="15"/>
  <c r="H68" i="15" s="1"/>
  <c r="G69" i="15"/>
  <c r="G68" i="15"/>
  <c r="G67" i="15"/>
  <c r="G65" i="15" s="1"/>
  <c r="I65" i="15"/>
  <c r="H65" i="15"/>
  <c r="G64" i="15"/>
  <c r="G63" i="15" s="1"/>
  <c r="I63" i="15"/>
  <c r="H63" i="15"/>
  <c r="G61" i="15"/>
  <c r="G60" i="15" s="1"/>
  <c r="I60" i="15"/>
  <c r="H60" i="15"/>
  <c r="I58" i="15"/>
  <c r="H58" i="15"/>
  <c r="G58" i="15"/>
  <c r="I56" i="15"/>
  <c r="H56" i="15"/>
  <c r="G56" i="15"/>
  <c r="G55" i="15"/>
  <c r="G54" i="15" s="1"/>
  <c r="I54" i="15"/>
  <c r="H54" i="15"/>
  <c r="I52" i="15"/>
  <c r="H52" i="15"/>
  <c r="G52" i="15"/>
  <c r="I50" i="15"/>
  <c r="H50" i="15"/>
  <c r="G50" i="15"/>
  <c r="G48" i="15"/>
  <c r="G47" i="15" s="1"/>
  <c r="I47" i="15"/>
  <c r="H47" i="15"/>
  <c r="G46" i="15"/>
  <c r="I45" i="15"/>
  <c r="I44" i="15" s="1"/>
  <c r="H45" i="15"/>
  <c r="H44" i="15" s="1"/>
  <c r="G45" i="15"/>
  <c r="I43" i="15"/>
  <c r="H43" i="15"/>
  <c r="G43" i="15"/>
  <c r="I42" i="15"/>
  <c r="H42" i="15"/>
  <c r="G42" i="15"/>
  <c r="I40" i="15"/>
  <c r="I39" i="15" s="1"/>
  <c r="H40" i="15"/>
  <c r="H39" i="15" s="1"/>
  <c r="G40" i="15"/>
  <c r="G39" i="15" s="1"/>
  <c r="G38" i="15"/>
  <c r="G37" i="15" s="1"/>
  <c r="I37" i="15"/>
  <c r="H37" i="15"/>
  <c r="I34" i="15"/>
  <c r="H34" i="15"/>
  <c r="G34" i="15"/>
  <c r="I33" i="15"/>
  <c r="I32" i="15" s="1"/>
  <c r="H33" i="15"/>
  <c r="H32" i="15" s="1"/>
  <c r="G32" i="15"/>
  <c r="I29" i="15"/>
  <c r="H29" i="15"/>
  <c r="G29" i="15"/>
  <c r="I28" i="15"/>
  <c r="I27" i="15" s="1"/>
  <c r="H28" i="15"/>
  <c r="H27" i="15" s="1"/>
  <c r="G28" i="15"/>
  <c r="G27" i="15" s="1"/>
  <c r="I25" i="15"/>
  <c r="I23" i="15" s="1"/>
  <c r="H25" i="15"/>
  <c r="G25" i="15"/>
  <c r="I24" i="15"/>
  <c r="H24" i="15"/>
  <c r="G24" i="15"/>
  <c r="I22" i="15"/>
  <c r="H22" i="15"/>
  <c r="G22" i="15"/>
  <c r="I20" i="15"/>
  <c r="H20" i="15"/>
  <c r="G20" i="15"/>
  <c r="I19" i="15"/>
  <c r="H19" i="15"/>
  <c r="G19" i="15"/>
  <c r="G17" i="15"/>
  <c r="I16" i="15"/>
  <c r="I15" i="15" s="1"/>
  <c r="H16" i="15"/>
  <c r="H15" i="15" s="1"/>
  <c r="G16" i="15"/>
  <c r="G15" i="15" s="1"/>
  <c r="H450" i="15" l="1"/>
  <c r="G450" i="15"/>
  <c r="G268" i="15"/>
  <c r="H41" i="15"/>
  <c r="H31" i="15" s="1"/>
  <c r="G132" i="15"/>
  <c r="G163" i="15"/>
  <c r="H242" i="15"/>
  <c r="G308" i="15"/>
  <c r="G331" i="15"/>
  <c r="G338" i="15"/>
  <c r="H338" i="15"/>
  <c r="G357" i="15"/>
  <c r="I435" i="15"/>
  <c r="I434" i="15" s="1"/>
  <c r="I41" i="15"/>
  <c r="G44" i="15"/>
  <c r="H89" i="15"/>
  <c r="H124" i="15"/>
  <c r="G152" i="15"/>
  <c r="G159" i="15"/>
  <c r="G173" i="15"/>
  <c r="H188" i="15"/>
  <c r="G194" i="15"/>
  <c r="I299" i="15"/>
  <c r="I293" i="15" s="1"/>
  <c r="H23" i="15"/>
  <c r="H180" i="15"/>
  <c r="I268" i="15"/>
  <c r="I267" i="15" s="1"/>
  <c r="G74" i="15"/>
  <c r="G73" i="15" s="1"/>
  <c r="H152" i="15"/>
  <c r="G170" i="15"/>
  <c r="G180" i="15"/>
  <c r="G232" i="15"/>
  <c r="H299" i="15"/>
  <c r="H293" i="15" s="1"/>
  <c r="G316" i="15"/>
  <c r="H325" i="15"/>
  <c r="I338" i="15"/>
  <c r="I372" i="15"/>
  <c r="G184" i="15"/>
  <c r="H268" i="15"/>
  <c r="I18" i="15"/>
  <c r="I14" i="15" s="1"/>
  <c r="I74" i="15"/>
  <c r="I73" i="15" s="1"/>
  <c r="I152" i="15"/>
  <c r="G176" i="15"/>
  <c r="G258" i="15"/>
  <c r="G245" i="15" s="1"/>
  <c r="H331" i="15"/>
  <c r="G369" i="15"/>
  <c r="G499" i="15"/>
  <c r="G492" i="15" s="1"/>
  <c r="H18" i="15"/>
  <c r="G41" i="15"/>
  <c r="G31" i="15" s="1"/>
  <c r="G124" i="15"/>
  <c r="G123" i="15" s="1"/>
  <c r="G139" i="15"/>
  <c r="H215" i="15"/>
  <c r="H200" i="15" s="1"/>
  <c r="G237" i="15"/>
  <c r="G325" i="15"/>
  <c r="H328" i="15"/>
  <c r="I331" i="15"/>
  <c r="G344" i="15"/>
  <c r="H344" i="15"/>
  <c r="H366" i="15"/>
  <c r="I366" i="15"/>
  <c r="H435" i="15"/>
  <c r="H434" i="15" s="1"/>
  <c r="G23" i="15"/>
  <c r="H127" i="15"/>
  <c r="G155" i="15"/>
  <c r="I194" i="15"/>
  <c r="G299" i="15"/>
  <c r="G293" i="15" s="1"/>
  <c r="I344" i="15"/>
  <c r="G372" i="15"/>
  <c r="I499" i="15"/>
  <c r="I492" i="15" s="1"/>
  <c r="G18" i="15"/>
  <c r="G14" i="15" s="1"/>
  <c r="H74" i="15"/>
  <c r="H73" i="15" s="1"/>
  <c r="G89" i="15"/>
  <c r="G88" i="15" s="1"/>
  <c r="H139" i="15"/>
  <c r="I139" i="15"/>
  <c r="H184" i="15"/>
  <c r="G188" i="15"/>
  <c r="G201" i="15"/>
  <c r="G212" i="15"/>
  <c r="G215" i="15"/>
  <c r="G224" i="15"/>
  <c r="I242" i="15"/>
  <c r="G328" i="15"/>
  <c r="I334" i="15"/>
  <c r="H372" i="15"/>
  <c r="G375" i="15"/>
  <c r="G435" i="15"/>
  <c r="G434" i="15" s="1"/>
  <c r="H499" i="15"/>
  <c r="H492" i="15" s="1"/>
  <c r="H114" i="15"/>
  <c r="I231" i="15"/>
  <c r="H26" i="15"/>
  <c r="H80" i="15"/>
  <c r="I88" i="15"/>
  <c r="G80" i="15"/>
  <c r="I200" i="15"/>
  <c r="H245" i="15"/>
  <c r="H267" i="15"/>
  <c r="G425" i="15"/>
  <c r="I80" i="15"/>
  <c r="I123" i="15"/>
  <c r="G49" i="15"/>
  <c r="H49" i="15"/>
  <c r="I49" i="15"/>
  <c r="I425" i="15"/>
  <c r="I483" i="15"/>
  <c r="H88" i="15"/>
  <c r="I109" i="15"/>
  <c r="G114" i="15"/>
  <c r="I401" i="15"/>
  <c r="G401" i="15"/>
  <c r="H388" i="15"/>
  <c r="G109" i="15"/>
  <c r="G231" i="15"/>
  <c r="G267" i="15"/>
  <c r="G476" i="15"/>
  <c r="H483" i="15"/>
  <c r="I95" i="15"/>
  <c r="I26" i="15"/>
  <c r="G26" i="15"/>
  <c r="I114" i="15"/>
  <c r="G443" i="15"/>
  <c r="G442" i="15" s="1"/>
  <c r="I443" i="15"/>
  <c r="I442" i="15" s="1"/>
  <c r="G483" i="15"/>
  <c r="H95" i="15"/>
  <c r="I31" i="15"/>
  <c r="G95" i="15"/>
  <c r="H109" i="15"/>
  <c r="I180" i="15"/>
  <c r="I184" i="15"/>
  <c r="I188" i="15"/>
  <c r="H231" i="15"/>
  <c r="G388" i="15"/>
  <c r="H401" i="15"/>
  <c r="H443" i="15"/>
  <c r="H442" i="15" s="1"/>
  <c r="G208" i="15"/>
  <c r="I245" i="15"/>
  <c r="H425" i="15"/>
  <c r="H194" i="15"/>
  <c r="I388" i="15"/>
  <c r="H14" i="15" l="1"/>
  <c r="G304" i="15"/>
  <c r="G266" i="15" s="1"/>
  <c r="H138" i="15"/>
  <c r="H137" i="15" s="1"/>
  <c r="H123" i="15"/>
  <c r="H94" i="15" s="1"/>
  <c r="I304" i="15"/>
  <c r="I266" i="15" s="1"/>
  <c r="G138" i="15"/>
  <c r="G200" i="15"/>
  <c r="H304" i="15"/>
  <c r="H266" i="15" s="1"/>
  <c r="G72" i="15"/>
  <c r="H72" i="15"/>
  <c r="I400" i="15"/>
  <c r="G94" i="15"/>
  <c r="G400" i="15"/>
  <c r="H13" i="15"/>
  <c r="I72" i="15"/>
  <c r="G13" i="15"/>
  <c r="I13" i="15"/>
  <c r="I94" i="15"/>
  <c r="I138" i="15"/>
  <c r="I137" i="15" s="1"/>
  <c r="H400" i="15"/>
  <c r="G137" i="15" l="1"/>
  <c r="G509" i="15"/>
  <c r="G516" i="15" s="1"/>
  <c r="H509" i="15"/>
  <c r="H516" i="15" s="1"/>
  <c r="I509" i="15"/>
  <c r="I516" i="15" s="1"/>
</calcChain>
</file>

<file path=xl/sharedStrings.xml><?xml version="1.0" encoding="utf-8"?>
<sst xmlns="http://schemas.openxmlformats.org/spreadsheetml/2006/main" count="2033" uniqueCount="388">
  <si>
    <t>99</t>
  </si>
  <si>
    <t>(тыс. руб.)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</si>
  <si>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</si>
  <si>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</si>
  <si>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</si>
  <si>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</si>
  <si>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</si>
  <si>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</si>
  <si>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400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</si>
  <si>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</si>
  <si>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</si>
  <si>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</si>
  <si>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</si>
  <si>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Вид расхода</t>
  </si>
  <si>
    <t>01</t>
  </si>
  <si>
    <t>02</t>
  </si>
  <si>
    <t>03</t>
  </si>
  <si>
    <t>04</t>
  </si>
  <si>
    <t>11</t>
  </si>
  <si>
    <t>12</t>
  </si>
  <si>
    <t>09</t>
  </si>
  <si>
    <t>05</t>
  </si>
  <si>
    <t>08</t>
  </si>
  <si>
    <t>06</t>
  </si>
  <si>
    <t>10</t>
  </si>
  <si>
    <t>Капитальные вложения в объекты государственной (муниципальной) собственности</t>
  </si>
  <si>
    <t>Итого</t>
  </si>
  <si>
    <t>Государственная программа</t>
  </si>
  <si>
    <t>Подпрограмма</t>
  </si>
  <si>
    <t>Направление расходов</t>
  </si>
  <si>
    <t>Муниципальная программа "Создание условий для повышения эффективности муниципального управления"</t>
  </si>
  <si>
    <t>Подпрограмма "Повышение эффективности деятельности органа местного самоуправления"</t>
  </si>
  <si>
    <t>1</t>
  </si>
  <si>
    <t>2</t>
  </si>
  <si>
    <t>3</t>
  </si>
  <si>
    <t>Подпрограмма "Развитие архивного дела на территории Анжеро-Судженского городского округа"</t>
  </si>
  <si>
    <t>4</t>
  </si>
  <si>
    <t>Подпрограмма "Прочие направления повышения эффективности муниципального управления"</t>
  </si>
  <si>
    <t>5</t>
  </si>
  <si>
    <t>Муниципальная программа "Повышение эффективности управления муниципальной собственностью Анжеро-Судженского городского округа"</t>
  </si>
  <si>
    <t>Муниципальная программа "Обеспечение общественного порядка, пожарной безопасности и защита от чрезвычайных ситуаций"</t>
  </si>
  <si>
    <t>Подпрограмма "Снижение рисков и смягчение последствий чрезвычайных ситуаций, повышение безопасности населения и защищенности объектов городского округа от угроз природного и техногенного характера"</t>
  </si>
  <si>
    <t>Подпрограмма "Обеспечение пожарной безопасности на территории муниципального образования Анжеро-Судженский городской округ"</t>
  </si>
  <si>
    <t xml:space="preserve">Подпрограмма "Обеспечение охраны общественного порядка на территории муниципального образования Анжеро-Судженский городской округ" </t>
  </si>
  <si>
    <t>Подпрограмма "Обеспечение жильем отдельных социально незащищенных категорий граждан, нуждающихся в улучшении жилищных условий"</t>
  </si>
  <si>
    <t>Подпрограмма "Обеспечение жильем молодых семей"</t>
  </si>
  <si>
    <t>Подпрограмма "Переселение граждан из ветхого и аварийного жилья"</t>
  </si>
  <si>
    <t>Подпрограмма "Капитальное строительство"</t>
  </si>
  <si>
    <t>Подпрограмма "Капитальный ремонт жилья"</t>
  </si>
  <si>
    <t>Муниципальная программа "Развитие системы образования Анжеро-Судженского городского округа"</t>
  </si>
  <si>
    <t xml:space="preserve">Подпрограмма "Развитие дошкольного, общего образования и дополнительного образования детей в Анжеро-Судженском городском округе" </t>
  </si>
  <si>
    <t>Подпрограмма «Социальные гарантии в системе образования»</t>
  </si>
  <si>
    <t>Подпрограмма "Прочие мероприятия в области образования"</t>
  </si>
  <si>
    <t xml:space="preserve">Муниципальная программа "Развитие культуры Анжеро-Судженского городского округа" </t>
  </si>
  <si>
    <t>6</t>
  </si>
  <si>
    <t>7</t>
  </si>
  <si>
    <t>Муниципальная программа "Социальная поддержка населения Анжеро-Судженского городского округа"</t>
  </si>
  <si>
    <t>Подпрограмма "Милосердие"</t>
  </si>
  <si>
    <t xml:space="preserve">Подпрограмма "Поддержка лиц, замешавших муниципальные должности, и должности муниципальной службы муниципального образования "Анжеро-Судженский городской округ" в виде пенсии за выслугу лет" </t>
  </si>
  <si>
    <t xml:space="preserve">Подпрограмма "Совершенствование системы управления и информационного обеспечения в сфере социальной поддержки и социального обслуживания населения" </t>
  </si>
  <si>
    <t>Подпрограмма "Повышение качества и доступности социальных услуг"</t>
  </si>
  <si>
    <t>Подпрограмма "Развитие мер социальной поддержки отдельных категорий граждан"</t>
  </si>
  <si>
    <t>Муниципальная программа "Развитие физической культуры и спорта в муниципальном образовании Анжеро-Судженский городской округ"</t>
  </si>
  <si>
    <t>Муниципальная программа "Комплексные мероприятия по повышению энергоэффективности жилищно-коммунального хозяйства на территории Анжеро-Судженского городского округа"</t>
  </si>
  <si>
    <t>Подпрограмма "Энергосбережение и повышение энергоэффективности экономики"</t>
  </si>
  <si>
    <t>Подпрограмма "Организация и осуществление деятельности по снижению рисков и смягчению последствий аварийных ситуаций на объектах жилищно-коммунального комплекса и социальной сферы"</t>
  </si>
  <si>
    <t>Подпрограмма "Осуществление функций по реализации вопросов местного значения в сфере жилищно-коммунального хозяйства"</t>
  </si>
  <si>
    <t xml:space="preserve">Подпрограмма "Строительство и содержание автомобильных дорог и инженерных сооружений на них" </t>
  </si>
  <si>
    <t>Подпрограмма "Уличное освещение объектов внешнего благоустройства"</t>
  </si>
  <si>
    <t xml:space="preserve">Подпрограмма "Озеленение объектов внешнего благоустройства" </t>
  </si>
  <si>
    <t xml:space="preserve">Подпрограмма "Организация и содержание мест захоронения" </t>
  </si>
  <si>
    <t>Подпрограмма "Прочие мероприятия по объектам внешнего благоустройства"</t>
  </si>
  <si>
    <t>Муниципальная программа "Управление муниципальными финансами Анжеро-Судженского городского округа"</t>
  </si>
  <si>
    <t>Непрограммное направление деятельности</t>
  </si>
  <si>
    <t>к решению Совета народных депутатов Анжеро-Судженского городского округа</t>
  </si>
  <si>
    <t>Приложение 4</t>
  </si>
  <si>
    <t>13</t>
  </si>
  <si>
    <t>0</t>
  </si>
  <si>
    <t xml:space="preserve">Муниципальная программа «Повышение качества предоставления государственных и муниципальных услуг» </t>
  </si>
  <si>
    <t>R0820</t>
  </si>
  <si>
    <t>L0200</t>
  </si>
  <si>
    <t>R0840</t>
  </si>
  <si>
    <t>00</t>
  </si>
  <si>
    <t>Основное мероприятие</t>
  </si>
  <si>
    <t>14</t>
  </si>
  <si>
    <t>71940</t>
  </si>
  <si>
    <t>70420</t>
  </si>
  <si>
    <t>Закупка товаров, работ и услуг для государственных (муниципальных) нужд</t>
  </si>
  <si>
    <t>71930</t>
  </si>
  <si>
    <t>72000</t>
  </si>
  <si>
    <t>70490</t>
  </si>
  <si>
    <t>Теплоснабжение восточного жилого района г.Анжеро-Судженска (строительство теплотрассы)</t>
  </si>
  <si>
    <t>11011</t>
  </si>
  <si>
    <t>11021</t>
  </si>
  <si>
    <t>11031</t>
  </si>
  <si>
    <t>Развитие архивного дела на территории Анжеро-Судженского городского округа</t>
  </si>
  <si>
    <t>11401</t>
  </si>
  <si>
    <t>Осуществление функций по хранению, комплектованию, учету и использованию документов Архивного фонда Кемеровской области</t>
  </si>
  <si>
    <t>13071</t>
  </si>
  <si>
    <t>Поддержка молодых семей и семей бюджетников</t>
  </si>
  <si>
    <t>15011</t>
  </si>
  <si>
    <t>Поздравления и памятные подарки</t>
  </si>
  <si>
    <t>16131</t>
  </si>
  <si>
    <t>Исполнение судебных актов</t>
  </si>
  <si>
    <t>17001</t>
  </si>
  <si>
    <t>71960</t>
  </si>
  <si>
    <t>Создание и функционирование комиссий по делам несовершеннолетних и защите их прав</t>
  </si>
  <si>
    <t>Создание и функционирование административных комиссий</t>
  </si>
  <si>
    <t>Денежные выплаты гражданам, имеющим звание "Почетный гражданин Анжеро-Судженского городского округа"</t>
  </si>
  <si>
    <t>94041</t>
  </si>
  <si>
    <t>11001</t>
  </si>
  <si>
    <t>Формирование и оформление границ земельных участков</t>
  </si>
  <si>
    <t>Оформление и выполнение работ по подготовке проектов межевания застроенных территорий и установлению границ под многоквартирными жилыми домами</t>
  </si>
  <si>
    <t>12001</t>
  </si>
  <si>
    <t>13001</t>
  </si>
  <si>
    <t>Техническая инвентаризация и паспортизация объектов муниципальной собственности</t>
  </si>
  <si>
    <t>Муниципальная программа "Развитие и поддержка субъектов малого и среднего предпринимательства Анжеро-Судженского городского округа"</t>
  </si>
  <si>
    <t>Независимая оценка объектов муниципальной собственности</t>
  </si>
  <si>
    <t>14001</t>
  </si>
  <si>
    <t>15001</t>
  </si>
  <si>
    <t>Проведение капитальных ремонтов объектов инженерной инфраструктуры, находящихся в муниципальной собственности</t>
  </si>
  <si>
    <t>16001</t>
  </si>
  <si>
    <t>17002</t>
  </si>
  <si>
    <t>18001</t>
  </si>
  <si>
    <t>Создание и ликвидация муниципальных предприятий</t>
  </si>
  <si>
    <t>19001</t>
  </si>
  <si>
    <t>Обеспечение эффективности в сфере управления муниципальным имуществом</t>
  </si>
  <si>
    <t>11002</t>
  </si>
  <si>
    <t>Резервный фонд</t>
  </si>
  <si>
    <t>Содержание муниципального имущества</t>
  </si>
  <si>
    <t>Размещение информации в СМИ</t>
  </si>
  <si>
    <t>Создание территориального компонента Общероссийской комплексной системы информирования и оповещения населения в чрезвычайных ситуациях</t>
  </si>
  <si>
    <t>14002</t>
  </si>
  <si>
    <t>Развитие ЕДДС Анжеро-Судженского городского округа</t>
  </si>
  <si>
    <t>Обеспечение первичных мер пожарной безопасности с массовым пребыванием людей</t>
  </si>
  <si>
    <t>11701</t>
  </si>
  <si>
    <t>Противопожарное обустройство населенных пунктов</t>
  </si>
  <si>
    <t>12701</t>
  </si>
  <si>
    <t>Предоставление субсидий бюджетным, автономным учреждениям и иным некоммерческим организациям</t>
  </si>
  <si>
    <t>79050</t>
  </si>
  <si>
    <t>Материальное стимулирование деятельности добровольных пожарных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</si>
  <si>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предотвращение актов насилия и терроризма в отношении детей в общеобразовательных учреждениях, на отдыхе в загородных лагерях во время летних каникул; на водных объектах; оказание помощи отделу военного комиссариата во время призыва</t>
  </si>
  <si>
    <t>11151</t>
  </si>
  <si>
    <t>12161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</si>
  <si>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охрана общественного порядка на водных объектах</t>
  </si>
  <si>
    <t>Обеспечение жильем социально незащищенных категорий граждан, установленных законодательством Кемеровской области и Федеральными законами</t>
  </si>
  <si>
    <t>11501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</si>
  <si>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</si>
  <si>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</si>
  <si>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Реализация программ местного развития и обеспечение занятости для шахтерских городов и поселков</t>
  </si>
  <si>
    <t>Строительство</t>
  </si>
  <si>
    <t>11201</t>
  </si>
  <si>
    <t>Проектные работы</t>
  </si>
  <si>
    <t>12201</t>
  </si>
  <si>
    <t>Капитальный ремонт муниципального жилищного фонда, в т.ч. отдельных муниципальных квартир</t>
  </si>
  <si>
    <t>12202</t>
  </si>
  <si>
    <t>Капитальный ремонт общего имущества многоквартирных домов, находящихся в муниципальной собственности</t>
  </si>
  <si>
    <t>13003</t>
  </si>
  <si>
    <t>11202</t>
  </si>
  <si>
    <t>11211</t>
  </si>
  <si>
    <t>11231</t>
  </si>
  <si>
    <t>12021</t>
  </si>
  <si>
    <t>12051</t>
  </si>
  <si>
    <t>Обеспечение деятельности образовательных учреждений для детей с ограниченными возможностями здоровья, детей-сирот и детей, оставшихся без попечения родителей, включая реализацию образовательных программ дошкольного и общего образования</t>
  </si>
  <si>
    <t>12221</t>
  </si>
  <si>
    <t>13011</t>
  </si>
  <si>
    <t>13211</t>
  </si>
  <si>
    <t>15231</t>
  </si>
  <si>
    <t>15521</t>
  </si>
  <si>
    <t>Развитие молодежной политики в Анжеро-Судженском городском округе</t>
  </si>
  <si>
    <t>16071</t>
  </si>
  <si>
    <t>17011</t>
  </si>
  <si>
    <t>Развитие кадрового потенциала муниципальной системы образования</t>
  </si>
  <si>
    <t>18221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</si>
  <si>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</si>
  <si>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</si>
  <si>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</si>
  <si>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Развитие единого образовательного пространства, повышение качества образовательных результатов</t>
  </si>
  <si>
    <t>Организация круглогодичного отдыха, оздоровления и занятости обучающихся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</si>
  <si>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</si>
  <si>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</si>
  <si>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11012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</si>
  <si>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</si>
  <si>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</si>
  <si>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</si>
  <si>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</si>
  <si>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</si>
  <si>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отдельным категориям обучающихся</t>
  </si>
  <si>
    <t>11041</t>
  </si>
  <si>
    <t>11351</t>
  </si>
  <si>
    <t>11521</t>
  </si>
  <si>
    <t>Организация и осуществление деятельности по опеке и попечительству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</si>
  <si>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</si>
  <si>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Обеспечение деятельности учреждений клубного типа</t>
  </si>
  <si>
    <t>11402</t>
  </si>
  <si>
    <t>Развитие музейного дела</t>
  </si>
  <si>
    <t>12411</t>
  </si>
  <si>
    <t>Развитие библиотечного дела</t>
  </si>
  <si>
    <t>13421</t>
  </si>
  <si>
    <t>14041</t>
  </si>
  <si>
    <t>14521</t>
  </si>
  <si>
    <t>Социальная поддержка и социальное обслуживание населения в части содержания органов местного самоуправления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</si>
  <si>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</si>
  <si>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</si>
  <si>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</si>
  <si>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Оплата жилищно-коммунальных услуг отдельным категориям граждан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</si>
  <si>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</si>
  <si>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</si>
  <si>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</si>
  <si>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</si>
  <si>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</si>
  <si>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</si>
  <si>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Предоставление гражданам субсидий на оплату жилого помещения и коммунальных услуг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</si>
  <si>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</si>
  <si>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</t>
  </si>
  <si>
    <t>11403</t>
  </si>
  <si>
    <t>Адресная помощь</t>
  </si>
  <si>
    <t>12401</t>
  </si>
  <si>
    <t>Поддержка общественных организаций</t>
  </si>
  <si>
    <t>13401</t>
  </si>
  <si>
    <t>Поддержка пенсионеров и инвалидов</t>
  </si>
  <si>
    <t>14401</t>
  </si>
  <si>
    <t>Возмещение затрат по содержанию специализированного муниципального жилого фонда</t>
  </si>
  <si>
    <t>15401</t>
  </si>
  <si>
    <t>Возмещение затрат по организации холодного водоснабжения путем подвоза питьевой воды населению города, проживающего в жилых домах, не подключенных к централизованной системе холодного водоснабжения и не возможностью проведения его, по причине отдаленности от сетей централизованного водоснабжения</t>
  </si>
  <si>
    <t>91001</t>
  </si>
  <si>
    <t>11051</t>
  </si>
  <si>
    <t>Затраты на содержание муниципальных учреждений социального обслуживания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</si>
  <si>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</si>
  <si>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</si>
  <si>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</si>
  <si>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"О погребении и похоронном деле в Кемеровской области"</t>
  </si>
  <si>
    <t>11013</t>
  </si>
  <si>
    <t>11042</t>
  </si>
  <si>
    <t>12111</t>
  </si>
  <si>
    <t>13012</t>
  </si>
  <si>
    <t>Создание условий для развития физической культуры и массового спорта в городском округе</t>
  </si>
  <si>
    <t>Вовлечение детей и подростков в сферу физической культуры и спорта путем занятости молодежи в вечернее время спортивно-массовыми мероприятиями</t>
  </si>
  <si>
    <t>14011</t>
  </si>
  <si>
    <t>11301</t>
  </si>
  <si>
    <t>12301</t>
  </si>
  <si>
    <t>Актуализация схемы теплоснабжения</t>
  </si>
  <si>
    <t>13301</t>
  </si>
  <si>
    <t>15301</t>
  </si>
  <si>
    <t>Проверка сметной документации, технадзор</t>
  </si>
  <si>
    <t>11901</t>
  </si>
  <si>
    <t>Организация и осуществление деятельности по снижению рисков и смягчению последствий аварийных ситуаций на объектах ЖКХ и социальной сферы</t>
  </si>
  <si>
    <t>11203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</si>
  <si>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теплоснабжения в соответствии с установленным предельным индексом</t>
  </si>
  <si>
    <t>11302</t>
  </si>
  <si>
    <t>12402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</si>
  <si>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</si>
  <si>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14101</t>
  </si>
  <si>
    <t>11043</t>
  </si>
  <si>
    <t>Осуществление функций по реализации вопросов местного значения в сфере жилищно-коммунального хозяйства</t>
  </si>
  <si>
    <t>11121</t>
  </si>
  <si>
    <t>Расходы по содержанию автомобильных дорог и инженерных сооружений на них</t>
  </si>
  <si>
    <t>11111</t>
  </si>
  <si>
    <t>Стоимость электроэнергии</t>
  </si>
  <si>
    <t>11131</t>
  </si>
  <si>
    <t>Организация работ по озеленению парков, скверов, аллей, улично-дорожной сети</t>
  </si>
  <si>
    <t>11141</t>
  </si>
  <si>
    <t>Текущее содержание и очистка кладбищ</t>
  </si>
  <si>
    <t>11152</t>
  </si>
  <si>
    <t>Прочие мероприятия по объектам внешнего благоустройства, направленные на охрану окружающей среды и отдых населения</t>
  </si>
  <si>
    <t>11902</t>
  </si>
  <si>
    <t>11112</t>
  </si>
  <si>
    <t>13701</t>
  </si>
  <si>
    <t>11004</t>
  </si>
  <si>
    <t>Процентные платежи по муниципальному долгу Анжеро-Судженского городского округа</t>
  </si>
  <si>
    <t>Обеспечение деятельности МАУ МФЦ</t>
  </si>
  <si>
    <t>Кредитно-финансовая и имущественная поддержка субъектов малого и среднего предпринимательства</t>
  </si>
  <si>
    <t>Содействие формированию положительного имиджа предпринимательской деятельности</t>
  </si>
  <si>
    <t>12801</t>
  </si>
  <si>
    <t>Подпрограмма "Здоровье горожан"</t>
  </si>
  <si>
    <t>Кадровое обеспечение - молодой специалист</t>
  </si>
  <si>
    <t>11005</t>
  </si>
  <si>
    <t>11171</t>
  </si>
  <si>
    <t>Повышение доступности и качества спортивно-оздоровительных услуг</t>
  </si>
  <si>
    <t>Капитальный ремонт муниципальных сетей и котельного оборудования</t>
  </si>
  <si>
    <t>Подпрограмма "Компенсация выпадающих доходов (затрат, убытков) организациям, предоставляющим населению услуги по тарифам, не обеспечивающим возмещение издержек"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</si>
  <si>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водоснабжения, водоотведения в соответствии с установленным предельным индексом</t>
  </si>
  <si>
    <t>Освещение автодорог местного значения и текущее содержание линий дорожного освещения</t>
  </si>
  <si>
    <t>Подпрограмма "Повышение безопасности дорожного движения"</t>
  </si>
  <si>
    <t>Повышение безопасности дорожного движения, КРИСы, Безопасный город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</si>
  <si>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</si>
  <si>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</si>
  <si>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20111</t>
  </si>
  <si>
    <t>20121</t>
  </si>
  <si>
    <t>20131</t>
  </si>
  <si>
    <t>24001</t>
  </si>
  <si>
    <t>Председатель Контрольно-счетной палаты</t>
  </si>
  <si>
    <t>Муниципальная программа "Комплексное обеспечение качественного уровня благоустройства территории Анжеро-Судженского городского округа"</t>
  </si>
  <si>
    <t>Подпрограмма "Организация мероприятий по обеспечению надлежащего состояния уровня благоустройства территории Анжеро-Судженского городского округа"</t>
  </si>
  <si>
    <t>Организация мероприятий по обеспечению надлежащего состояния уровня благоустройства территории Анжеро-Судженского городского округа</t>
  </si>
  <si>
    <t>Начальник финансового управления города Анжеро-Судженска -</t>
  </si>
  <si>
    <t>Выплата пенсии за выслугу лет в соответствии с Решением Анжеро-Судженского городского Совета народных депутатов от 26.11.2009г №396 "О пенсиях за выслугу лет лицам, замещавшим муниципальные должности, и должности муниципальной службы муниципального образования "Анжеро-Судженский городской округ""</t>
  </si>
  <si>
    <t>Осуществление полномочия по осуществлению ежегодной денежной выплаты лицам, награжденным нагрудным знаком "Почетный донор России"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</si>
  <si>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</si>
  <si>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</si>
  <si>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</si>
  <si>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"О мерах социальной поддержки отдельных категорий приемных родителей"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</si>
  <si>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"О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предприятиях"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</si>
  <si>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</si>
  <si>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Пособие на ребенка в соответствии с Законом Кемеровской области от 18 ноября 2004 года № 75-ОЗ "О размере, порядке назначения и выплаты пособия на ребенка"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</si>
  <si>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</si>
  <si>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</si>
  <si>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Мероприятия подпрограммы "Обеспечение жильем молодых семей" федеральной целевой программы "Жилище" на 2015 - 2020 годы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</si>
  <si>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</t>
  </si>
  <si>
    <t>Повышение эффективности деятельности органа местного самоуправления</t>
  </si>
  <si>
    <t>Обеспечение доступности дошкольного, общего и дополнительного образования детей, повышение качества образовательных результатов, включая образовательные программы дошкольного общего и дополнительного образования</t>
  </si>
  <si>
    <t>Организация круглогодичного отдыха, оздоровления и занятости обучающихся, закаливание беременных</t>
  </si>
  <si>
    <t>Развитие физической культуры и детско-юношеского спорта в Анжеро-Судженском городском округе</t>
  </si>
  <si>
    <t>Поддержка талантливых детей и молодежи, обеспечение условий для их личностной самореализации и профессионального самоопределения, успешной социализации в обществе</t>
  </si>
  <si>
    <t>Социальная поддержка участников образовательного процесса</t>
  </si>
  <si>
    <t>Обеспечение деятельности прочих организаций в сфере образования Анжеро-Судженского городского округа</t>
  </si>
  <si>
    <t>Развитие управления в сфере культуры</t>
  </si>
  <si>
    <t>71660</t>
  </si>
  <si>
    <t>Обеспечение жильем социальных категорий граждан, установленных законодательством Кемеровской области</t>
  </si>
  <si>
    <t>72540</t>
  </si>
  <si>
    <t>71850</t>
  </si>
  <si>
    <t>Подпрограмма "Содержание и обустройство сибиреязвенных захоронений и скотомогильников (биотермических ям)"</t>
  </si>
  <si>
    <t>Содержание и обустройство сибиреязвенных захоронений (биотермических ям)</t>
  </si>
  <si>
    <t>Центральный аппарат</t>
  </si>
  <si>
    <t>L5270</t>
  </si>
  <si>
    <t>ПИР котельной по ул. Прокопьевская, сети теплоснабжения</t>
  </si>
  <si>
    <t>Закупка товаров работ и услуг для государственных (муниципальных) нужд</t>
  </si>
  <si>
    <t>18301</t>
  </si>
  <si>
    <t>Осуществление спортивной подготовки на территории городского округа</t>
  </si>
  <si>
    <t>15232</t>
  </si>
  <si>
    <t>Распределение бюджетных ассигнований бюджета муниципального образования "Анжеро-Судженский городской округ" по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и на плановый период 2019 и 2020 годов</t>
  </si>
  <si>
    <t xml:space="preserve">Социальная поддержка работников образовательных организаций и участников образовательного процесса 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</si>
  <si>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</si>
  <si>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</t>
  </si>
  <si>
    <t>2019 год</t>
  </si>
  <si>
    <t>2020     год</t>
  </si>
  <si>
    <t>Возмещение затрат, возникших в результате применения регулируемых цен при реализации угля на коммунально-бытовые нужды населению</t>
  </si>
  <si>
    <t>Муниципальная программа "Обеспечение доступным и комфортным жильем и коммунальными услугами. Строительство."</t>
  </si>
  <si>
    <t>2018     год</t>
  </si>
  <si>
    <t>Условно утвержденные расходы</t>
  </si>
  <si>
    <t>99999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</si>
  <si>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</si>
  <si>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</si>
  <si>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71140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</si>
  <si>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</si>
  <si>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</si>
  <si>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70840</t>
  </si>
  <si>
    <t>Проведение обследования ветхого и аварийного муниципального жилого фонда, снос ветхого жилья</t>
  </si>
  <si>
    <t>14151</t>
  </si>
  <si>
    <t>Строительство и реконструкция котельных и сетей теплоснабжения с пименением  энергоэффективных технологий, материалов и оборудования</t>
  </si>
  <si>
    <t>55730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</si>
  <si>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</si>
  <si>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11181</t>
  </si>
  <si>
    <t>Этнокультурное развитие наций и народностей Кемеровской области</t>
  </si>
  <si>
    <t>70480</t>
  </si>
  <si>
    <t>Разработка схемы водоснабжения и водоотведения</t>
  </si>
  <si>
    <t>17301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</si>
  <si>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</si>
  <si>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</si>
  <si>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L4970</t>
  </si>
  <si>
    <t>Реализация мероприятий по обеспечению жильем молодых семей</t>
  </si>
  <si>
    <t>S2690</t>
  </si>
  <si>
    <t>от ________________2018г. № ________</t>
  </si>
  <si>
    <t xml:space="preserve">от  21.12.2017 № 95 </t>
  </si>
  <si>
    <t>Муниципальная программа "Формирование современной городской среды на территории Анжеро-Судженского городского округа"</t>
  </si>
  <si>
    <t>15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</si>
  <si>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</si>
  <si>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L5550</t>
  </si>
  <si>
    <t>Подпрограмма "Повышение качества  среды города Анжеро-Судженска"</t>
  </si>
  <si>
    <t>8</t>
  </si>
  <si>
    <t>Капитальный ремонт ул. Ленина</t>
  </si>
  <si>
    <t>11182</t>
  </si>
  <si>
    <t xml:space="preserve">Капитальный ремонт объектов систем водоснабжения и водоотведения </t>
  </si>
  <si>
    <t>72470</t>
  </si>
  <si>
    <t>S2470</t>
  </si>
  <si>
    <t>Приложение 2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</si>
  <si>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</si>
  <si>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72110</t>
  </si>
  <si>
    <t>S2110</t>
  </si>
  <si>
    <t xml:space="preserve">Подпрограмма "Доступная среда" </t>
  </si>
  <si>
    <t>Создание в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</t>
  </si>
  <si>
    <t>13271</t>
  </si>
  <si>
    <t>Переселение граждан из аварийного жилищного фонда</t>
  </si>
  <si>
    <t>12151</t>
  </si>
  <si>
    <t>Переселение граждан из аварийных многоквартирных жилых домов в рамках реализации региональной адресной программы в соответствии с 185-ФЗ</t>
  </si>
  <si>
    <t>Е.Н.Зачиняева</t>
  </si>
  <si>
    <t>Обеспечение деятельности строительного контроля в сфере проектирования, строительства, реконструкции и всех видов ремонта. Выполнение функции Заказчика</t>
  </si>
  <si>
    <t>13201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</si>
</sst>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i/>
      <u/>
      <sz val="10"/>
      <name val="Arial Cyr"/>
      <family val="2"/>
      <charset val="204"/>
    </font>
    <font>
      <i/>
      <u/>
      <sz val="10"/>
      <color theme="1"/>
      <name val="Arial"/>
      <family val="2"/>
      <charset val="204"/>
    </font>
    <font>
      <i/>
      <u/>
      <sz val="10"/>
      <name val="Arial"/>
      <family val="2"/>
      <charset val="204"/>
    </font>
    <font>
      <i/>
      <u/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2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164" fontId="1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49" fontId="16" fillId="2" borderId="1" xfId="0" quotePrefix="1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5" fillId="2" borderId="1" xfId="0" applyNumberFormat="1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49" fontId="28" fillId="0" borderId="1" xfId="0" quotePrefix="1" applyNumberFormat="1" applyFont="1" applyFill="1" applyBorder="1" applyAlignment="1">
      <alignment horizontal="distributed" wrapText="1"/>
    </xf>
    <xf numFmtId="49" fontId="26" fillId="0" borderId="1" xfId="0" applyNumberFormat="1" applyFont="1" applyFill="1" applyBorder="1" applyAlignment="1">
      <alignment horizontal="distributed" wrapText="1"/>
    </xf>
    <xf numFmtId="0" fontId="29" fillId="0" borderId="1" xfId="0" applyFont="1" applyFill="1" applyBorder="1" applyAlignment="1">
      <alignment horizontal="distributed" wrapText="1"/>
    </xf>
    <xf numFmtId="1" fontId="26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22" fillId="3" borderId="1" xfId="0" applyFont="1" applyFill="1" applyBorder="1" applyAlignment="1">
      <alignment horizontal="left" wrapText="1"/>
    </xf>
    <xf numFmtId="49" fontId="23" fillId="3" borderId="1" xfId="0" quotePrefix="1" applyNumberFormat="1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12" fillId="3" borderId="1" xfId="0" applyNumberFormat="1" applyFont="1" applyFill="1" applyBorder="1" applyAlignment="1">
      <alignment vertical="top" wrapText="1"/>
    </xf>
    <xf numFmtId="49" fontId="13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0" fontId="24" fillId="3" borderId="1" xfId="0" applyNumberFormat="1" applyFont="1" applyFill="1" applyBorder="1" applyAlignment="1">
      <alignment vertical="top" wrapText="1"/>
    </xf>
    <xf numFmtId="49" fontId="25" fillId="3" borderId="1" xfId="0" applyNumberFormat="1" applyFont="1" applyFill="1" applyBorder="1" applyAlignment="1">
      <alignment horizontal="center" wrapText="1"/>
    </xf>
    <xf numFmtId="49" fontId="24" fillId="3" borderId="1" xfId="0" applyNumberFormat="1" applyFont="1" applyFill="1" applyBorder="1" applyAlignment="1">
      <alignment horizontal="center"/>
    </xf>
    <xf numFmtId="164" fontId="25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right" vertical="top" wrapText="1"/>
    </xf>
    <xf numFmtId="0" fontId="5" fillId="3" borderId="1" xfId="0" applyFont="1" applyFill="1" applyBorder="1" applyAlignment="1">
      <alignment horizontal="center" wrapText="1"/>
    </xf>
    <xf numFmtId="49" fontId="21" fillId="3" borderId="1" xfId="0" quotePrefix="1" applyNumberFormat="1" applyFont="1" applyFill="1" applyBorder="1" applyAlignment="1">
      <alignment horizontal="distributed" wrapText="1"/>
    </xf>
    <xf numFmtId="49" fontId="0" fillId="3" borderId="1" xfId="0" applyNumberFormat="1" applyFont="1" applyFill="1" applyBorder="1" applyAlignment="1">
      <alignment horizontal="distributed" wrapText="1"/>
    </xf>
    <xf numFmtId="0" fontId="6" fillId="3" borderId="1" xfId="0" applyFont="1" applyFill="1" applyBorder="1" applyAlignment="1">
      <alignment horizontal="distributed" wrapText="1"/>
    </xf>
    <xf numFmtId="1" fontId="20" fillId="3" borderId="1" xfId="0" applyNumberFormat="1" applyFont="1" applyFill="1" applyBorder="1" applyAlignment="1">
      <alignment horizontal="center" wrapText="1"/>
    </xf>
    <xf numFmtId="0" fontId="13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164" fontId="0" fillId="3" borderId="0" xfId="0" applyNumberFormat="1" applyFill="1" applyAlignment="1">
      <alignment vertical="center" wrapText="1"/>
    </xf>
    <xf numFmtId="49" fontId="0" fillId="3" borderId="0" xfId="0" applyNumberFormat="1" applyFont="1" applyFill="1" applyAlignment="1">
      <alignment wrapText="1"/>
    </xf>
    <xf numFmtId="164" fontId="0" fillId="3" borderId="0" xfId="0" applyNumberFormat="1" applyFont="1" applyFill="1" applyAlignment="1">
      <alignment wrapText="1"/>
    </xf>
    <xf numFmtId="0" fontId="0" fillId="3" borderId="0" xfId="0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/>
    <xf numFmtId="164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30" fillId="3" borderId="0" xfId="0" applyFont="1" applyFill="1" applyAlignment="1">
      <alignment horizontal="right" wrapText="1"/>
    </xf>
    <xf numFmtId="0" fontId="30" fillId="3" borderId="0" xfId="0" applyFont="1" applyFill="1" applyAlignment="1">
      <alignment horizontal="right" wrapText="1"/>
    </xf>
    <xf numFmtId="0" fontId="8" fillId="3" borderId="0" xfId="0" applyNumberFormat="1" applyFont="1" applyFill="1" applyAlignment="1">
      <alignment horizontal="center" vertical="top" wrapText="1"/>
    </xf>
    <xf numFmtId="0" fontId="7" fillId="3" borderId="0" xfId="0" applyNumberFormat="1" applyFont="1" applyFill="1" applyBorder="1" applyAlignment="1">
      <alignment horizontal="right" vertical="top" wrapText="1"/>
    </xf>
    <xf numFmtId="0" fontId="8" fillId="3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/&#1056;&#1045;&#1064;&#1045;&#1053;&#1048;&#1071;%20&#1043;&#1054;&#1056;&#1057;&#1054;&#1042;&#1045;&#1058;&#1040;%20&#1053;&#1040;&#1056;&#1054;&#1044;&#1053;&#1067;&#1061;%20&#1044;&#1045;&#1055;&#1059;&#1058;&#1040;&#1058;&#1054;&#1042;/&#1048;&#1079;&#1084;&#1077;&#1085;&#1077;&#1085;&#1080;&#1103;%202018/&#1048;&#1079;&#1084;&#1077;&#1085;&#1077;&#1085;&#1080;&#1103;%20&#1086;&#1082;&#1090;&#1103;&#1073;&#1088;&#1100;%202018/&#1087;&#1088;.%204%20&#1082;%20&#1088;&#1077;&#1096;&#1077;&#1085;&#1080;&#1102;%20-%20&#1088;&#1072;&#1089;&#1093;&#1086;&#1076;&#1099;%20&#1087;&#1086;%20&#1074;&#1077;&#1076;%20&#1089;&#1090;&#1088;&#1091;&#1082;&#1090;%202018-2020%20&#1080;&#1079;&#1084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/&#1056;&#1045;&#1064;&#1045;&#1053;&#1048;&#1071;%20&#1043;&#1054;&#1056;&#1057;&#1054;&#1042;&#1045;&#1058;&#1040;%20&#1053;&#1040;&#1056;&#1054;&#1044;&#1053;&#1067;&#1061;%20&#1044;&#1045;&#1055;&#1059;&#1058;&#1040;&#1058;&#1054;&#1042;/&#1048;&#1079;&#1084;&#1077;&#1085;&#1077;&#1085;&#1080;&#1103;%202018/&#1048;&#1079;&#1084;&#1077;&#1085;&#1077;&#1085;&#1080;&#1103;%20&#1086;&#1082;&#1090;&#1103;&#1073;&#1088;&#1100;%202018/&#1087;&#1088;.%203%20&#1082;%20&#1088;&#1077;&#1096;&#1077;&#1085;&#1080;&#1102;%20-%20&#1088;&#1072;&#1089;&#1093;&#1086;&#1076;&#1099;%20&#1087;&#1086;%20&#1088;&#1072;&#1079;&#1076;%20&#1087;&#1086;&#1076;&#1088;&#1079;&#1076;%202018-2020%20&#1080;&#1079;&#1084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. октябрь 2018"/>
      <sheetName val="для КСП"/>
    </sheetNames>
    <sheetDataSet>
      <sheetData sheetId="0">
        <row r="592">
          <cell r="G592">
            <v>3280752.6043600002</v>
          </cell>
          <cell r="I592">
            <v>2329617.9831300001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 октябрь 2018"/>
      <sheetName val="для КСП"/>
    </sheetNames>
    <sheetDataSet>
      <sheetData sheetId="0">
        <row r="532">
          <cell r="G532">
            <v>2358925.0938200001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3"/>
  <sheetViews>
    <sheetView tabSelected="1" topLeftCell="A4" zoomScaleNormal="100" workbookViewId="0">
      <selection activeCell="A33" sqref="A33:XFD33"/>
    </sheetView>
  </sheetViews>
  <sheetFormatPr defaultRowHeight="12.75" x14ac:dyDescent="0.2"/>
  <cols>
    <col min="1" max="1" width="61.140625" style="84" customWidth="1"/>
    <col min="2" max="2" width="8.7109375" style="107" customWidth="1"/>
    <col min="3" max="3" width="8.7109375" style="108" customWidth="1"/>
    <col min="4" max="4" width="12.140625" style="107" customWidth="1"/>
    <col min="5" max="5" width="12.140625" style="108" customWidth="1"/>
    <col min="6" max="6" width="5.85546875" style="108" customWidth="1"/>
    <col min="7" max="7" width="13.42578125" style="108" customWidth="1"/>
    <col min="8" max="8" width="11.85546875" style="84" customWidth="1"/>
    <col min="9" max="9" width="13.42578125" style="84" customWidth="1"/>
    <col min="10" max="16384" width="9.140625" style="84"/>
  </cols>
  <sheetData>
    <row r="1" spans="1:9" ht="14.25" customHeight="1" x14ac:dyDescent="0.3">
      <c r="A1" s="113" t="s">
        <v>375</v>
      </c>
      <c r="B1" s="113"/>
      <c r="C1" s="113"/>
      <c r="D1" s="113"/>
      <c r="E1" s="113"/>
      <c r="F1" s="113"/>
      <c r="G1" s="113"/>
      <c r="H1" s="113"/>
      <c r="I1" s="113"/>
    </row>
    <row r="2" spans="1:9" ht="14.25" customHeight="1" x14ac:dyDescent="0.3">
      <c r="A2" s="113" t="s">
        <v>74</v>
      </c>
      <c r="B2" s="113"/>
      <c r="C2" s="113"/>
      <c r="D2" s="113"/>
      <c r="E2" s="113"/>
      <c r="F2" s="113"/>
      <c r="G2" s="113"/>
      <c r="H2" s="113"/>
      <c r="I2" s="113"/>
    </row>
    <row r="3" spans="1:9" ht="14.25" customHeight="1" x14ac:dyDescent="0.3">
      <c r="A3" s="113" t="s">
        <v>362</v>
      </c>
      <c r="B3" s="113"/>
      <c r="C3" s="113"/>
      <c r="D3" s="113"/>
      <c r="E3" s="113"/>
      <c r="F3" s="113"/>
      <c r="G3" s="113"/>
      <c r="H3" s="113"/>
      <c r="I3" s="113"/>
    </row>
    <row r="4" spans="1:9" ht="6.75" customHeight="1" x14ac:dyDescent="0.3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4.25" customHeight="1" x14ac:dyDescent="0.2">
      <c r="A5" s="110" t="s">
        <v>75</v>
      </c>
      <c r="B5" s="110"/>
      <c r="C5" s="110"/>
      <c r="D5" s="110"/>
      <c r="E5" s="110"/>
      <c r="F5" s="110"/>
      <c r="G5" s="110"/>
      <c r="H5" s="110"/>
      <c r="I5" s="110"/>
    </row>
    <row r="6" spans="1:9" ht="14.25" customHeight="1" x14ac:dyDescent="0.2">
      <c r="A6" s="110" t="s">
        <v>74</v>
      </c>
      <c r="B6" s="110"/>
      <c r="C6" s="110"/>
      <c r="D6" s="110"/>
      <c r="E6" s="110"/>
      <c r="F6" s="110"/>
      <c r="G6" s="110"/>
      <c r="H6" s="110"/>
      <c r="I6" s="110"/>
    </row>
    <row r="7" spans="1:9" x14ac:dyDescent="0.2">
      <c r="A7" s="110" t="s">
        <v>363</v>
      </c>
      <c r="B7" s="110"/>
      <c r="C7" s="110"/>
      <c r="D7" s="110"/>
      <c r="E7" s="110"/>
      <c r="F7" s="110"/>
      <c r="G7" s="110"/>
      <c r="H7" s="110"/>
      <c r="I7" s="110"/>
    </row>
    <row r="8" spans="1:9" x14ac:dyDescent="0.2">
      <c r="A8" s="109"/>
      <c r="B8" s="109"/>
      <c r="C8" s="109"/>
      <c r="D8" s="109"/>
      <c r="E8" s="109"/>
      <c r="F8" s="109"/>
      <c r="G8" s="109"/>
      <c r="H8" s="109"/>
      <c r="I8" s="109"/>
    </row>
    <row r="9" spans="1:9" s="85" customFormat="1" ht="67.5" customHeight="1" x14ac:dyDescent="0.2">
      <c r="A9" s="111" t="s">
        <v>330</v>
      </c>
      <c r="B9" s="111"/>
      <c r="C9" s="111"/>
      <c r="D9" s="111"/>
      <c r="E9" s="111"/>
      <c r="F9" s="111"/>
      <c r="G9" s="111"/>
      <c r="H9" s="111"/>
      <c r="I9" s="111"/>
    </row>
    <row r="10" spans="1:9" s="86" customFormat="1" ht="11.25" x14ac:dyDescent="0.2">
      <c r="A10" s="112"/>
      <c r="B10" s="112"/>
      <c r="C10" s="112"/>
      <c r="D10" s="112"/>
      <c r="E10" s="112"/>
      <c r="F10" s="112"/>
      <c r="G10" s="112"/>
      <c r="I10" s="87" t="s">
        <v>1</v>
      </c>
    </row>
    <row r="11" spans="1:9" ht="51.75" x14ac:dyDescent="0.25">
      <c r="A11" s="88"/>
      <c r="B11" s="89" t="s">
        <v>27</v>
      </c>
      <c r="C11" s="89" t="s">
        <v>28</v>
      </c>
      <c r="D11" s="90" t="s">
        <v>83</v>
      </c>
      <c r="E11" s="89" t="s">
        <v>29</v>
      </c>
      <c r="F11" s="91" t="s">
        <v>13</v>
      </c>
      <c r="G11" s="92" t="s">
        <v>338</v>
      </c>
      <c r="H11" s="92" t="s">
        <v>334</v>
      </c>
      <c r="I11" s="92" t="s">
        <v>335</v>
      </c>
    </row>
    <row r="12" spans="1:9" s="48" customFormat="1" ht="11.25" x14ac:dyDescent="0.2">
      <c r="A12" s="50">
        <v>1</v>
      </c>
      <c r="B12" s="51" t="s">
        <v>33</v>
      </c>
      <c r="C12" s="51" t="s">
        <v>34</v>
      </c>
      <c r="D12" s="52" t="s">
        <v>36</v>
      </c>
      <c r="E12" s="51" t="s">
        <v>38</v>
      </c>
      <c r="F12" s="53">
        <v>6</v>
      </c>
      <c r="G12" s="54">
        <v>7</v>
      </c>
      <c r="H12" s="54">
        <v>8</v>
      </c>
      <c r="I12" s="54">
        <v>9</v>
      </c>
    </row>
    <row r="13" spans="1:9" s="4" customFormat="1" ht="25.5" x14ac:dyDescent="0.2">
      <c r="A13" s="31" t="s">
        <v>30</v>
      </c>
      <c r="B13" s="32" t="s">
        <v>14</v>
      </c>
      <c r="C13" s="32"/>
      <c r="D13" s="32"/>
      <c r="E13" s="32"/>
      <c r="F13" s="33"/>
      <c r="G13" s="41">
        <f>SUM(G14,G26,G31)</f>
        <v>80437.100000000006</v>
      </c>
      <c r="H13" s="41">
        <f t="shared" ref="H13:I13" si="0">SUM(H14,H26,H31)</f>
        <v>60448.900000000009</v>
      </c>
      <c r="I13" s="41">
        <f t="shared" si="0"/>
        <v>60448.900000000009</v>
      </c>
    </row>
    <row r="14" spans="1:9" s="93" customFormat="1" ht="25.5" x14ac:dyDescent="0.2">
      <c r="A14" s="56" t="s">
        <v>31</v>
      </c>
      <c r="B14" s="57" t="s">
        <v>14</v>
      </c>
      <c r="C14" s="57" t="s">
        <v>32</v>
      </c>
      <c r="D14" s="57"/>
      <c r="E14" s="57"/>
      <c r="F14" s="58"/>
      <c r="G14" s="59">
        <f>SUM(G15,G18,G23)</f>
        <v>61844</v>
      </c>
      <c r="H14" s="59">
        <f t="shared" ref="H14:I14" si="1">SUM(H15,H18,H23)</f>
        <v>49249.500000000007</v>
      </c>
      <c r="I14" s="59">
        <f t="shared" si="1"/>
        <v>49249.500000000007</v>
      </c>
    </row>
    <row r="15" spans="1:9" s="93" customFormat="1" ht="25.5" x14ac:dyDescent="0.2">
      <c r="A15" s="60" t="s">
        <v>309</v>
      </c>
      <c r="B15" s="61" t="s">
        <v>14</v>
      </c>
      <c r="C15" s="61">
        <v>1</v>
      </c>
      <c r="D15" s="61" t="s">
        <v>82</v>
      </c>
      <c r="E15" s="61" t="s">
        <v>92</v>
      </c>
      <c r="F15" s="61"/>
      <c r="G15" s="62">
        <f>G17+G16</f>
        <v>1886.6</v>
      </c>
      <c r="H15" s="62">
        <f t="shared" ref="H15:I15" si="2">H17+H16</f>
        <v>1527</v>
      </c>
      <c r="I15" s="62">
        <f t="shared" si="2"/>
        <v>1527</v>
      </c>
    </row>
    <row r="16" spans="1:9" ht="51" x14ac:dyDescent="0.2">
      <c r="A16" s="63" t="s">
        <v>3</v>
      </c>
      <c r="B16" s="64" t="s">
        <v>14</v>
      </c>
      <c r="C16" s="64">
        <v>1</v>
      </c>
      <c r="D16" s="64" t="s">
        <v>82</v>
      </c>
      <c r="E16" s="64" t="s">
        <v>92</v>
      </c>
      <c r="F16" s="65" t="s">
        <v>4</v>
      </c>
      <c r="G16" s="66">
        <f>1132.8+50+342.1+2.1+25+25+184.6+35+40</f>
        <v>1836.6</v>
      </c>
      <c r="H16" s="66">
        <f>1132.8+50+342.1+2.1</f>
        <v>1527</v>
      </c>
      <c r="I16" s="66">
        <f>1132.8+50+342.1+2.1</f>
        <v>1527</v>
      </c>
    </row>
    <row r="17" spans="1:9" s="11" customFormat="1" ht="25.5" x14ac:dyDescent="0.2">
      <c r="A17" s="14" t="s">
        <v>87</v>
      </c>
      <c r="B17" s="15" t="s">
        <v>14</v>
      </c>
      <c r="C17" s="15">
        <v>1</v>
      </c>
      <c r="D17" s="15" t="s">
        <v>82</v>
      </c>
      <c r="E17" s="15" t="s">
        <v>92</v>
      </c>
      <c r="F17" s="16" t="s">
        <v>5</v>
      </c>
      <c r="G17" s="17">
        <f>75-25</f>
        <v>50</v>
      </c>
      <c r="H17" s="17">
        <v>0</v>
      </c>
      <c r="I17" s="17">
        <v>0</v>
      </c>
    </row>
    <row r="18" spans="1:9" s="93" customFormat="1" ht="25.5" x14ac:dyDescent="0.2">
      <c r="A18" s="60" t="s">
        <v>309</v>
      </c>
      <c r="B18" s="61" t="s">
        <v>14</v>
      </c>
      <c r="C18" s="61">
        <v>1</v>
      </c>
      <c r="D18" s="61" t="s">
        <v>82</v>
      </c>
      <c r="E18" s="61" t="s">
        <v>93</v>
      </c>
      <c r="F18" s="61"/>
      <c r="G18" s="62">
        <f>SUM(G19:G22)</f>
        <v>54581.8</v>
      </c>
      <c r="H18" s="62">
        <f t="shared" ref="H18:I18" si="3">SUM(H19:H22)</f>
        <v>44448.400000000009</v>
      </c>
      <c r="I18" s="62">
        <f t="shared" si="3"/>
        <v>44448.400000000009</v>
      </c>
    </row>
    <row r="19" spans="1:9" s="96" customFormat="1" ht="51" x14ac:dyDescent="0.2">
      <c r="A19" s="63" t="s">
        <v>3</v>
      </c>
      <c r="B19" s="64" t="s">
        <v>14</v>
      </c>
      <c r="C19" s="64">
        <v>1</v>
      </c>
      <c r="D19" s="64" t="s">
        <v>82</v>
      </c>
      <c r="E19" s="64" t="s">
        <v>93</v>
      </c>
      <c r="F19" s="65" t="s">
        <v>4</v>
      </c>
      <c r="G19" s="66">
        <f>24727.4+7467.7+70+321.6+30+4064.6+55-3+38.9</f>
        <v>36772.200000000004</v>
      </c>
      <c r="H19" s="66">
        <f>24727.4+7467.7+70+321.6</f>
        <v>32586.7</v>
      </c>
      <c r="I19" s="66">
        <f>24727.4+7467.7+70+321.6</f>
        <v>32586.7</v>
      </c>
    </row>
    <row r="20" spans="1:9" ht="25.5" x14ac:dyDescent="0.2">
      <c r="A20" s="63" t="s">
        <v>87</v>
      </c>
      <c r="B20" s="64" t="s">
        <v>14</v>
      </c>
      <c r="C20" s="64">
        <v>1</v>
      </c>
      <c r="D20" s="64" t="s">
        <v>82</v>
      </c>
      <c r="E20" s="64" t="s">
        <v>93</v>
      </c>
      <c r="F20" s="65" t="s">
        <v>5</v>
      </c>
      <c r="G20" s="66">
        <f>800+980.8+300+100+50+30+2191.3+50+20+4+300+2752+8000+3409.3+10+100+500-75+250-55.1-101.2-5600-25+1794.9+3+1616.8-2.2-234+158.5-50-419+520</f>
        <v>17379.100000000002</v>
      </c>
      <c r="H20" s="66">
        <f>800+980.8+300+100+50+30+2191.3+50+20+4+300+2752+3409.3+10+100+500</f>
        <v>11597.400000000001</v>
      </c>
      <c r="I20" s="66">
        <f>800+980.8+300+100+50+30+2191.3+50+20+4+300+2752+3409.3+10+100+500</f>
        <v>11597.400000000001</v>
      </c>
    </row>
    <row r="21" spans="1:9" s="93" customFormat="1" x14ac:dyDescent="0.2">
      <c r="A21" s="67" t="s">
        <v>6</v>
      </c>
      <c r="B21" s="64" t="s">
        <v>14</v>
      </c>
      <c r="C21" s="64">
        <v>1</v>
      </c>
      <c r="D21" s="64" t="s">
        <v>82</v>
      </c>
      <c r="E21" s="64" t="s">
        <v>93</v>
      </c>
      <c r="F21" s="64" t="s">
        <v>7</v>
      </c>
      <c r="G21" s="66">
        <v>2.2000000000000002</v>
      </c>
      <c r="H21" s="66">
        <v>0</v>
      </c>
      <c r="I21" s="66">
        <v>0</v>
      </c>
    </row>
    <row r="22" spans="1:9" s="93" customFormat="1" x14ac:dyDescent="0.2">
      <c r="A22" s="67" t="s">
        <v>9</v>
      </c>
      <c r="B22" s="64" t="s">
        <v>14</v>
      </c>
      <c r="C22" s="64">
        <v>1</v>
      </c>
      <c r="D22" s="64" t="s">
        <v>82</v>
      </c>
      <c r="E22" s="64" t="s">
        <v>93</v>
      </c>
      <c r="F22" s="64" t="s">
        <v>10</v>
      </c>
      <c r="G22" s="66">
        <f>10+154.3+50+50+5+140+19</f>
        <v>428.3</v>
      </c>
      <c r="H22" s="66">
        <f>10+154.3+50+50</f>
        <v>264.3</v>
      </c>
      <c r="I22" s="66">
        <f>10+154.3+50+50</f>
        <v>264.3</v>
      </c>
    </row>
    <row r="23" spans="1:9" s="94" customFormat="1" ht="25.5" x14ac:dyDescent="0.2">
      <c r="A23" s="60" t="s">
        <v>309</v>
      </c>
      <c r="B23" s="61" t="s">
        <v>14</v>
      </c>
      <c r="C23" s="61">
        <v>1</v>
      </c>
      <c r="D23" s="61" t="s">
        <v>82</v>
      </c>
      <c r="E23" s="61" t="s">
        <v>94</v>
      </c>
      <c r="F23" s="61"/>
      <c r="G23" s="62">
        <f>G24+G25</f>
        <v>5375.6</v>
      </c>
      <c r="H23" s="62">
        <f>H24+H25</f>
        <v>3274.1</v>
      </c>
      <c r="I23" s="62">
        <f>I24+I25</f>
        <v>3274.1</v>
      </c>
    </row>
    <row r="24" spans="1:9" s="23" customFormat="1" ht="51" x14ac:dyDescent="0.2">
      <c r="A24" s="14" t="s">
        <v>3</v>
      </c>
      <c r="B24" s="8" t="s">
        <v>14</v>
      </c>
      <c r="C24" s="8">
        <v>1</v>
      </c>
      <c r="D24" s="8" t="s">
        <v>82</v>
      </c>
      <c r="E24" s="8" t="s">
        <v>94</v>
      </c>
      <c r="F24" s="16" t="s">
        <v>4</v>
      </c>
      <c r="G24" s="17">
        <f>2378.7+718.4+29.8+1827.4</f>
        <v>4954.3</v>
      </c>
      <c r="H24" s="17">
        <f>2378.7+718.4+29.8</f>
        <v>3126.9</v>
      </c>
      <c r="I24" s="17">
        <f>2378.7+718.4+29.8</f>
        <v>3126.9</v>
      </c>
    </row>
    <row r="25" spans="1:9" s="93" customFormat="1" ht="25.5" x14ac:dyDescent="0.2">
      <c r="A25" s="63" t="s">
        <v>87</v>
      </c>
      <c r="B25" s="61" t="s">
        <v>14</v>
      </c>
      <c r="C25" s="61">
        <v>1</v>
      </c>
      <c r="D25" s="61" t="s">
        <v>82</v>
      </c>
      <c r="E25" s="61" t="s">
        <v>94</v>
      </c>
      <c r="F25" s="65" t="s">
        <v>5</v>
      </c>
      <c r="G25" s="66">
        <f>20+5+1+10+111.2+0.1+20+37+54+50+113</f>
        <v>421.29999999999995</v>
      </c>
      <c r="H25" s="66">
        <f>20+5+1+10+111.2</f>
        <v>147.19999999999999</v>
      </c>
      <c r="I25" s="66">
        <f>20+5+1+10+111.2</f>
        <v>147.19999999999999</v>
      </c>
    </row>
    <row r="26" spans="1:9" ht="25.5" x14ac:dyDescent="0.2">
      <c r="A26" s="68" t="s">
        <v>35</v>
      </c>
      <c r="B26" s="69" t="s">
        <v>14</v>
      </c>
      <c r="C26" s="69" t="s">
        <v>36</v>
      </c>
      <c r="D26" s="69"/>
      <c r="E26" s="69"/>
      <c r="F26" s="70"/>
      <c r="G26" s="71">
        <f>SUM(G27,G29)</f>
        <v>5351.1</v>
      </c>
      <c r="H26" s="71">
        <f>SUM(H27,H29)</f>
        <v>3714.8</v>
      </c>
      <c r="I26" s="71">
        <f>SUM(I27,I29)</f>
        <v>3714.8</v>
      </c>
    </row>
    <row r="27" spans="1:9" ht="25.5" x14ac:dyDescent="0.2">
      <c r="A27" s="72" t="s">
        <v>95</v>
      </c>
      <c r="B27" s="73" t="s">
        <v>14</v>
      </c>
      <c r="C27" s="73">
        <v>4</v>
      </c>
      <c r="D27" s="73" t="s">
        <v>82</v>
      </c>
      <c r="E27" s="73" t="s">
        <v>96</v>
      </c>
      <c r="F27" s="73"/>
      <c r="G27" s="74">
        <f>G28</f>
        <v>5231.1000000000004</v>
      </c>
      <c r="H27" s="74">
        <f>H28</f>
        <v>3594.8</v>
      </c>
      <c r="I27" s="74">
        <f>I28</f>
        <v>3594.8</v>
      </c>
    </row>
    <row r="28" spans="1:9" s="93" customFormat="1" ht="25.5" x14ac:dyDescent="0.2">
      <c r="A28" s="67" t="s">
        <v>138</v>
      </c>
      <c r="B28" s="64" t="s">
        <v>14</v>
      </c>
      <c r="C28" s="64">
        <v>4</v>
      </c>
      <c r="D28" s="64" t="s">
        <v>82</v>
      </c>
      <c r="E28" s="64" t="s">
        <v>96</v>
      </c>
      <c r="F28" s="64" t="s">
        <v>2</v>
      </c>
      <c r="G28" s="66">
        <f>3565.9+28.9+1162.1+140.8+245.1-8.3+96.6</f>
        <v>5231.1000000000004</v>
      </c>
      <c r="H28" s="66">
        <f>3565.9+28.9</f>
        <v>3594.8</v>
      </c>
      <c r="I28" s="66">
        <f>3565.9+28.9</f>
        <v>3594.8</v>
      </c>
    </row>
    <row r="29" spans="1:9" s="11" customFormat="1" ht="24.75" customHeight="1" x14ac:dyDescent="0.2">
      <c r="A29" s="10" t="s">
        <v>97</v>
      </c>
      <c r="B29" s="8" t="s">
        <v>14</v>
      </c>
      <c r="C29" s="8">
        <v>4</v>
      </c>
      <c r="D29" s="8" t="s">
        <v>82</v>
      </c>
      <c r="E29" s="8" t="s">
        <v>139</v>
      </c>
      <c r="F29" s="8"/>
      <c r="G29" s="9">
        <f>G30</f>
        <v>120</v>
      </c>
      <c r="H29" s="9">
        <f>H30</f>
        <v>120</v>
      </c>
      <c r="I29" s="9">
        <f>I30</f>
        <v>120</v>
      </c>
    </row>
    <row r="30" spans="1:9" s="18" customFormat="1" ht="25.5" x14ac:dyDescent="0.2">
      <c r="A30" s="19" t="s">
        <v>138</v>
      </c>
      <c r="B30" s="15" t="s">
        <v>14</v>
      </c>
      <c r="C30" s="15">
        <v>4</v>
      </c>
      <c r="D30" s="15" t="s">
        <v>82</v>
      </c>
      <c r="E30" s="15">
        <v>79050</v>
      </c>
      <c r="F30" s="15" t="s">
        <v>2</v>
      </c>
      <c r="G30" s="17">
        <v>120</v>
      </c>
      <c r="H30" s="17">
        <v>120</v>
      </c>
      <c r="I30" s="17">
        <v>120</v>
      </c>
    </row>
    <row r="31" spans="1:9" s="93" customFormat="1" ht="25.5" x14ac:dyDescent="0.2">
      <c r="A31" s="75" t="s">
        <v>37</v>
      </c>
      <c r="B31" s="76" t="s">
        <v>14</v>
      </c>
      <c r="C31" s="69" t="s">
        <v>38</v>
      </c>
      <c r="D31" s="69"/>
      <c r="E31" s="69"/>
      <c r="F31" s="69"/>
      <c r="G31" s="71">
        <f>SUM(G32,G34,G37,G39,G41,G44,G47)</f>
        <v>13242</v>
      </c>
      <c r="H31" s="71">
        <f t="shared" ref="H31:I31" si="4">SUM(H32,H34,H37,H39,H41,H44,H47)</f>
        <v>7484.6</v>
      </c>
      <c r="I31" s="71">
        <f t="shared" si="4"/>
        <v>7484.6</v>
      </c>
    </row>
    <row r="32" spans="1:9" s="93" customFormat="1" x14ac:dyDescent="0.2">
      <c r="A32" s="60" t="s">
        <v>128</v>
      </c>
      <c r="B32" s="61" t="s">
        <v>14</v>
      </c>
      <c r="C32" s="61">
        <v>5</v>
      </c>
      <c r="D32" s="61" t="s">
        <v>82</v>
      </c>
      <c r="E32" s="61" t="s">
        <v>98</v>
      </c>
      <c r="F32" s="61"/>
      <c r="G32" s="62">
        <f>G33</f>
        <v>4395.5999999999995</v>
      </c>
      <c r="H32" s="62">
        <f>H33</f>
        <v>1204.0999999999999</v>
      </c>
      <c r="I32" s="62">
        <f>I33</f>
        <v>1204.0999999999999</v>
      </c>
    </row>
    <row r="33" spans="1:9" s="13" customFormat="1" ht="15.75" x14ac:dyDescent="0.25">
      <c r="A33" s="19" t="s">
        <v>9</v>
      </c>
      <c r="B33" s="15" t="s">
        <v>14</v>
      </c>
      <c r="C33" s="15">
        <v>5</v>
      </c>
      <c r="D33" s="15" t="s">
        <v>82</v>
      </c>
      <c r="E33" s="15" t="s">
        <v>98</v>
      </c>
      <c r="F33" s="15" t="s">
        <v>10</v>
      </c>
      <c r="G33" s="17">
        <f>1024.8+179.3-99.3+3000+846.4-555.6</f>
        <v>4395.5999999999995</v>
      </c>
      <c r="H33" s="17">
        <f>1024.8+179.3</f>
        <v>1204.0999999999999</v>
      </c>
      <c r="I33" s="17">
        <f>1024.8+179.3</f>
        <v>1204.0999999999999</v>
      </c>
    </row>
    <row r="34" spans="1:9" s="4" customFormat="1" x14ac:dyDescent="0.2">
      <c r="A34" s="10" t="s">
        <v>99</v>
      </c>
      <c r="B34" s="8" t="s">
        <v>14</v>
      </c>
      <c r="C34" s="8">
        <v>5</v>
      </c>
      <c r="D34" s="8" t="s">
        <v>82</v>
      </c>
      <c r="E34" s="8" t="s">
        <v>100</v>
      </c>
      <c r="F34" s="8"/>
      <c r="G34" s="9">
        <f>G36+G35</f>
        <v>114.89999999999999</v>
      </c>
      <c r="H34" s="9">
        <f>H36+H35</f>
        <v>114.89999999999999</v>
      </c>
      <c r="I34" s="9">
        <f>I36+I35</f>
        <v>114.89999999999999</v>
      </c>
    </row>
    <row r="35" spans="1:9" s="11" customFormat="1" ht="25.5" x14ac:dyDescent="0.2">
      <c r="A35" s="14" t="s">
        <v>87</v>
      </c>
      <c r="B35" s="15" t="s">
        <v>14</v>
      </c>
      <c r="C35" s="15">
        <v>5</v>
      </c>
      <c r="D35" s="15" t="s">
        <v>82</v>
      </c>
      <c r="E35" s="15" t="s">
        <v>100</v>
      </c>
      <c r="F35" s="16" t="s">
        <v>5</v>
      </c>
      <c r="G35" s="17">
        <v>0.6</v>
      </c>
      <c r="H35" s="17">
        <v>0.6</v>
      </c>
      <c r="I35" s="17">
        <v>0.6</v>
      </c>
    </row>
    <row r="36" spans="1:9" s="18" customFormat="1" x14ac:dyDescent="0.2">
      <c r="A36" s="19" t="s">
        <v>6</v>
      </c>
      <c r="B36" s="15" t="s">
        <v>14</v>
      </c>
      <c r="C36" s="15">
        <v>5</v>
      </c>
      <c r="D36" s="15" t="s">
        <v>82</v>
      </c>
      <c r="E36" s="15" t="s">
        <v>100</v>
      </c>
      <c r="F36" s="15" t="s">
        <v>7</v>
      </c>
      <c r="G36" s="17">
        <v>114.3</v>
      </c>
      <c r="H36" s="17">
        <v>114.3</v>
      </c>
      <c r="I36" s="17">
        <v>114.3</v>
      </c>
    </row>
    <row r="37" spans="1:9" s="95" customFormat="1" ht="15" x14ac:dyDescent="0.2">
      <c r="A37" s="60" t="s">
        <v>101</v>
      </c>
      <c r="B37" s="61" t="s">
        <v>14</v>
      </c>
      <c r="C37" s="61">
        <v>5</v>
      </c>
      <c r="D37" s="61" t="s">
        <v>82</v>
      </c>
      <c r="E37" s="61" t="s">
        <v>102</v>
      </c>
      <c r="F37" s="61"/>
      <c r="G37" s="62">
        <f>G38</f>
        <v>5684.4000000000005</v>
      </c>
      <c r="H37" s="62">
        <f>H38</f>
        <v>3166.1</v>
      </c>
      <c r="I37" s="62">
        <f>I38</f>
        <v>3166.1</v>
      </c>
    </row>
    <row r="38" spans="1:9" s="96" customFormat="1" x14ac:dyDescent="0.2">
      <c r="A38" s="67" t="s">
        <v>6</v>
      </c>
      <c r="B38" s="64" t="s">
        <v>14</v>
      </c>
      <c r="C38" s="64">
        <v>5</v>
      </c>
      <c r="D38" s="64" t="s">
        <v>82</v>
      </c>
      <c r="E38" s="64" t="s">
        <v>102</v>
      </c>
      <c r="F38" s="64" t="s">
        <v>7</v>
      </c>
      <c r="G38" s="66">
        <f>3166.1+1451.2+50+186.5+180.6+400+250</f>
        <v>5684.4000000000005</v>
      </c>
      <c r="H38" s="66">
        <v>3166.1</v>
      </c>
      <c r="I38" s="66">
        <v>3166.1</v>
      </c>
    </row>
    <row r="39" spans="1:9" s="11" customFormat="1" x14ac:dyDescent="0.2">
      <c r="A39" s="10" t="s">
        <v>103</v>
      </c>
      <c r="B39" s="8" t="s">
        <v>14</v>
      </c>
      <c r="C39" s="8">
        <v>5</v>
      </c>
      <c r="D39" s="8" t="s">
        <v>82</v>
      </c>
      <c r="E39" s="8" t="s">
        <v>104</v>
      </c>
      <c r="F39" s="8"/>
      <c r="G39" s="9">
        <f>G40</f>
        <v>1579.6</v>
      </c>
      <c r="H39" s="9">
        <f>H40</f>
        <v>1709.5</v>
      </c>
      <c r="I39" s="9">
        <f>I40</f>
        <v>1709.5</v>
      </c>
    </row>
    <row r="40" spans="1:9" s="11" customFormat="1" x14ac:dyDescent="0.2">
      <c r="A40" s="19" t="s">
        <v>9</v>
      </c>
      <c r="B40" s="15" t="s">
        <v>14</v>
      </c>
      <c r="C40" s="15">
        <v>5</v>
      </c>
      <c r="D40" s="15" t="s">
        <v>82</v>
      </c>
      <c r="E40" s="15" t="s">
        <v>104</v>
      </c>
      <c r="F40" s="15" t="s">
        <v>10</v>
      </c>
      <c r="G40" s="17">
        <f>1838.9-129.4-129.9</f>
        <v>1579.6</v>
      </c>
      <c r="H40" s="17">
        <f>1838.9-129.4</f>
        <v>1709.5</v>
      </c>
      <c r="I40" s="17">
        <f>1838.9-129.4</f>
        <v>1709.5</v>
      </c>
    </row>
    <row r="41" spans="1:9" s="18" customFormat="1" ht="25.5" x14ac:dyDescent="0.2">
      <c r="A41" s="10" t="s">
        <v>106</v>
      </c>
      <c r="B41" s="8" t="s">
        <v>14</v>
      </c>
      <c r="C41" s="8">
        <v>5</v>
      </c>
      <c r="D41" s="8" t="s">
        <v>82</v>
      </c>
      <c r="E41" s="8" t="s">
        <v>105</v>
      </c>
      <c r="F41" s="8"/>
      <c r="G41" s="9">
        <f>G42+G43</f>
        <v>386.9</v>
      </c>
      <c r="H41" s="9">
        <f>H42+H43</f>
        <v>347</v>
      </c>
      <c r="I41" s="9">
        <f>I42+I43</f>
        <v>347</v>
      </c>
    </row>
    <row r="42" spans="1:9" s="4" customFormat="1" ht="51" x14ac:dyDescent="0.2">
      <c r="A42" s="14" t="s">
        <v>3</v>
      </c>
      <c r="B42" s="15" t="s">
        <v>14</v>
      </c>
      <c r="C42" s="15">
        <v>5</v>
      </c>
      <c r="D42" s="15" t="s">
        <v>82</v>
      </c>
      <c r="E42" s="15">
        <v>71960</v>
      </c>
      <c r="F42" s="16" t="s">
        <v>4</v>
      </c>
      <c r="G42" s="17">
        <f>242.6+73.3+3+39.9</f>
        <v>358.79999999999995</v>
      </c>
      <c r="H42" s="17">
        <f>242.6+73.3+3</f>
        <v>318.89999999999998</v>
      </c>
      <c r="I42" s="17">
        <f>242.6+73.3+3</f>
        <v>318.89999999999998</v>
      </c>
    </row>
    <row r="43" spans="1:9" s="11" customFormat="1" ht="25.5" x14ac:dyDescent="0.2">
      <c r="A43" s="14" t="s">
        <v>87</v>
      </c>
      <c r="B43" s="15" t="s">
        <v>14</v>
      </c>
      <c r="C43" s="15">
        <v>5</v>
      </c>
      <c r="D43" s="15" t="s">
        <v>82</v>
      </c>
      <c r="E43" s="15">
        <v>71960</v>
      </c>
      <c r="F43" s="16" t="s">
        <v>5</v>
      </c>
      <c r="G43" s="17">
        <f>13+15.1</f>
        <v>28.1</v>
      </c>
      <c r="H43" s="17">
        <f>13+15.1</f>
        <v>28.1</v>
      </c>
      <c r="I43" s="17">
        <f>13+15.1</f>
        <v>28.1</v>
      </c>
    </row>
    <row r="44" spans="1:9" x14ac:dyDescent="0.2">
      <c r="A44" s="60" t="s">
        <v>107</v>
      </c>
      <c r="B44" s="61" t="s">
        <v>14</v>
      </c>
      <c r="C44" s="61">
        <v>5</v>
      </c>
      <c r="D44" s="61" t="s">
        <v>82</v>
      </c>
      <c r="E44" s="61">
        <v>79060</v>
      </c>
      <c r="F44" s="61"/>
      <c r="G44" s="62">
        <f>G45+G46</f>
        <v>115</v>
      </c>
      <c r="H44" s="62">
        <f t="shared" ref="H44:I44" si="5">H45+H46</f>
        <v>115</v>
      </c>
      <c r="I44" s="62">
        <f t="shared" si="5"/>
        <v>115</v>
      </c>
    </row>
    <row r="45" spans="1:9" s="93" customFormat="1" ht="51" x14ac:dyDescent="0.2">
      <c r="A45" s="63" t="s">
        <v>3</v>
      </c>
      <c r="B45" s="64" t="s">
        <v>14</v>
      </c>
      <c r="C45" s="64">
        <v>5</v>
      </c>
      <c r="D45" s="64" t="s">
        <v>82</v>
      </c>
      <c r="E45" s="64">
        <v>79060</v>
      </c>
      <c r="F45" s="65" t="s">
        <v>4</v>
      </c>
      <c r="G45" s="66">
        <f>82.7+25+5.33964</f>
        <v>113.03964000000001</v>
      </c>
      <c r="H45" s="66">
        <f>82.7+25</f>
        <v>107.7</v>
      </c>
      <c r="I45" s="66">
        <f>82.7+25</f>
        <v>107.7</v>
      </c>
    </row>
    <row r="46" spans="1:9" ht="25.5" x14ac:dyDescent="0.2">
      <c r="A46" s="63" t="s">
        <v>87</v>
      </c>
      <c r="B46" s="64" t="s">
        <v>14</v>
      </c>
      <c r="C46" s="64">
        <v>5</v>
      </c>
      <c r="D46" s="64" t="s">
        <v>82</v>
      </c>
      <c r="E46" s="64">
        <v>79060</v>
      </c>
      <c r="F46" s="65" t="s">
        <v>5</v>
      </c>
      <c r="G46" s="66">
        <f>7.3-5.33964</f>
        <v>1.9603599999999997</v>
      </c>
      <c r="H46" s="66">
        <v>7.3</v>
      </c>
      <c r="I46" s="66">
        <v>7.3</v>
      </c>
    </row>
    <row r="47" spans="1:9" ht="25.5" x14ac:dyDescent="0.2">
      <c r="A47" s="77" t="s">
        <v>108</v>
      </c>
      <c r="B47" s="61" t="s">
        <v>14</v>
      </c>
      <c r="C47" s="61">
        <v>5</v>
      </c>
      <c r="D47" s="61" t="s">
        <v>82</v>
      </c>
      <c r="E47" s="61" t="s">
        <v>109</v>
      </c>
      <c r="F47" s="61"/>
      <c r="G47" s="62">
        <f>G48</f>
        <v>965.6</v>
      </c>
      <c r="H47" s="62">
        <f>H48</f>
        <v>828</v>
      </c>
      <c r="I47" s="62">
        <f>I48</f>
        <v>828</v>
      </c>
    </row>
    <row r="48" spans="1:9" s="96" customFormat="1" x14ac:dyDescent="0.2">
      <c r="A48" s="67" t="s">
        <v>6</v>
      </c>
      <c r="B48" s="64" t="s">
        <v>14</v>
      </c>
      <c r="C48" s="64">
        <v>5</v>
      </c>
      <c r="D48" s="64" t="s">
        <v>82</v>
      </c>
      <c r="E48" s="61" t="s">
        <v>109</v>
      </c>
      <c r="F48" s="64" t="s">
        <v>7</v>
      </c>
      <c r="G48" s="66">
        <f>828+137.6</f>
        <v>965.6</v>
      </c>
      <c r="H48" s="66">
        <v>828</v>
      </c>
      <c r="I48" s="66">
        <v>828</v>
      </c>
    </row>
    <row r="49" spans="1:11" s="18" customFormat="1" ht="38.25" x14ac:dyDescent="0.2">
      <c r="A49" s="34" t="s">
        <v>39</v>
      </c>
      <c r="B49" s="35" t="s">
        <v>15</v>
      </c>
      <c r="C49" s="35"/>
      <c r="D49" s="35"/>
      <c r="E49" s="35"/>
      <c r="F49" s="35"/>
      <c r="G49" s="36">
        <f>SUM(G50,G52,G54,G56,G58,G60,G63,G65,G68)</f>
        <v>15849.5</v>
      </c>
      <c r="H49" s="36">
        <f t="shared" ref="H49:I49" si="6">SUM(H50,H52,H54,H56,H58,H60,H63,H65,H68)</f>
        <v>13918.5</v>
      </c>
      <c r="I49" s="36">
        <f t="shared" si="6"/>
        <v>13918.5</v>
      </c>
    </row>
    <row r="50" spans="1:11" s="11" customFormat="1" x14ac:dyDescent="0.2">
      <c r="A50" s="10" t="s">
        <v>111</v>
      </c>
      <c r="B50" s="8" t="s">
        <v>15</v>
      </c>
      <c r="C50" s="8">
        <v>0</v>
      </c>
      <c r="D50" s="8" t="s">
        <v>82</v>
      </c>
      <c r="E50" s="8" t="s">
        <v>110</v>
      </c>
      <c r="F50" s="8"/>
      <c r="G50" s="9">
        <f>G51</f>
        <v>1000</v>
      </c>
      <c r="H50" s="9">
        <f>H51</f>
        <v>1000</v>
      </c>
      <c r="I50" s="9">
        <f>I51</f>
        <v>1000</v>
      </c>
    </row>
    <row r="51" spans="1:11" s="18" customFormat="1" ht="25.5" x14ac:dyDescent="0.2">
      <c r="A51" s="14" t="s">
        <v>87</v>
      </c>
      <c r="B51" s="15" t="s">
        <v>15</v>
      </c>
      <c r="C51" s="15">
        <v>0</v>
      </c>
      <c r="D51" s="15" t="s">
        <v>82</v>
      </c>
      <c r="E51" s="15" t="s">
        <v>110</v>
      </c>
      <c r="F51" s="16" t="s">
        <v>5</v>
      </c>
      <c r="G51" s="17">
        <v>1000</v>
      </c>
      <c r="H51" s="17">
        <v>1000</v>
      </c>
      <c r="I51" s="17">
        <v>1000</v>
      </c>
    </row>
    <row r="52" spans="1:11" s="18" customFormat="1" ht="38.25" x14ac:dyDescent="0.2">
      <c r="A52" s="10" t="s">
        <v>112</v>
      </c>
      <c r="B52" s="8" t="s">
        <v>15</v>
      </c>
      <c r="C52" s="8">
        <v>0</v>
      </c>
      <c r="D52" s="8" t="s">
        <v>82</v>
      </c>
      <c r="E52" s="8" t="s">
        <v>113</v>
      </c>
      <c r="F52" s="8"/>
      <c r="G52" s="9">
        <f>G53</f>
        <v>700</v>
      </c>
      <c r="H52" s="9">
        <f>H53</f>
        <v>700</v>
      </c>
      <c r="I52" s="9">
        <f>I53</f>
        <v>700</v>
      </c>
    </row>
    <row r="53" spans="1:11" s="11" customFormat="1" ht="25.5" x14ac:dyDescent="0.2">
      <c r="A53" s="14" t="s">
        <v>87</v>
      </c>
      <c r="B53" s="15" t="s">
        <v>15</v>
      </c>
      <c r="C53" s="15">
        <v>0</v>
      </c>
      <c r="D53" s="15" t="s">
        <v>82</v>
      </c>
      <c r="E53" s="15" t="s">
        <v>113</v>
      </c>
      <c r="F53" s="16" t="s">
        <v>5</v>
      </c>
      <c r="G53" s="17">
        <v>700</v>
      </c>
      <c r="H53" s="17">
        <v>700</v>
      </c>
      <c r="I53" s="17">
        <v>700</v>
      </c>
    </row>
    <row r="54" spans="1:11" s="93" customFormat="1" ht="25.5" x14ac:dyDescent="0.2">
      <c r="A54" s="60" t="s">
        <v>115</v>
      </c>
      <c r="B54" s="73" t="s">
        <v>15</v>
      </c>
      <c r="C54" s="73">
        <v>0</v>
      </c>
      <c r="D54" s="73" t="s">
        <v>82</v>
      </c>
      <c r="E54" s="73" t="s">
        <v>114</v>
      </c>
      <c r="F54" s="73"/>
      <c r="G54" s="74">
        <f>G55</f>
        <v>300</v>
      </c>
      <c r="H54" s="74">
        <f>H55</f>
        <v>200</v>
      </c>
      <c r="I54" s="74">
        <f>I55</f>
        <v>200</v>
      </c>
    </row>
    <row r="55" spans="1:11" s="93" customFormat="1" ht="25.5" x14ac:dyDescent="0.2">
      <c r="A55" s="63" t="s">
        <v>87</v>
      </c>
      <c r="B55" s="64" t="s">
        <v>15</v>
      </c>
      <c r="C55" s="64">
        <v>0</v>
      </c>
      <c r="D55" s="64" t="s">
        <v>82</v>
      </c>
      <c r="E55" s="64" t="s">
        <v>114</v>
      </c>
      <c r="F55" s="65" t="s">
        <v>5</v>
      </c>
      <c r="G55" s="66">
        <f>200+100</f>
        <v>300</v>
      </c>
      <c r="H55" s="66">
        <v>200</v>
      </c>
      <c r="I55" s="66">
        <v>200</v>
      </c>
    </row>
    <row r="56" spans="1:11" s="18" customFormat="1" x14ac:dyDescent="0.2">
      <c r="A56" s="10" t="s">
        <v>117</v>
      </c>
      <c r="B56" s="1" t="s">
        <v>15</v>
      </c>
      <c r="C56" s="1">
        <v>0</v>
      </c>
      <c r="D56" s="1" t="s">
        <v>82</v>
      </c>
      <c r="E56" s="1" t="s">
        <v>118</v>
      </c>
      <c r="F56" s="1"/>
      <c r="G56" s="2">
        <f>G57</f>
        <v>1000</v>
      </c>
      <c r="H56" s="2">
        <f>H57</f>
        <v>1000</v>
      </c>
      <c r="I56" s="2">
        <f>I57</f>
        <v>1000</v>
      </c>
      <c r="J56" s="11"/>
      <c r="K56" s="11"/>
    </row>
    <row r="57" spans="1:11" s="11" customFormat="1" ht="25.5" x14ac:dyDescent="0.2">
      <c r="A57" s="14" t="s">
        <v>87</v>
      </c>
      <c r="B57" s="15" t="s">
        <v>15</v>
      </c>
      <c r="C57" s="15">
        <v>0</v>
      </c>
      <c r="D57" s="15" t="s">
        <v>82</v>
      </c>
      <c r="E57" s="15" t="s">
        <v>118</v>
      </c>
      <c r="F57" s="16" t="s">
        <v>5</v>
      </c>
      <c r="G57" s="17">
        <v>1000</v>
      </c>
      <c r="H57" s="17">
        <v>1000</v>
      </c>
      <c r="I57" s="17">
        <v>1000</v>
      </c>
    </row>
    <row r="58" spans="1:11" s="18" customFormat="1" ht="25.5" x14ac:dyDescent="0.2">
      <c r="A58" s="10" t="s">
        <v>120</v>
      </c>
      <c r="B58" s="8" t="s">
        <v>15</v>
      </c>
      <c r="C58" s="8" t="s">
        <v>77</v>
      </c>
      <c r="D58" s="8" t="s">
        <v>82</v>
      </c>
      <c r="E58" s="8" t="s">
        <v>119</v>
      </c>
      <c r="F58" s="8"/>
      <c r="G58" s="9">
        <f>G59</f>
        <v>200</v>
      </c>
      <c r="H58" s="9">
        <f>H59</f>
        <v>200</v>
      </c>
      <c r="I58" s="9">
        <f>I59</f>
        <v>200</v>
      </c>
    </row>
    <row r="59" spans="1:11" s="18" customFormat="1" ht="25.5" x14ac:dyDescent="0.2">
      <c r="A59" s="14" t="s">
        <v>87</v>
      </c>
      <c r="B59" s="15" t="s">
        <v>15</v>
      </c>
      <c r="C59" s="15">
        <v>0</v>
      </c>
      <c r="D59" s="15" t="s">
        <v>82</v>
      </c>
      <c r="E59" s="15" t="s">
        <v>119</v>
      </c>
      <c r="F59" s="16" t="s">
        <v>5</v>
      </c>
      <c r="G59" s="17">
        <v>200</v>
      </c>
      <c r="H59" s="17">
        <v>200</v>
      </c>
      <c r="I59" s="17">
        <v>200</v>
      </c>
      <c r="J59" s="11"/>
      <c r="K59" s="11"/>
    </row>
    <row r="60" spans="1:11" x14ac:dyDescent="0.2">
      <c r="A60" s="60" t="s">
        <v>129</v>
      </c>
      <c r="B60" s="73" t="s">
        <v>15</v>
      </c>
      <c r="C60" s="73">
        <v>0</v>
      </c>
      <c r="D60" s="73" t="s">
        <v>82</v>
      </c>
      <c r="E60" s="73" t="s">
        <v>121</v>
      </c>
      <c r="F60" s="73"/>
      <c r="G60" s="74">
        <f>G62+G61</f>
        <v>2175</v>
      </c>
      <c r="H60" s="74">
        <f t="shared" ref="H60:I60" si="7">H62+H61</f>
        <v>1400</v>
      </c>
      <c r="I60" s="74">
        <f t="shared" si="7"/>
        <v>1400</v>
      </c>
    </row>
    <row r="61" spans="1:11" s="93" customFormat="1" ht="25.5" x14ac:dyDescent="0.2">
      <c r="A61" s="63" t="s">
        <v>87</v>
      </c>
      <c r="B61" s="64" t="s">
        <v>15</v>
      </c>
      <c r="C61" s="64">
        <v>0</v>
      </c>
      <c r="D61" s="64" t="s">
        <v>82</v>
      </c>
      <c r="E61" s="64" t="s">
        <v>121</v>
      </c>
      <c r="F61" s="65" t="s">
        <v>5</v>
      </c>
      <c r="G61" s="66">
        <f>800-200</f>
        <v>600</v>
      </c>
      <c r="H61" s="66">
        <v>800</v>
      </c>
      <c r="I61" s="66">
        <v>800</v>
      </c>
      <c r="J61" s="84"/>
      <c r="K61" s="84"/>
    </row>
    <row r="62" spans="1:11" s="18" customFormat="1" x14ac:dyDescent="0.2">
      <c r="A62" s="19" t="s">
        <v>9</v>
      </c>
      <c r="B62" s="15" t="s">
        <v>15</v>
      </c>
      <c r="C62" s="15">
        <v>0</v>
      </c>
      <c r="D62" s="15" t="s">
        <v>82</v>
      </c>
      <c r="E62" s="15" t="s">
        <v>121</v>
      </c>
      <c r="F62" s="16" t="s">
        <v>10</v>
      </c>
      <c r="G62" s="17">
        <f>600+975</f>
        <v>1575</v>
      </c>
      <c r="H62" s="17">
        <v>600</v>
      </c>
      <c r="I62" s="17">
        <v>600</v>
      </c>
      <c r="J62" s="11"/>
      <c r="K62" s="11"/>
    </row>
    <row r="63" spans="1:11" s="96" customFormat="1" x14ac:dyDescent="0.2">
      <c r="A63" s="60" t="s">
        <v>130</v>
      </c>
      <c r="B63" s="73" t="s">
        <v>15</v>
      </c>
      <c r="C63" s="73">
        <v>0</v>
      </c>
      <c r="D63" s="73" t="s">
        <v>82</v>
      </c>
      <c r="E63" s="73" t="s">
        <v>122</v>
      </c>
      <c r="F63" s="73"/>
      <c r="G63" s="74">
        <f>G64</f>
        <v>900</v>
      </c>
      <c r="H63" s="74">
        <f>H64</f>
        <v>600</v>
      </c>
      <c r="I63" s="74">
        <f>I64</f>
        <v>600</v>
      </c>
    </row>
    <row r="64" spans="1:11" s="97" customFormat="1" ht="25.5" x14ac:dyDescent="0.2">
      <c r="A64" s="63" t="s">
        <v>87</v>
      </c>
      <c r="B64" s="64" t="s">
        <v>15</v>
      </c>
      <c r="C64" s="64">
        <v>0</v>
      </c>
      <c r="D64" s="64" t="s">
        <v>82</v>
      </c>
      <c r="E64" s="64" t="s">
        <v>122</v>
      </c>
      <c r="F64" s="65" t="s">
        <v>5</v>
      </c>
      <c r="G64" s="66">
        <f>600+300</f>
        <v>900</v>
      </c>
      <c r="H64" s="66">
        <v>600</v>
      </c>
      <c r="I64" s="66">
        <v>600</v>
      </c>
    </row>
    <row r="65" spans="1:9" s="97" customFormat="1" x14ac:dyDescent="0.2">
      <c r="A65" s="60" t="s">
        <v>124</v>
      </c>
      <c r="B65" s="73" t="s">
        <v>15</v>
      </c>
      <c r="C65" s="73">
        <v>0</v>
      </c>
      <c r="D65" s="73" t="s">
        <v>82</v>
      </c>
      <c r="E65" s="73" t="s">
        <v>123</v>
      </c>
      <c r="F65" s="73"/>
      <c r="G65" s="74">
        <f>G66+G67</f>
        <v>306.20000000000005</v>
      </c>
      <c r="H65" s="74">
        <f>H66+H67</f>
        <v>1039.7</v>
      </c>
      <c r="I65" s="74">
        <f>I66+I67</f>
        <v>1039.7</v>
      </c>
    </row>
    <row r="66" spans="1:9" s="3" customFormat="1" ht="25.5" x14ac:dyDescent="0.2">
      <c r="A66" s="14" t="s">
        <v>87</v>
      </c>
      <c r="B66" s="15" t="s">
        <v>15</v>
      </c>
      <c r="C66" s="15">
        <v>0</v>
      </c>
      <c r="D66" s="15" t="s">
        <v>82</v>
      </c>
      <c r="E66" s="15" t="s">
        <v>123</v>
      </c>
      <c r="F66" s="16" t="s">
        <v>5</v>
      </c>
      <c r="G66" s="17">
        <v>100</v>
      </c>
      <c r="H66" s="17">
        <v>100</v>
      </c>
      <c r="I66" s="17">
        <v>100</v>
      </c>
    </row>
    <row r="67" spans="1:9" s="97" customFormat="1" x14ac:dyDescent="0.2">
      <c r="A67" s="67" t="s">
        <v>9</v>
      </c>
      <c r="B67" s="64" t="s">
        <v>15</v>
      </c>
      <c r="C67" s="64">
        <v>0</v>
      </c>
      <c r="D67" s="64" t="s">
        <v>82</v>
      </c>
      <c r="E67" s="64" t="s">
        <v>123</v>
      </c>
      <c r="F67" s="64" t="s">
        <v>10</v>
      </c>
      <c r="G67" s="66">
        <f>939.7+16.5-100-650</f>
        <v>206.20000000000005</v>
      </c>
      <c r="H67" s="66">
        <v>939.7</v>
      </c>
      <c r="I67" s="66">
        <v>939.7</v>
      </c>
    </row>
    <row r="68" spans="1:9" s="97" customFormat="1" ht="25.5" x14ac:dyDescent="0.2">
      <c r="A68" s="60" t="s">
        <v>126</v>
      </c>
      <c r="B68" s="73" t="s">
        <v>15</v>
      </c>
      <c r="C68" s="73">
        <v>0</v>
      </c>
      <c r="D68" s="73" t="s">
        <v>82</v>
      </c>
      <c r="E68" s="73" t="s">
        <v>125</v>
      </c>
      <c r="F68" s="61"/>
      <c r="G68" s="62">
        <f>G69+G71+G70</f>
        <v>9268.3000000000011</v>
      </c>
      <c r="H68" s="62">
        <f t="shared" ref="H68:I68" si="8">H69+H71+H70</f>
        <v>7778.8000000000011</v>
      </c>
      <c r="I68" s="62">
        <f t="shared" si="8"/>
        <v>7778.8000000000011</v>
      </c>
    </row>
    <row r="69" spans="1:9" s="3" customFormat="1" ht="51" x14ac:dyDescent="0.2">
      <c r="A69" s="14" t="s">
        <v>3</v>
      </c>
      <c r="B69" s="15" t="s">
        <v>15</v>
      </c>
      <c r="C69" s="15">
        <v>0</v>
      </c>
      <c r="D69" s="15" t="s">
        <v>82</v>
      </c>
      <c r="E69" s="15" t="s">
        <v>125</v>
      </c>
      <c r="F69" s="16" t="s">
        <v>4</v>
      </c>
      <c r="G69" s="17">
        <f>5397.6+1630.1+67.6+886.9</f>
        <v>7982.2000000000007</v>
      </c>
      <c r="H69" s="17">
        <f>5397.6+1630.1+67.6</f>
        <v>7095.3000000000011</v>
      </c>
      <c r="I69" s="17">
        <f>5397.6+1630.1+67.6</f>
        <v>7095.3000000000011</v>
      </c>
    </row>
    <row r="70" spans="1:9" s="96" customFormat="1" ht="24.75" customHeight="1" x14ac:dyDescent="0.2">
      <c r="A70" s="63" t="s">
        <v>87</v>
      </c>
      <c r="B70" s="64" t="s">
        <v>15</v>
      </c>
      <c r="C70" s="64">
        <v>0</v>
      </c>
      <c r="D70" s="64" t="s">
        <v>82</v>
      </c>
      <c r="E70" s="64" t="s">
        <v>125</v>
      </c>
      <c r="F70" s="65" t="s">
        <v>5</v>
      </c>
      <c r="G70" s="66">
        <f>683.5+52.6-5+200+350</f>
        <v>1281.0999999999999</v>
      </c>
      <c r="H70" s="66">
        <v>683.5</v>
      </c>
      <c r="I70" s="66">
        <v>683.5</v>
      </c>
    </row>
    <row r="71" spans="1:9" s="4" customFormat="1" ht="24.75" customHeight="1" x14ac:dyDescent="0.2">
      <c r="A71" s="14" t="s">
        <v>9</v>
      </c>
      <c r="B71" s="15" t="s">
        <v>15</v>
      </c>
      <c r="C71" s="15">
        <v>0</v>
      </c>
      <c r="D71" s="15" t="s">
        <v>82</v>
      </c>
      <c r="E71" s="15" t="s">
        <v>125</v>
      </c>
      <c r="F71" s="16" t="s">
        <v>10</v>
      </c>
      <c r="G71" s="17">
        <v>5</v>
      </c>
      <c r="H71" s="17">
        <v>0</v>
      </c>
      <c r="I71" s="17">
        <v>0</v>
      </c>
    </row>
    <row r="72" spans="1:9" s="18" customFormat="1" ht="38.25" x14ac:dyDescent="0.2">
      <c r="A72" s="34" t="s">
        <v>40</v>
      </c>
      <c r="B72" s="35" t="s">
        <v>16</v>
      </c>
      <c r="C72" s="35"/>
      <c r="D72" s="35"/>
      <c r="E72" s="35"/>
      <c r="F72" s="35"/>
      <c r="G72" s="36">
        <f>SUM(G73,G80,G88)</f>
        <v>15959.8</v>
      </c>
      <c r="H72" s="36">
        <f>SUM(H73,H80,H88)</f>
        <v>13476.5</v>
      </c>
      <c r="I72" s="36">
        <f>SUM(I73,I80,I88)</f>
        <v>13476.5</v>
      </c>
    </row>
    <row r="73" spans="1:9" s="94" customFormat="1" ht="51" x14ac:dyDescent="0.2">
      <c r="A73" s="75" t="s">
        <v>41</v>
      </c>
      <c r="B73" s="69" t="s">
        <v>16</v>
      </c>
      <c r="C73" s="69" t="s">
        <v>32</v>
      </c>
      <c r="D73" s="69"/>
      <c r="E73" s="69"/>
      <c r="F73" s="69"/>
      <c r="G73" s="71">
        <f>SUM(G74,G78)</f>
        <v>7464.6</v>
      </c>
      <c r="H73" s="71">
        <f t="shared" ref="H73:I73" si="9">SUM(H74,H78)</f>
        <v>5976.9</v>
      </c>
      <c r="I73" s="71">
        <f t="shared" si="9"/>
        <v>5976.9</v>
      </c>
    </row>
    <row r="74" spans="1:9" s="93" customFormat="1" ht="38.25" x14ac:dyDescent="0.2">
      <c r="A74" s="78" t="s">
        <v>131</v>
      </c>
      <c r="B74" s="61" t="s">
        <v>16</v>
      </c>
      <c r="C74" s="61">
        <v>1</v>
      </c>
      <c r="D74" s="61" t="s">
        <v>82</v>
      </c>
      <c r="E74" s="61" t="s">
        <v>127</v>
      </c>
      <c r="F74" s="61"/>
      <c r="G74" s="62">
        <f>G75+G76+G77</f>
        <v>4882.7</v>
      </c>
      <c r="H74" s="62">
        <f>H75+H76+H77</f>
        <v>3906.3</v>
      </c>
      <c r="I74" s="62">
        <f>I75+I76+I77</f>
        <v>3906.3</v>
      </c>
    </row>
    <row r="75" spans="1:9" s="7" customFormat="1" ht="51" x14ac:dyDescent="0.2">
      <c r="A75" s="14" t="s">
        <v>3</v>
      </c>
      <c r="B75" s="15" t="s">
        <v>16</v>
      </c>
      <c r="C75" s="15">
        <v>1</v>
      </c>
      <c r="D75" s="15" t="s">
        <v>82</v>
      </c>
      <c r="E75" s="15" t="s">
        <v>127</v>
      </c>
      <c r="F75" s="16" t="s">
        <v>4</v>
      </c>
      <c r="G75" s="17">
        <f>3261.1+31.4+411.6</f>
        <v>3704.1</v>
      </c>
      <c r="H75" s="17">
        <f>3261.1+31.4</f>
        <v>3292.5</v>
      </c>
      <c r="I75" s="17">
        <f>3261.1+31.4</f>
        <v>3292.5</v>
      </c>
    </row>
    <row r="76" spans="1:9" s="93" customFormat="1" ht="25.5" x14ac:dyDescent="0.2">
      <c r="A76" s="63" t="s">
        <v>87</v>
      </c>
      <c r="B76" s="64" t="s">
        <v>16</v>
      </c>
      <c r="C76" s="64">
        <v>1</v>
      </c>
      <c r="D76" s="64" t="s">
        <v>82</v>
      </c>
      <c r="E76" s="64" t="s">
        <v>127</v>
      </c>
      <c r="F76" s="65" t="s">
        <v>5</v>
      </c>
      <c r="G76" s="66">
        <f>170.8+45+148.6+30+209-20.3+543.4+19.1+15</f>
        <v>1160.5999999999999</v>
      </c>
      <c r="H76" s="66">
        <f>170.8+45+148.6+30+209</f>
        <v>603.4</v>
      </c>
      <c r="I76" s="66">
        <f>170.8+45+148.6+30+209</f>
        <v>603.4</v>
      </c>
    </row>
    <row r="77" spans="1:9" s="18" customFormat="1" x14ac:dyDescent="0.2">
      <c r="A77" s="19" t="s">
        <v>9</v>
      </c>
      <c r="B77" s="15" t="s">
        <v>16</v>
      </c>
      <c r="C77" s="15">
        <v>1</v>
      </c>
      <c r="D77" s="15" t="s">
        <v>82</v>
      </c>
      <c r="E77" s="15" t="s">
        <v>127</v>
      </c>
      <c r="F77" s="15" t="s">
        <v>10</v>
      </c>
      <c r="G77" s="17">
        <f>10.4+7.6</f>
        <v>18</v>
      </c>
      <c r="H77" s="17">
        <v>10.4</v>
      </c>
      <c r="I77" s="17">
        <v>10.4</v>
      </c>
    </row>
    <row r="78" spans="1:9" s="12" customFormat="1" ht="15" x14ac:dyDescent="0.2">
      <c r="A78" s="28" t="s">
        <v>133</v>
      </c>
      <c r="B78" s="8" t="s">
        <v>16</v>
      </c>
      <c r="C78" s="8">
        <v>1</v>
      </c>
      <c r="D78" s="8" t="s">
        <v>82</v>
      </c>
      <c r="E78" s="8" t="s">
        <v>132</v>
      </c>
      <c r="F78" s="8"/>
      <c r="G78" s="9">
        <f>G79</f>
        <v>2581.9</v>
      </c>
      <c r="H78" s="9">
        <f>H79</f>
        <v>2070.6</v>
      </c>
      <c r="I78" s="9">
        <f>I79</f>
        <v>2070.6</v>
      </c>
    </row>
    <row r="79" spans="1:9" s="4" customFormat="1" ht="25.5" x14ac:dyDescent="0.2">
      <c r="A79" s="19" t="s">
        <v>138</v>
      </c>
      <c r="B79" s="15" t="s">
        <v>16</v>
      </c>
      <c r="C79" s="15">
        <v>1</v>
      </c>
      <c r="D79" s="15" t="s">
        <v>82</v>
      </c>
      <c r="E79" s="15" t="s">
        <v>132</v>
      </c>
      <c r="F79" s="16" t="s">
        <v>2</v>
      </c>
      <c r="G79" s="17">
        <f>2054.4+16.2+212.6+284.8+13.9</f>
        <v>2581.9</v>
      </c>
      <c r="H79" s="17">
        <f>2054.4+16.2</f>
        <v>2070.6</v>
      </c>
      <c r="I79" s="17">
        <f>2054.4+16.2</f>
        <v>2070.6</v>
      </c>
    </row>
    <row r="80" spans="1:9" ht="38.25" x14ac:dyDescent="0.2">
      <c r="A80" s="75" t="s">
        <v>42</v>
      </c>
      <c r="B80" s="69" t="s">
        <v>16</v>
      </c>
      <c r="C80" s="69" t="s">
        <v>33</v>
      </c>
      <c r="D80" s="69"/>
      <c r="E80" s="69"/>
      <c r="F80" s="69"/>
      <c r="G80" s="71">
        <f>SUM(G81,G84,G86)</f>
        <v>243.3</v>
      </c>
      <c r="H80" s="71">
        <f>SUM(H81,H84,H86)</f>
        <v>173.7</v>
      </c>
      <c r="I80" s="71">
        <f>SUM(I81,I84,I86)</f>
        <v>173.7</v>
      </c>
    </row>
    <row r="81" spans="1:11" s="93" customFormat="1" ht="25.5" x14ac:dyDescent="0.2">
      <c r="A81" s="77" t="s">
        <v>134</v>
      </c>
      <c r="B81" s="61" t="s">
        <v>16</v>
      </c>
      <c r="C81" s="61">
        <v>2</v>
      </c>
      <c r="D81" s="61" t="s">
        <v>82</v>
      </c>
      <c r="E81" s="61" t="s">
        <v>135</v>
      </c>
      <c r="F81" s="73"/>
      <c r="G81" s="74">
        <f>G82+G83</f>
        <v>128.19999999999999</v>
      </c>
      <c r="H81" s="74">
        <f>H82+H83</f>
        <v>59.8</v>
      </c>
      <c r="I81" s="74">
        <f>I82+I83</f>
        <v>59.8</v>
      </c>
      <c r="J81" s="84"/>
      <c r="K81" s="84"/>
    </row>
    <row r="82" spans="1:11" s="93" customFormat="1" ht="25.5" x14ac:dyDescent="0.2">
      <c r="A82" s="63" t="s">
        <v>87</v>
      </c>
      <c r="B82" s="64" t="s">
        <v>16</v>
      </c>
      <c r="C82" s="64">
        <v>2</v>
      </c>
      <c r="D82" s="64" t="s">
        <v>82</v>
      </c>
      <c r="E82" s="64" t="s">
        <v>135</v>
      </c>
      <c r="F82" s="65" t="s">
        <v>5</v>
      </c>
      <c r="G82" s="66">
        <f>1+40-15</f>
        <v>26</v>
      </c>
      <c r="H82" s="66">
        <v>1</v>
      </c>
      <c r="I82" s="66">
        <v>1</v>
      </c>
    </row>
    <row r="83" spans="1:11" s="93" customFormat="1" ht="25.5" x14ac:dyDescent="0.2">
      <c r="A83" s="67" t="s">
        <v>138</v>
      </c>
      <c r="B83" s="64" t="s">
        <v>16</v>
      </c>
      <c r="C83" s="64">
        <v>2</v>
      </c>
      <c r="D83" s="64" t="s">
        <v>82</v>
      </c>
      <c r="E83" s="64" t="s">
        <v>135</v>
      </c>
      <c r="F83" s="65" t="s">
        <v>2</v>
      </c>
      <c r="G83" s="66">
        <f>10.2+15.6+20+13+35.1+8.3</f>
        <v>102.2</v>
      </c>
      <c r="H83" s="66">
        <f>10.2+15.6+20+13</f>
        <v>58.8</v>
      </c>
      <c r="I83" s="66">
        <f>10.2+15.6+20+13</f>
        <v>58.8</v>
      </c>
    </row>
    <row r="84" spans="1:11" s="93" customFormat="1" x14ac:dyDescent="0.2">
      <c r="A84" s="77" t="s">
        <v>136</v>
      </c>
      <c r="B84" s="61" t="s">
        <v>16</v>
      </c>
      <c r="C84" s="61">
        <v>2</v>
      </c>
      <c r="D84" s="61" t="s">
        <v>82</v>
      </c>
      <c r="E84" s="61" t="s">
        <v>137</v>
      </c>
      <c r="F84" s="73"/>
      <c r="G84" s="74">
        <f>G85</f>
        <v>80.900000000000006</v>
      </c>
      <c r="H84" s="74">
        <f>H85</f>
        <v>80.900000000000006</v>
      </c>
      <c r="I84" s="74">
        <f>I85</f>
        <v>80.900000000000006</v>
      </c>
    </row>
    <row r="85" spans="1:11" s="93" customFormat="1" ht="25.5" x14ac:dyDescent="0.2">
      <c r="A85" s="63" t="s">
        <v>87</v>
      </c>
      <c r="B85" s="64" t="s">
        <v>16</v>
      </c>
      <c r="C85" s="64">
        <v>2</v>
      </c>
      <c r="D85" s="64" t="s">
        <v>82</v>
      </c>
      <c r="E85" s="64" t="s">
        <v>137</v>
      </c>
      <c r="F85" s="65" t="s">
        <v>5</v>
      </c>
      <c r="G85" s="66">
        <f>80.9+19.1-19.1</f>
        <v>80.900000000000006</v>
      </c>
      <c r="H85" s="66">
        <v>80.900000000000006</v>
      </c>
      <c r="I85" s="66">
        <v>80.900000000000006</v>
      </c>
    </row>
    <row r="86" spans="1:11" s="11" customFormat="1" ht="25.5" x14ac:dyDescent="0.2">
      <c r="A86" s="5" t="s">
        <v>140</v>
      </c>
      <c r="B86" s="8" t="s">
        <v>16</v>
      </c>
      <c r="C86" s="8">
        <v>2</v>
      </c>
      <c r="D86" s="8" t="s">
        <v>82</v>
      </c>
      <c r="E86" s="8" t="s">
        <v>267</v>
      </c>
      <c r="F86" s="1"/>
      <c r="G86" s="2">
        <f>G87</f>
        <v>34.200000000000003</v>
      </c>
      <c r="H86" s="2">
        <f>H87</f>
        <v>33</v>
      </c>
      <c r="I86" s="2">
        <f>I87</f>
        <v>33</v>
      </c>
    </row>
    <row r="87" spans="1:11" s="11" customFormat="1" x14ac:dyDescent="0.2">
      <c r="A87" s="19" t="s">
        <v>6</v>
      </c>
      <c r="B87" s="8" t="s">
        <v>16</v>
      </c>
      <c r="C87" s="8">
        <v>2</v>
      </c>
      <c r="D87" s="8" t="s">
        <v>82</v>
      </c>
      <c r="E87" s="8" t="s">
        <v>267</v>
      </c>
      <c r="F87" s="16" t="s">
        <v>7</v>
      </c>
      <c r="G87" s="17">
        <f>33+1.2</f>
        <v>34.200000000000003</v>
      </c>
      <c r="H87" s="17">
        <v>33</v>
      </c>
      <c r="I87" s="17">
        <v>33</v>
      </c>
    </row>
    <row r="88" spans="1:11" ht="38.25" x14ac:dyDescent="0.2">
      <c r="A88" s="68" t="s">
        <v>43</v>
      </c>
      <c r="B88" s="69" t="s">
        <v>16</v>
      </c>
      <c r="C88" s="69" t="s">
        <v>34</v>
      </c>
      <c r="D88" s="76"/>
      <c r="E88" s="76"/>
      <c r="F88" s="70"/>
      <c r="G88" s="71">
        <f>SUM(G89,G92)</f>
        <v>8251.9</v>
      </c>
      <c r="H88" s="71">
        <f>SUM(H89,H92)</f>
        <v>7325.9</v>
      </c>
      <c r="I88" s="71">
        <f>SUM(I89,I92)</f>
        <v>7325.9</v>
      </c>
    </row>
    <row r="89" spans="1:11" s="18" customFormat="1" ht="89.25" x14ac:dyDescent="0.2">
      <c r="A89" s="20" t="s">
        <v>141</v>
      </c>
      <c r="B89" s="8" t="s">
        <v>16</v>
      </c>
      <c r="C89" s="8">
        <v>3</v>
      </c>
      <c r="D89" s="8" t="s">
        <v>82</v>
      </c>
      <c r="E89" s="8" t="s">
        <v>142</v>
      </c>
      <c r="F89" s="8"/>
      <c r="G89" s="9">
        <f>G90+G91</f>
        <v>8023.1</v>
      </c>
      <c r="H89" s="9">
        <f>H90+H91</f>
        <v>7091.5</v>
      </c>
      <c r="I89" s="9">
        <f>I90+I91</f>
        <v>7091.5</v>
      </c>
    </row>
    <row r="90" spans="1:11" s="11" customFormat="1" ht="51" x14ac:dyDescent="0.2">
      <c r="A90" s="14" t="s">
        <v>3</v>
      </c>
      <c r="B90" s="15" t="s">
        <v>16</v>
      </c>
      <c r="C90" s="15">
        <v>3</v>
      </c>
      <c r="D90" s="15" t="s">
        <v>82</v>
      </c>
      <c r="E90" s="8" t="s">
        <v>142</v>
      </c>
      <c r="F90" s="16" t="s">
        <v>4</v>
      </c>
      <c r="G90" s="17">
        <f>5361+1619+67.1+880.9</f>
        <v>7928</v>
      </c>
      <c r="H90" s="17">
        <f>5361+1619+67.1</f>
        <v>7047.1</v>
      </c>
      <c r="I90" s="17">
        <f>5361+1619+67.1</f>
        <v>7047.1</v>
      </c>
    </row>
    <row r="91" spans="1:11" s="93" customFormat="1" ht="25.5" x14ac:dyDescent="0.2">
      <c r="A91" s="63" t="s">
        <v>87</v>
      </c>
      <c r="B91" s="64" t="s">
        <v>16</v>
      </c>
      <c r="C91" s="64">
        <v>3</v>
      </c>
      <c r="D91" s="64" t="s">
        <v>82</v>
      </c>
      <c r="E91" s="61" t="s">
        <v>142</v>
      </c>
      <c r="F91" s="65" t="s">
        <v>5</v>
      </c>
      <c r="G91" s="66">
        <f>34.1+8.3+2+45.7+5</f>
        <v>95.100000000000009</v>
      </c>
      <c r="H91" s="66">
        <f>34.1+8.3+2</f>
        <v>44.400000000000006</v>
      </c>
      <c r="I91" s="66">
        <f>34.1+8.3+2</f>
        <v>44.400000000000006</v>
      </c>
    </row>
    <row r="92" spans="1:11" s="96" customFormat="1" ht="51" x14ac:dyDescent="0.2">
      <c r="A92" s="78" t="s">
        <v>144</v>
      </c>
      <c r="B92" s="61" t="s">
        <v>16</v>
      </c>
      <c r="C92" s="61">
        <v>3</v>
      </c>
      <c r="D92" s="61" t="s">
        <v>82</v>
      </c>
      <c r="E92" s="61" t="s">
        <v>143</v>
      </c>
      <c r="F92" s="61"/>
      <c r="G92" s="62">
        <f>G93</f>
        <v>228.8</v>
      </c>
      <c r="H92" s="62">
        <f>H93</f>
        <v>234.4</v>
      </c>
      <c r="I92" s="62">
        <f>I93</f>
        <v>234.4</v>
      </c>
    </row>
    <row r="93" spans="1:11" s="93" customFormat="1" ht="25.5" x14ac:dyDescent="0.2">
      <c r="A93" s="63" t="s">
        <v>87</v>
      </c>
      <c r="B93" s="64" t="s">
        <v>16</v>
      </c>
      <c r="C93" s="64">
        <v>3</v>
      </c>
      <c r="D93" s="64" t="s">
        <v>82</v>
      </c>
      <c r="E93" s="64" t="s">
        <v>143</v>
      </c>
      <c r="F93" s="65" t="s">
        <v>5</v>
      </c>
      <c r="G93" s="66">
        <f>234.4-5.6</f>
        <v>228.8</v>
      </c>
      <c r="H93" s="66">
        <v>234.4</v>
      </c>
      <c r="I93" s="66">
        <v>234.4</v>
      </c>
    </row>
    <row r="94" spans="1:11" s="4" customFormat="1" ht="38.25" x14ac:dyDescent="0.2">
      <c r="A94" s="37" t="s">
        <v>337</v>
      </c>
      <c r="B94" s="35" t="s">
        <v>17</v>
      </c>
      <c r="C94" s="35"/>
      <c r="D94" s="35"/>
      <c r="E94" s="35"/>
      <c r="F94" s="38"/>
      <c r="G94" s="36">
        <f>SUM(G95,G109,G114,G123,G132)</f>
        <v>431071.14805000002</v>
      </c>
      <c r="H94" s="36">
        <f t="shared" ref="H94:I94" si="10">SUM(H95,H109,H114,H123,H132)</f>
        <v>270741.40000000002</v>
      </c>
      <c r="I94" s="36">
        <f t="shared" si="10"/>
        <v>236492.2</v>
      </c>
    </row>
    <row r="95" spans="1:11" s="18" customFormat="1" ht="38.25" x14ac:dyDescent="0.2">
      <c r="A95" s="42" t="s">
        <v>44</v>
      </c>
      <c r="B95" s="22" t="s">
        <v>17</v>
      </c>
      <c r="C95" s="43" t="s">
        <v>32</v>
      </c>
      <c r="D95" s="43"/>
      <c r="E95" s="43"/>
      <c r="F95" s="44"/>
      <c r="G95" s="45">
        <f>SUM(G96,G100,G105)+G98+G107+G103</f>
        <v>55486.643200000006</v>
      </c>
      <c r="H95" s="45">
        <f t="shared" ref="H95:I95" si="11">SUM(H96,H100,H105)+H98+H107+H103</f>
        <v>42865.4</v>
      </c>
      <c r="I95" s="45">
        <f t="shared" si="11"/>
        <v>44007.299999999996</v>
      </c>
    </row>
    <row r="96" spans="1:11" s="18" customFormat="1" ht="38.25" x14ac:dyDescent="0.2">
      <c r="A96" s="10" t="s">
        <v>145</v>
      </c>
      <c r="B96" s="8" t="s">
        <v>17</v>
      </c>
      <c r="C96" s="8">
        <v>1</v>
      </c>
      <c r="D96" s="8" t="s">
        <v>82</v>
      </c>
      <c r="E96" s="8" t="s">
        <v>146</v>
      </c>
      <c r="F96" s="8"/>
      <c r="G96" s="9">
        <f>G97</f>
        <v>940</v>
      </c>
      <c r="H96" s="9">
        <f>H97</f>
        <v>203.7</v>
      </c>
      <c r="I96" s="9">
        <f>I97</f>
        <v>435.9</v>
      </c>
    </row>
    <row r="97" spans="1:9" s="11" customFormat="1" ht="25.5" x14ac:dyDescent="0.2">
      <c r="A97" s="19" t="s">
        <v>25</v>
      </c>
      <c r="B97" s="15" t="s">
        <v>17</v>
      </c>
      <c r="C97" s="15">
        <v>1</v>
      </c>
      <c r="D97" s="15" t="s">
        <v>82</v>
      </c>
      <c r="E97" s="15" t="s">
        <v>146</v>
      </c>
      <c r="F97" s="15" t="s">
        <v>8</v>
      </c>
      <c r="G97" s="17">
        <v>940</v>
      </c>
      <c r="H97" s="17">
        <v>203.7</v>
      </c>
      <c r="I97" s="17">
        <v>435.9</v>
      </c>
    </row>
    <row r="98" spans="1:9" s="11" customFormat="1" ht="51" x14ac:dyDescent="0.2">
      <c r="A98" s="10" t="s">
        <v>345</v>
      </c>
      <c r="B98" s="8" t="s">
        <v>17</v>
      </c>
      <c r="C98" s="8">
        <v>1</v>
      </c>
      <c r="D98" s="8" t="s">
        <v>82</v>
      </c>
      <c r="E98" s="8" t="s">
        <v>344</v>
      </c>
      <c r="F98" s="8"/>
      <c r="G98" s="9">
        <f>G99</f>
        <v>595.09599999999989</v>
      </c>
      <c r="H98" s="9">
        <f>H99</f>
        <v>0</v>
      </c>
      <c r="I98" s="9">
        <f>I99</f>
        <v>1190.0999999999999</v>
      </c>
    </row>
    <row r="99" spans="1:9" s="11" customFormat="1" ht="25.5" x14ac:dyDescent="0.2">
      <c r="A99" s="19" t="s">
        <v>25</v>
      </c>
      <c r="B99" s="15" t="s">
        <v>17</v>
      </c>
      <c r="C99" s="15">
        <v>1</v>
      </c>
      <c r="D99" s="15" t="s">
        <v>82</v>
      </c>
      <c r="E99" s="15" t="s">
        <v>344</v>
      </c>
      <c r="F99" s="15" t="s">
        <v>8</v>
      </c>
      <c r="G99" s="17">
        <f>1190.1-595.004</f>
        <v>595.09599999999989</v>
      </c>
      <c r="H99" s="17">
        <v>0</v>
      </c>
      <c r="I99" s="17">
        <v>1190.0999999999999</v>
      </c>
    </row>
    <row r="100" spans="1:9" s="18" customFormat="1" ht="49.5" customHeight="1" x14ac:dyDescent="0.2">
      <c r="A100" s="10" t="s">
        <v>148</v>
      </c>
      <c r="B100" s="8" t="s">
        <v>17</v>
      </c>
      <c r="C100" s="8">
        <v>1</v>
      </c>
      <c r="D100" s="8" t="s">
        <v>82</v>
      </c>
      <c r="E100" s="8">
        <v>51350</v>
      </c>
      <c r="F100" s="8"/>
      <c r="G100" s="9">
        <f>G102+G101</f>
        <v>2380.11</v>
      </c>
      <c r="H100" s="9">
        <f>H102</f>
        <v>3570.2000000000003</v>
      </c>
      <c r="I100" s="9">
        <f>I102</f>
        <v>2380.1</v>
      </c>
    </row>
    <row r="101" spans="1:9" s="18" customFormat="1" ht="25.5" customHeight="1" x14ac:dyDescent="0.2">
      <c r="A101" s="19" t="s">
        <v>6</v>
      </c>
      <c r="B101" s="8" t="s">
        <v>17</v>
      </c>
      <c r="C101" s="8">
        <v>1</v>
      </c>
      <c r="D101" s="8" t="s">
        <v>82</v>
      </c>
      <c r="E101" s="8">
        <v>51350</v>
      </c>
      <c r="F101" s="8" t="s">
        <v>7</v>
      </c>
      <c r="G101" s="9">
        <v>2380.11</v>
      </c>
      <c r="H101" s="9"/>
      <c r="I101" s="9"/>
    </row>
    <row r="102" spans="1:9" s="11" customFormat="1" ht="25.5" x14ac:dyDescent="0.2">
      <c r="A102" s="19" t="s">
        <v>25</v>
      </c>
      <c r="B102" s="15" t="s">
        <v>17</v>
      </c>
      <c r="C102" s="15">
        <v>1</v>
      </c>
      <c r="D102" s="15" t="s">
        <v>82</v>
      </c>
      <c r="E102" s="15">
        <v>51350</v>
      </c>
      <c r="F102" s="15" t="s">
        <v>8</v>
      </c>
      <c r="G102" s="17">
        <f>1485.2+894.9+0.01-2380.11</f>
        <v>0</v>
      </c>
      <c r="H102" s="17">
        <f>3578.4-8.2</f>
        <v>3570.2000000000003</v>
      </c>
      <c r="I102" s="17">
        <f>3746.1-1366</f>
        <v>2380.1</v>
      </c>
    </row>
    <row r="103" spans="1:9" s="18" customFormat="1" ht="30.75" customHeight="1" x14ac:dyDescent="0.2">
      <c r="A103" s="10" t="s">
        <v>318</v>
      </c>
      <c r="B103" s="8" t="s">
        <v>17</v>
      </c>
      <c r="C103" s="8">
        <v>1</v>
      </c>
      <c r="D103" s="8" t="s">
        <v>82</v>
      </c>
      <c r="E103" s="8" t="s">
        <v>317</v>
      </c>
      <c r="F103" s="8"/>
      <c r="G103" s="9">
        <f>G104</f>
        <v>10990.7</v>
      </c>
      <c r="H103" s="9">
        <f>H104</f>
        <v>0</v>
      </c>
      <c r="I103" s="9">
        <f>I104</f>
        <v>0</v>
      </c>
    </row>
    <row r="104" spans="1:9" s="11" customFormat="1" ht="25.5" x14ac:dyDescent="0.2">
      <c r="A104" s="19" t="s">
        <v>25</v>
      </c>
      <c r="B104" s="15" t="s">
        <v>17</v>
      </c>
      <c r="C104" s="15">
        <v>1</v>
      </c>
      <c r="D104" s="15" t="s">
        <v>82</v>
      </c>
      <c r="E104" s="15" t="s">
        <v>317</v>
      </c>
      <c r="F104" s="15" t="s">
        <v>8</v>
      </c>
      <c r="G104" s="17">
        <v>10990.7</v>
      </c>
      <c r="H104" s="17">
        <v>0</v>
      </c>
      <c r="I104" s="17">
        <v>0</v>
      </c>
    </row>
    <row r="105" spans="1:9" s="18" customFormat="1" ht="38.25" x14ac:dyDescent="0.2">
      <c r="A105" s="10" t="s">
        <v>147</v>
      </c>
      <c r="B105" s="8" t="s">
        <v>17</v>
      </c>
      <c r="C105" s="8">
        <v>1</v>
      </c>
      <c r="D105" s="8" t="s">
        <v>82</v>
      </c>
      <c r="E105" s="8" t="s">
        <v>79</v>
      </c>
      <c r="F105" s="8"/>
      <c r="G105" s="9">
        <f>G106</f>
        <v>26293.5</v>
      </c>
      <c r="H105" s="9">
        <f>H106</f>
        <v>27404.7</v>
      </c>
      <c r="I105" s="9">
        <f>I106</f>
        <v>28500.799999999999</v>
      </c>
    </row>
    <row r="106" spans="1:9" s="11" customFormat="1" ht="25.5" x14ac:dyDescent="0.2">
      <c r="A106" s="19" t="s">
        <v>25</v>
      </c>
      <c r="B106" s="8" t="s">
        <v>17</v>
      </c>
      <c r="C106" s="8">
        <v>1</v>
      </c>
      <c r="D106" s="8" t="s">
        <v>82</v>
      </c>
      <c r="E106" s="8" t="s">
        <v>79</v>
      </c>
      <c r="F106" s="15" t="s">
        <v>8</v>
      </c>
      <c r="G106" s="17">
        <f>26434-140.5</f>
        <v>26293.5</v>
      </c>
      <c r="H106" s="17">
        <f>27564-159.3</f>
        <v>27404.7</v>
      </c>
      <c r="I106" s="17">
        <f>28666.6-165.8</f>
        <v>28500.799999999999</v>
      </c>
    </row>
    <row r="107" spans="1:9" s="11" customFormat="1" ht="38.25" x14ac:dyDescent="0.2">
      <c r="A107" s="10" t="s">
        <v>147</v>
      </c>
      <c r="B107" s="8" t="s">
        <v>17</v>
      </c>
      <c r="C107" s="8">
        <v>1</v>
      </c>
      <c r="D107" s="8" t="s">
        <v>82</v>
      </c>
      <c r="E107" s="8" t="s">
        <v>320</v>
      </c>
      <c r="F107" s="8"/>
      <c r="G107" s="9">
        <f>G108</f>
        <v>14287.2372</v>
      </c>
      <c r="H107" s="9">
        <f>H108</f>
        <v>11686.800000000001</v>
      </c>
      <c r="I107" s="9">
        <f>I108</f>
        <v>11500.4</v>
      </c>
    </row>
    <row r="108" spans="1:9" ht="25.5" x14ac:dyDescent="0.2">
      <c r="A108" s="67" t="s">
        <v>25</v>
      </c>
      <c r="B108" s="61" t="s">
        <v>17</v>
      </c>
      <c r="C108" s="61">
        <v>1</v>
      </c>
      <c r="D108" s="61" t="s">
        <v>82</v>
      </c>
      <c r="E108" s="61" t="s">
        <v>320</v>
      </c>
      <c r="F108" s="64" t="s">
        <v>8</v>
      </c>
      <c r="G108" s="66">
        <f>11851.8+23.9+2724-312.4628</f>
        <v>14287.2372</v>
      </c>
      <c r="H108" s="66">
        <f>11659.7+27.1</f>
        <v>11686.800000000001</v>
      </c>
      <c r="I108" s="66">
        <f>11472.3+28.1</f>
        <v>11500.4</v>
      </c>
    </row>
    <row r="109" spans="1:9" x14ac:dyDescent="0.2">
      <c r="A109" s="75" t="s">
        <v>45</v>
      </c>
      <c r="B109" s="69" t="s">
        <v>17</v>
      </c>
      <c r="C109" s="76" t="s">
        <v>33</v>
      </c>
      <c r="D109" s="76"/>
      <c r="E109" s="76"/>
      <c r="F109" s="69"/>
      <c r="G109" s="71">
        <f>G112+G110</f>
        <v>5477.0048499999994</v>
      </c>
      <c r="H109" s="71">
        <f t="shared" ref="H109:I109" si="12">H112+H110</f>
        <v>1966.3</v>
      </c>
      <c r="I109" s="71">
        <f t="shared" si="12"/>
        <v>1005.4</v>
      </c>
    </row>
    <row r="110" spans="1:9" s="18" customFormat="1" ht="38.25" x14ac:dyDescent="0.2">
      <c r="A110" s="10" t="s">
        <v>307</v>
      </c>
      <c r="B110" s="8" t="s">
        <v>17</v>
      </c>
      <c r="C110" s="8">
        <v>2</v>
      </c>
      <c r="D110" s="8" t="s">
        <v>82</v>
      </c>
      <c r="E110" s="8" t="s">
        <v>80</v>
      </c>
      <c r="F110" s="8"/>
      <c r="G110" s="9">
        <f>G111</f>
        <v>0</v>
      </c>
      <c r="H110" s="9">
        <f>H111</f>
        <v>0</v>
      </c>
      <c r="I110" s="9">
        <f>I111</f>
        <v>0</v>
      </c>
    </row>
    <row r="111" spans="1:9" s="11" customFormat="1" x14ac:dyDescent="0.2">
      <c r="A111" s="19" t="s">
        <v>6</v>
      </c>
      <c r="B111" s="15" t="s">
        <v>17</v>
      </c>
      <c r="C111" s="15">
        <v>2</v>
      </c>
      <c r="D111" s="15" t="s">
        <v>82</v>
      </c>
      <c r="E111" s="15" t="s">
        <v>80</v>
      </c>
      <c r="F111" s="25">
        <v>300</v>
      </c>
      <c r="G111" s="17">
        <f>1941.1-1941.1</f>
        <v>0</v>
      </c>
      <c r="H111" s="17">
        <f>369.2-369.2</f>
        <v>0</v>
      </c>
      <c r="I111" s="17">
        <f>1005.4-1005.4</f>
        <v>0</v>
      </c>
    </row>
    <row r="112" spans="1:9" s="93" customFormat="1" x14ac:dyDescent="0.2">
      <c r="A112" s="60" t="s">
        <v>360</v>
      </c>
      <c r="B112" s="61" t="s">
        <v>17</v>
      </c>
      <c r="C112" s="61">
        <v>2</v>
      </c>
      <c r="D112" s="61" t="s">
        <v>82</v>
      </c>
      <c r="E112" s="61" t="s">
        <v>359</v>
      </c>
      <c r="F112" s="61"/>
      <c r="G112" s="62">
        <f>G113</f>
        <v>5477.0048499999994</v>
      </c>
      <c r="H112" s="62">
        <f>H113</f>
        <v>1966.3</v>
      </c>
      <c r="I112" s="62">
        <f>I113</f>
        <v>1005.4</v>
      </c>
    </row>
    <row r="113" spans="1:9" x14ac:dyDescent="0.2">
      <c r="A113" s="67" t="s">
        <v>6</v>
      </c>
      <c r="B113" s="64" t="s">
        <v>17</v>
      </c>
      <c r="C113" s="64">
        <v>2</v>
      </c>
      <c r="D113" s="64" t="s">
        <v>82</v>
      </c>
      <c r="E113" s="64" t="s">
        <v>359</v>
      </c>
      <c r="F113" s="79">
        <v>300</v>
      </c>
      <c r="G113" s="66">
        <f>1941.1+3535.90485</f>
        <v>5477.0048499999994</v>
      </c>
      <c r="H113" s="66">
        <f>369.2+1597.1</f>
        <v>1966.3</v>
      </c>
      <c r="I113" s="66">
        <v>1005.4</v>
      </c>
    </row>
    <row r="114" spans="1:9" s="96" customFormat="1" ht="25.5" x14ac:dyDescent="0.2">
      <c r="A114" s="75" t="s">
        <v>46</v>
      </c>
      <c r="B114" s="69" t="s">
        <v>17</v>
      </c>
      <c r="C114" s="69" t="s">
        <v>34</v>
      </c>
      <c r="D114" s="69"/>
      <c r="E114" s="69"/>
      <c r="F114" s="80"/>
      <c r="G114" s="71">
        <f>SUM(G115)+G119+G117+G121</f>
        <v>297777</v>
      </c>
      <c r="H114" s="71">
        <f t="shared" ref="H114:I114" si="13">SUM(H115)+H119+H117</f>
        <v>214857.1</v>
      </c>
      <c r="I114" s="71">
        <f t="shared" si="13"/>
        <v>149488.5</v>
      </c>
    </row>
    <row r="115" spans="1:9" ht="25.5" x14ac:dyDescent="0.2">
      <c r="A115" s="60" t="s">
        <v>149</v>
      </c>
      <c r="B115" s="61" t="s">
        <v>17</v>
      </c>
      <c r="C115" s="61">
        <v>3</v>
      </c>
      <c r="D115" s="61" t="s">
        <v>82</v>
      </c>
      <c r="E115" s="61">
        <v>51560</v>
      </c>
      <c r="F115" s="61"/>
      <c r="G115" s="62">
        <f>G116</f>
        <v>259000</v>
      </c>
      <c r="H115" s="62">
        <f>H116</f>
        <v>214857.1</v>
      </c>
      <c r="I115" s="62">
        <f>I116</f>
        <v>149488.5</v>
      </c>
    </row>
    <row r="116" spans="1:9" s="93" customFormat="1" x14ac:dyDescent="0.2">
      <c r="A116" s="67" t="s">
        <v>6</v>
      </c>
      <c r="B116" s="64" t="s">
        <v>17</v>
      </c>
      <c r="C116" s="64">
        <v>3</v>
      </c>
      <c r="D116" s="64" t="s">
        <v>82</v>
      </c>
      <c r="E116" s="64">
        <v>51560</v>
      </c>
      <c r="F116" s="64" t="s">
        <v>7</v>
      </c>
      <c r="G116" s="66">
        <f>221327.9-10000+10000+37672.1</f>
        <v>259000</v>
      </c>
      <c r="H116" s="66">
        <v>214857.1</v>
      </c>
      <c r="I116" s="66">
        <v>149488.5</v>
      </c>
    </row>
    <row r="117" spans="1:9" s="11" customFormat="1" ht="25.5" x14ac:dyDescent="0.2">
      <c r="A117" s="10" t="s">
        <v>347</v>
      </c>
      <c r="B117" s="8" t="s">
        <v>17</v>
      </c>
      <c r="C117" s="8">
        <v>3</v>
      </c>
      <c r="D117" s="8" t="s">
        <v>82</v>
      </c>
      <c r="E117" s="8" t="s">
        <v>348</v>
      </c>
      <c r="F117" s="8"/>
      <c r="G117" s="9">
        <f>G118</f>
        <v>1677</v>
      </c>
      <c r="H117" s="9">
        <f>H118</f>
        <v>0</v>
      </c>
      <c r="I117" s="9">
        <f>I118</f>
        <v>0</v>
      </c>
    </row>
    <row r="118" spans="1:9" s="18" customFormat="1" ht="25.5" x14ac:dyDescent="0.2">
      <c r="A118" s="19" t="s">
        <v>326</v>
      </c>
      <c r="B118" s="15" t="s">
        <v>17</v>
      </c>
      <c r="C118" s="15">
        <v>3</v>
      </c>
      <c r="D118" s="15" t="s">
        <v>82</v>
      </c>
      <c r="E118" s="15" t="s">
        <v>348</v>
      </c>
      <c r="F118" s="16" t="s">
        <v>5</v>
      </c>
      <c r="G118" s="17">
        <f>200+977+500</f>
        <v>1677</v>
      </c>
      <c r="H118" s="17">
        <v>0</v>
      </c>
      <c r="I118" s="17">
        <v>0</v>
      </c>
    </row>
    <row r="119" spans="1:9" s="11" customFormat="1" ht="38.25" x14ac:dyDescent="0.2">
      <c r="A119" s="10" t="s">
        <v>384</v>
      </c>
      <c r="B119" s="8" t="s">
        <v>17</v>
      </c>
      <c r="C119" s="8">
        <v>3</v>
      </c>
      <c r="D119" s="8" t="s">
        <v>82</v>
      </c>
      <c r="E119" s="8" t="s">
        <v>352</v>
      </c>
      <c r="F119" s="8"/>
      <c r="G119" s="9">
        <f>G120</f>
        <v>100</v>
      </c>
      <c r="H119" s="9">
        <f>H120</f>
        <v>0</v>
      </c>
      <c r="I119" s="9">
        <f>I120</f>
        <v>0</v>
      </c>
    </row>
    <row r="120" spans="1:9" s="18" customFormat="1" x14ac:dyDescent="0.2">
      <c r="A120" s="19" t="s">
        <v>9</v>
      </c>
      <c r="B120" s="15" t="s">
        <v>17</v>
      </c>
      <c r="C120" s="15">
        <v>3</v>
      </c>
      <c r="D120" s="15" t="s">
        <v>82</v>
      </c>
      <c r="E120" s="15" t="s">
        <v>352</v>
      </c>
      <c r="F120" s="16" t="s">
        <v>10</v>
      </c>
      <c r="G120" s="17">
        <v>100</v>
      </c>
      <c r="H120" s="17">
        <v>0</v>
      </c>
      <c r="I120" s="17">
        <v>0</v>
      </c>
    </row>
    <row r="121" spans="1:9" s="93" customFormat="1" x14ac:dyDescent="0.2">
      <c r="A121" s="67" t="s">
        <v>382</v>
      </c>
      <c r="B121" s="64" t="s">
        <v>17</v>
      </c>
      <c r="C121" s="64" t="s">
        <v>34</v>
      </c>
      <c r="D121" s="64" t="s">
        <v>82</v>
      </c>
      <c r="E121" s="64" t="s">
        <v>383</v>
      </c>
      <c r="F121" s="65"/>
      <c r="G121" s="66">
        <f>G122</f>
        <v>37000</v>
      </c>
      <c r="H121" s="66"/>
      <c r="I121" s="66"/>
    </row>
    <row r="122" spans="1:9" s="93" customFormat="1" ht="25.5" x14ac:dyDescent="0.2">
      <c r="A122" s="67" t="s">
        <v>25</v>
      </c>
      <c r="B122" s="64" t="s">
        <v>17</v>
      </c>
      <c r="C122" s="64" t="s">
        <v>34</v>
      </c>
      <c r="D122" s="64" t="s">
        <v>82</v>
      </c>
      <c r="E122" s="64" t="s">
        <v>383</v>
      </c>
      <c r="F122" s="65" t="s">
        <v>8</v>
      </c>
      <c r="G122" s="66">
        <v>37000</v>
      </c>
      <c r="H122" s="66"/>
      <c r="I122" s="66"/>
    </row>
    <row r="123" spans="1:9" s="96" customFormat="1" x14ac:dyDescent="0.2">
      <c r="A123" s="75" t="s">
        <v>47</v>
      </c>
      <c r="B123" s="69" t="s">
        <v>17</v>
      </c>
      <c r="C123" s="69" t="s">
        <v>36</v>
      </c>
      <c r="D123" s="69"/>
      <c r="E123" s="69"/>
      <c r="F123" s="69"/>
      <c r="G123" s="71">
        <f>SUM(G124,)+G127+G130</f>
        <v>64800.7</v>
      </c>
      <c r="H123" s="71">
        <f t="shared" ref="H123:I123" si="14">SUM(H124,)+H127</f>
        <v>9965.5</v>
      </c>
      <c r="I123" s="71">
        <f t="shared" si="14"/>
        <v>40903.899999999994</v>
      </c>
    </row>
    <row r="124" spans="1:9" x14ac:dyDescent="0.2">
      <c r="A124" s="60" t="s">
        <v>150</v>
      </c>
      <c r="B124" s="61" t="s">
        <v>17</v>
      </c>
      <c r="C124" s="61">
        <v>4</v>
      </c>
      <c r="D124" s="61" t="s">
        <v>82</v>
      </c>
      <c r="E124" s="61" t="s">
        <v>151</v>
      </c>
      <c r="F124" s="61"/>
      <c r="G124" s="62">
        <f>G125+G126</f>
        <v>32902.899999999994</v>
      </c>
      <c r="H124" s="62">
        <f t="shared" ref="H124:I124" si="15">H125+H126</f>
        <v>9213.2999999999993</v>
      </c>
      <c r="I124" s="62">
        <f t="shared" si="15"/>
        <v>24731.599999999999</v>
      </c>
    </row>
    <row r="125" spans="1:9" s="98" customFormat="1" ht="25.5" x14ac:dyDescent="0.2">
      <c r="A125" s="63" t="s">
        <v>87</v>
      </c>
      <c r="B125" s="64" t="s">
        <v>17</v>
      </c>
      <c r="C125" s="64">
        <v>4</v>
      </c>
      <c r="D125" s="64" t="s">
        <v>82</v>
      </c>
      <c r="E125" s="64" t="s">
        <v>151</v>
      </c>
      <c r="F125" s="65" t="s">
        <v>5</v>
      </c>
      <c r="G125" s="66">
        <f>380.9+16815.6-977-4519.5+1563.1</f>
        <v>13263.1</v>
      </c>
      <c r="H125" s="66">
        <f>20.5+1192.8</f>
        <v>1213.3</v>
      </c>
      <c r="I125" s="66">
        <f>134.1+11880.2</f>
        <v>12014.300000000001</v>
      </c>
    </row>
    <row r="126" spans="1:9" s="96" customFormat="1" ht="25.5" x14ac:dyDescent="0.2">
      <c r="A126" s="67" t="s">
        <v>25</v>
      </c>
      <c r="B126" s="64" t="s">
        <v>17</v>
      </c>
      <c r="C126" s="64">
        <v>4</v>
      </c>
      <c r="D126" s="64" t="s">
        <v>82</v>
      </c>
      <c r="E126" s="64" t="s">
        <v>151</v>
      </c>
      <c r="F126" s="64" t="s">
        <v>8</v>
      </c>
      <c r="G126" s="66">
        <f>6393.9+13130.8-200-811.3-88.7+875.6+339.5</f>
        <v>19639.799999999996</v>
      </c>
      <c r="H126" s="66">
        <f>468.1-468.1+8000</f>
        <v>8000</v>
      </c>
      <c r="I126" s="66">
        <f>3904.7+8812.6</f>
        <v>12717.3</v>
      </c>
    </row>
    <row r="127" spans="1:9" s="98" customFormat="1" x14ac:dyDescent="0.2">
      <c r="A127" s="60" t="s">
        <v>152</v>
      </c>
      <c r="B127" s="64" t="s">
        <v>17</v>
      </c>
      <c r="C127" s="64">
        <v>4</v>
      </c>
      <c r="D127" s="64" t="s">
        <v>82</v>
      </c>
      <c r="E127" s="64" t="s">
        <v>153</v>
      </c>
      <c r="F127" s="61"/>
      <c r="G127" s="62">
        <f>G128+G129</f>
        <v>31342.200000000004</v>
      </c>
      <c r="H127" s="62">
        <f t="shared" ref="H127:I127" si="16">H128+H129</f>
        <v>752.19999999999993</v>
      </c>
      <c r="I127" s="62">
        <f t="shared" si="16"/>
        <v>16172.3</v>
      </c>
    </row>
    <row r="128" spans="1:9" s="4" customFormat="1" ht="25.5" x14ac:dyDescent="0.2">
      <c r="A128" s="14" t="s">
        <v>87</v>
      </c>
      <c r="B128" s="15" t="s">
        <v>17</v>
      </c>
      <c r="C128" s="15">
        <v>4</v>
      </c>
      <c r="D128" s="15" t="s">
        <v>82</v>
      </c>
      <c r="E128" s="15" t="s">
        <v>153</v>
      </c>
      <c r="F128" s="16" t="s">
        <v>5</v>
      </c>
      <c r="G128" s="17">
        <f>19742.5-100-1758.7+100+7400-16900+118+500-1100-200-139.3-211.7+44.7-809+4900-170+86.6</f>
        <v>11503.1</v>
      </c>
      <c r="H128" s="17">
        <f>1313.1-560.9</f>
        <v>752.19999999999993</v>
      </c>
      <c r="I128" s="17">
        <v>10187.9</v>
      </c>
    </row>
    <row r="129" spans="1:9" s="4" customFormat="1" ht="25.5" x14ac:dyDescent="0.2">
      <c r="A129" s="19" t="s">
        <v>25</v>
      </c>
      <c r="B129" s="15" t="s">
        <v>17</v>
      </c>
      <c r="C129" s="15">
        <v>4</v>
      </c>
      <c r="D129" s="15" t="s">
        <v>82</v>
      </c>
      <c r="E129" s="15" t="s">
        <v>153</v>
      </c>
      <c r="F129" s="15" t="s">
        <v>8</v>
      </c>
      <c r="G129" s="17">
        <f>155.6+2457.8+6400+6200+12500+5300-100-7768.5-5700-2457.8-155.6+368.5+2457.8+155.6-118-797.5-500-875.6+5797.5-1000-894.9+1240.2-267.9-44.7+16-527.3-1563.1+1100-1100-339.5-12.9-86.6</f>
        <v>19839.100000000002</v>
      </c>
      <c r="H129" s="17">
        <f>568.1-568.1</f>
        <v>0</v>
      </c>
      <c r="I129" s="17">
        <v>5984.4</v>
      </c>
    </row>
    <row r="130" spans="1:9" s="4" customFormat="1" ht="38.25" x14ac:dyDescent="0.2">
      <c r="A130" s="19" t="s">
        <v>386</v>
      </c>
      <c r="B130" s="15" t="s">
        <v>17</v>
      </c>
      <c r="C130" s="15" t="s">
        <v>36</v>
      </c>
      <c r="D130" s="15" t="s">
        <v>82</v>
      </c>
      <c r="E130" s="15" t="s">
        <v>387</v>
      </c>
      <c r="F130" s="15"/>
      <c r="G130" s="17">
        <f>G131</f>
        <v>555.6</v>
      </c>
      <c r="H130" s="17"/>
      <c r="I130" s="17"/>
    </row>
    <row r="131" spans="1:9" s="4" customFormat="1" ht="25.5" x14ac:dyDescent="0.2">
      <c r="A131" s="19" t="s">
        <v>138</v>
      </c>
      <c r="B131" s="15" t="s">
        <v>17</v>
      </c>
      <c r="C131" s="15" t="s">
        <v>36</v>
      </c>
      <c r="D131" s="15" t="s">
        <v>82</v>
      </c>
      <c r="E131" s="15" t="s">
        <v>387</v>
      </c>
      <c r="F131" s="15" t="s">
        <v>2</v>
      </c>
      <c r="G131" s="17">
        <v>555.6</v>
      </c>
      <c r="H131" s="17"/>
      <c r="I131" s="17"/>
    </row>
    <row r="132" spans="1:9" s="29" customFormat="1" x14ac:dyDescent="0.2">
      <c r="A132" s="46" t="s">
        <v>48</v>
      </c>
      <c r="B132" s="43" t="s">
        <v>17</v>
      </c>
      <c r="C132" s="43" t="s">
        <v>38</v>
      </c>
      <c r="D132" s="43"/>
      <c r="E132" s="43"/>
      <c r="F132" s="43"/>
      <c r="G132" s="45">
        <f>SUM(G133,G135)</f>
        <v>7529.8</v>
      </c>
      <c r="H132" s="45">
        <f>SUM(H133,H135)</f>
        <v>1087.0999999999999</v>
      </c>
      <c r="I132" s="45">
        <f>SUM(I133,I135)</f>
        <v>1087.0999999999999</v>
      </c>
    </row>
    <row r="133" spans="1:9" s="4" customFormat="1" ht="25.5" x14ac:dyDescent="0.2">
      <c r="A133" s="10" t="s">
        <v>154</v>
      </c>
      <c r="B133" s="8" t="s">
        <v>17</v>
      </c>
      <c r="C133" s="8">
        <v>5</v>
      </c>
      <c r="D133" s="8" t="s">
        <v>82</v>
      </c>
      <c r="E133" s="8" t="s">
        <v>155</v>
      </c>
      <c r="F133" s="8"/>
      <c r="G133" s="9">
        <f>G134</f>
        <v>991.5</v>
      </c>
      <c r="H133" s="9">
        <f>H134</f>
        <v>1087.0999999999999</v>
      </c>
      <c r="I133" s="9">
        <f>I134</f>
        <v>1087.0999999999999</v>
      </c>
    </row>
    <row r="134" spans="1:9" s="99" customFormat="1" x14ac:dyDescent="0.2">
      <c r="A134" s="67" t="s">
        <v>9</v>
      </c>
      <c r="B134" s="64" t="s">
        <v>17</v>
      </c>
      <c r="C134" s="64">
        <v>5</v>
      </c>
      <c r="D134" s="64" t="s">
        <v>82</v>
      </c>
      <c r="E134" s="64" t="s">
        <v>155</v>
      </c>
      <c r="F134" s="64" t="s">
        <v>10</v>
      </c>
      <c r="G134" s="66">
        <f>1087.1-15-17.8-7-167.8+112</f>
        <v>991.5</v>
      </c>
      <c r="H134" s="66">
        <v>1087.0999999999999</v>
      </c>
      <c r="I134" s="66">
        <v>1087.0999999999999</v>
      </c>
    </row>
    <row r="135" spans="1:9" s="29" customFormat="1" ht="25.5" x14ac:dyDescent="0.2">
      <c r="A135" s="10" t="s">
        <v>156</v>
      </c>
      <c r="B135" s="8" t="s">
        <v>17</v>
      </c>
      <c r="C135" s="8">
        <v>5</v>
      </c>
      <c r="D135" s="8" t="s">
        <v>82</v>
      </c>
      <c r="E135" s="8" t="s">
        <v>157</v>
      </c>
      <c r="F135" s="8"/>
      <c r="G135" s="9">
        <f>G136</f>
        <v>6538.3</v>
      </c>
      <c r="H135" s="9">
        <f>H136</f>
        <v>0</v>
      </c>
      <c r="I135" s="9">
        <f>I136</f>
        <v>0</v>
      </c>
    </row>
    <row r="136" spans="1:9" s="4" customFormat="1" ht="25.5" x14ac:dyDescent="0.2">
      <c r="A136" s="14" t="s">
        <v>87</v>
      </c>
      <c r="B136" s="15" t="s">
        <v>17</v>
      </c>
      <c r="C136" s="15">
        <v>5</v>
      </c>
      <c r="D136" s="15" t="s">
        <v>82</v>
      </c>
      <c r="E136" s="15" t="s">
        <v>157</v>
      </c>
      <c r="F136" s="15" t="s">
        <v>5</v>
      </c>
      <c r="G136" s="17">
        <v>6538.3</v>
      </c>
      <c r="H136" s="17"/>
      <c r="I136" s="17"/>
    </row>
    <row r="137" spans="1:9" s="11" customFormat="1" ht="25.5" x14ac:dyDescent="0.2">
      <c r="A137" s="34" t="s">
        <v>49</v>
      </c>
      <c r="B137" s="35" t="s">
        <v>21</v>
      </c>
      <c r="C137" s="35"/>
      <c r="D137" s="35"/>
      <c r="E137" s="35"/>
      <c r="F137" s="35"/>
      <c r="G137" s="36">
        <f>SUM(G138,G200,G231)</f>
        <v>1257867.8</v>
      </c>
      <c r="H137" s="36">
        <f t="shared" ref="H137:I137" si="17">SUM(H138,H200,H231)</f>
        <v>1091496.4000000004</v>
      </c>
      <c r="I137" s="36">
        <f t="shared" si="17"/>
        <v>1091665.0000000002</v>
      </c>
    </row>
    <row r="138" spans="1:9" ht="38.25" x14ac:dyDescent="0.2">
      <c r="A138" s="75" t="s">
        <v>50</v>
      </c>
      <c r="B138" s="69" t="s">
        <v>21</v>
      </c>
      <c r="C138" s="69" t="s">
        <v>32</v>
      </c>
      <c r="D138" s="69"/>
      <c r="E138" s="69"/>
      <c r="F138" s="69"/>
      <c r="G138" s="71">
        <f>SUM(G139,G144,G146,G150,G152,G155,G159,G163,G166,G168,G170,G173,G176,G180,G184,G188,G192)+G197+G194</f>
        <v>1137652.3800000001</v>
      </c>
      <c r="H138" s="71">
        <f t="shared" ref="H138:I138" si="18">SUM(H139,H144,H146,H150,H152,H155,H159,H163,H166,H168,H170,H173,H176,H180,H184,H188,H192)+H197+H194</f>
        <v>984440.50000000023</v>
      </c>
      <c r="I138" s="71">
        <f t="shared" si="18"/>
        <v>984897.10000000021</v>
      </c>
    </row>
    <row r="139" spans="1:9" ht="51" x14ac:dyDescent="0.2">
      <c r="A139" s="60" t="s">
        <v>310</v>
      </c>
      <c r="B139" s="61" t="s">
        <v>21</v>
      </c>
      <c r="C139" s="61">
        <v>1</v>
      </c>
      <c r="D139" s="61" t="s">
        <v>82</v>
      </c>
      <c r="E139" s="61" t="s">
        <v>158</v>
      </c>
      <c r="F139" s="61"/>
      <c r="G139" s="62">
        <f>G142+G141+G140+G143</f>
        <v>203575.2</v>
      </c>
      <c r="H139" s="62">
        <f>H142+H141+H140+H143</f>
        <v>136724.19999999998</v>
      </c>
      <c r="I139" s="62">
        <f>I142+I141+I140+I143</f>
        <v>137107.5</v>
      </c>
    </row>
    <row r="140" spans="1:9" ht="51" x14ac:dyDescent="0.2">
      <c r="A140" s="63" t="s">
        <v>3</v>
      </c>
      <c r="B140" s="64" t="s">
        <v>21</v>
      </c>
      <c r="C140" s="64">
        <v>1</v>
      </c>
      <c r="D140" s="64" t="s">
        <v>82</v>
      </c>
      <c r="E140" s="64" t="s">
        <v>158</v>
      </c>
      <c r="F140" s="65" t="s">
        <v>4</v>
      </c>
      <c r="G140" s="62">
        <f>11713.1+1122.7+103.8+245.8-7.3+1452.8+7196.3+2467.1-158.7+0.4+2-94.8-0.6+48</f>
        <v>24090.600000000002</v>
      </c>
      <c r="H140" s="62">
        <f>11713.1+103.8+324.7</f>
        <v>12141.6</v>
      </c>
      <c r="I140" s="62">
        <f>11713.1+103.8+405.4</f>
        <v>12222.3</v>
      </c>
    </row>
    <row r="141" spans="1:9" ht="25.5" x14ac:dyDescent="0.2">
      <c r="A141" s="63" t="s">
        <v>87</v>
      </c>
      <c r="B141" s="64" t="s">
        <v>21</v>
      </c>
      <c r="C141" s="64">
        <v>1</v>
      </c>
      <c r="D141" s="64" t="s">
        <v>82</v>
      </c>
      <c r="E141" s="64" t="s">
        <v>158</v>
      </c>
      <c r="F141" s="65" t="s">
        <v>5</v>
      </c>
      <c r="G141" s="66">
        <f>4493.7+3188+39.5+368+50.9+300+150+23+275.5-40+1285.2-7.5-61.5+180+1356-112+203.4+1.2+60+302+0.6+234.1+309+271.1+235+37.7</f>
        <v>13142.900000000001</v>
      </c>
      <c r="H141" s="66">
        <f>4493.7+3188</f>
        <v>7681.7</v>
      </c>
      <c r="I141" s="66">
        <f>4493.7+3188</f>
        <v>7681.7</v>
      </c>
    </row>
    <row r="142" spans="1:9" ht="25.5" x14ac:dyDescent="0.2">
      <c r="A142" s="67" t="s">
        <v>138</v>
      </c>
      <c r="B142" s="64" t="s">
        <v>21</v>
      </c>
      <c r="C142" s="64">
        <v>1</v>
      </c>
      <c r="D142" s="64" t="s">
        <v>82</v>
      </c>
      <c r="E142" s="64" t="s">
        <v>158</v>
      </c>
      <c r="F142" s="64" t="s">
        <v>2</v>
      </c>
      <c r="G142" s="66">
        <f>113285.5-1122.7+737+920.2+3.7-627.9-8.1-345-111.5+476.7+303+80-1709.5+55.5-155-13.4+20+35998.7+50+2+310.8+853.2+9605.3-2467.1+158.7-3697.5+90-557.2+745.8+19.5+230+1.5-70.3+439.1+376+94.8+1000+165.6+2486.8+400+8468-498.9+115.2</f>
        <v>166108.5</v>
      </c>
      <c r="H142" s="66">
        <f>114832.4+737+1215.5</f>
        <v>116784.9</v>
      </c>
      <c r="I142" s="66">
        <f>114832.4+737+1518.1</f>
        <v>117087.5</v>
      </c>
    </row>
    <row r="143" spans="1:9" x14ac:dyDescent="0.2">
      <c r="A143" s="67" t="s">
        <v>9</v>
      </c>
      <c r="B143" s="64" t="s">
        <v>21</v>
      </c>
      <c r="C143" s="64">
        <v>1</v>
      </c>
      <c r="D143" s="64" t="s">
        <v>82</v>
      </c>
      <c r="E143" s="64" t="s">
        <v>158</v>
      </c>
      <c r="F143" s="64" t="s">
        <v>10</v>
      </c>
      <c r="G143" s="66">
        <f>116+35+5+50+19.5-26.5+0.7+33.5</f>
        <v>233.2</v>
      </c>
      <c r="H143" s="66">
        <v>116</v>
      </c>
      <c r="I143" s="66">
        <v>116</v>
      </c>
    </row>
    <row r="144" spans="1:9" ht="51" x14ac:dyDescent="0.2">
      <c r="A144" s="60" t="s">
        <v>310</v>
      </c>
      <c r="B144" s="61" t="s">
        <v>21</v>
      </c>
      <c r="C144" s="61">
        <v>1</v>
      </c>
      <c r="D144" s="61" t="s">
        <v>82</v>
      </c>
      <c r="E144" s="61" t="s">
        <v>159</v>
      </c>
      <c r="F144" s="61"/>
      <c r="G144" s="62">
        <f>G145</f>
        <v>70829.88</v>
      </c>
      <c r="H144" s="62">
        <f>H145</f>
        <v>41495.4</v>
      </c>
      <c r="I144" s="62">
        <f>I145</f>
        <v>41495.4</v>
      </c>
    </row>
    <row r="145" spans="1:9" ht="25.5" x14ac:dyDescent="0.2">
      <c r="A145" s="67" t="s">
        <v>138</v>
      </c>
      <c r="B145" s="64" t="s">
        <v>21</v>
      </c>
      <c r="C145" s="64">
        <v>1</v>
      </c>
      <c r="D145" s="64" t="s">
        <v>82</v>
      </c>
      <c r="E145" s="64" t="s">
        <v>159</v>
      </c>
      <c r="F145" s="64" t="s">
        <v>2</v>
      </c>
      <c r="G145" s="66">
        <f>39251.1-39.5+167.2-120-923.6-115.9-15+6590.2-144.7-167.2-895.2-216+108.7-25+40-4050.9-4.5-50.4+1291.3+797.5+12334.5+100+2000-73.8-269-1253.2-78-160.52-537.5+8.4+3074+36.4+559.6-450.8+3097.4+450.8+2353.7+7755.6+145.3+166.7+92.2</f>
        <v>70829.88</v>
      </c>
      <c r="H145" s="66">
        <v>41495.4</v>
      </c>
      <c r="I145" s="66">
        <v>41495.4</v>
      </c>
    </row>
    <row r="146" spans="1:9" ht="51" x14ac:dyDescent="0.2">
      <c r="A146" s="60" t="s">
        <v>310</v>
      </c>
      <c r="B146" s="61" t="s">
        <v>21</v>
      </c>
      <c r="C146" s="61">
        <v>1</v>
      </c>
      <c r="D146" s="61" t="s">
        <v>82</v>
      </c>
      <c r="E146" s="61" t="s">
        <v>160</v>
      </c>
      <c r="F146" s="61"/>
      <c r="G146" s="62">
        <f>G149+G148+G147</f>
        <v>168692.79999999996</v>
      </c>
      <c r="H146" s="62">
        <f t="shared" ref="H146:I146" si="19">H149+H148</f>
        <v>148403.10000000003</v>
      </c>
      <c r="I146" s="62">
        <f t="shared" si="19"/>
        <v>148476.40000000002</v>
      </c>
    </row>
    <row r="147" spans="1:9" s="11" customFormat="1" ht="25.5" x14ac:dyDescent="0.2">
      <c r="A147" s="10" t="s">
        <v>87</v>
      </c>
      <c r="B147" s="8" t="s">
        <v>21</v>
      </c>
      <c r="C147" s="8" t="s">
        <v>32</v>
      </c>
      <c r="D147" s="8" t="s">
        <v>82</v>
      </c>
      <c r="E147" s="8" t="s">
        <v>160</v>
      </c>
      <c r="F147" s="8" t="s">
        <v>5</v>
      </c>
      <c r="G147" s="9">
        <v>200</v>
      </c>
      <c r="H147" s="9"/>
      <c r="I147" s="9"/>
    </row>
    <row r="148" spans="1:9" s="11" customFormat="1" x14ac:dyDescent="0.2">
      <c r="A148" s="19" t="s">
        <v>6</v>
      </c>
      <c r="B148" s="15" t="s">
        <v>21</v>
      </c>
      <c r="C148" s="15">
        <v>1</v>
      </c>
      <c r="D148" s="15" t="s">
        <v>82</v>
      </c>
      <c r="E148" s="15" t="s">
        <v>160</v>
      </c>
      <c r="F148" s="16" t="s">
        <v>7</v>
      </c>
      <c r="G148" s="17">
        <v>30</v>
      </c>
      <c r="H148" s="17">
        <v>30</v>
      </c>
      <c r="I148" s="17">
        <v>30</v>
      </c>
    </row>
    <row r="149" spans="1:9" ht="25.5" x14ac:dyDescent="0.2">
      <c r="A149" s="67" t="s">
        <v>138</v>
      </c>
      <c r="B149" s="64" t="s">
        <v>21</v>
      </c>
      <c r="C149" s="64">
        <v>1</v>
      </c>
      <c r="D149" s="64" t="s">
        <v>82</v>
      </c>
      <c r="E149" s="64" t="s">
        <v>160</v>
      </c>
      <c r="F149" s="64" t="s">
        <v>2</v>
      </c>
      <c r="G149" s="66">
        <f>118343.6+24006+387.1+3597.5+1967.7+2.2-13.2+120+80.2-56.4+50-19.4-50-16.6+30.4+355+53+10+1+6.5+3101.8-8.7+8474-47-44.5+4.5+154.9-278.7+481.5-18.6+26.2+3578.6+237.6+52.1-32+223.1-14.2+50+17.6+10+50.1+213.3-5.1+100+43.3+1267.3+14.7+364.3+1174.5+151.3+80+94.8+36.6+54.9</f>
        <v>168462.79999999996</v>
      </c>
      <c r="H149" s="66">
        <f>118343.6+24006+387.1+3668.7+1967.7</f>
        <v>148373.10000000003</v>
      </c>
      <c r="I149" s="66">
        <f>118343.6+24006+387.1+3742+1967.7</f>
        <v>148446.40000000002</v>
      </c>
    </row>
    <row r="150" spans="1:9" ht="51" x14ac:dyDescent="0.2">
      <c r="A150" s="60" t="s">
        <v>163</v>
      </c>
      <c r="B150" s="61" t="s">
        <v>21</v>
      </c>
      <c r="C150" s="61">
        <v>1</v>
      </c>
      <c r="D150" s="61" t="s">
        <v>82</v>
      </c>
      <c r="E150" s="61" t="s">
        <v>161</v>
      </c>
      <c r="F150" s="61"/>
      <c r="G150" s="62">
        <f>G151</f>
        <v>3680.8999999999996</v>
      </c>
      <c r="H150" s="62">
        <f>H151</f>
        <v>4150.8999999999996</v>
      </c>
      <c r="I150" s="62">
        <f>I151</f>
        <v>4150.8999999999996</v>
      </c>
    </row>
    <row r="151" spans="1:9" ht="25.5" x14ac:dyDescent="0.2">
      <c r="A151" s="67" t="s">
        <v>138</v>
      </c>
      <c r="B151" s="64" t="s">
        <v>21</v>
      </c>
      <c r="C151" s="64">
        <v>1</v>
      </c>
      <c r="D151" s="64" t="s">
        <v>82</v>
      </c>
      <c r="E151" s="64" t="s">
        <v>161</v>
      </c>
      <c r="F151" s="64" t="s">
        <v>2</v>
      </c>
      <c r="G151" s="66">
        <f>4150.9-1200+200+150+380</f>
        <v>3680.8999999999996</v>
      </c>
      <c r="H151" s="66">
        <v>4150.8999999999996</v>
      </c>
      <c r="I151" s="66">
        <v>4150.8999999999996</v>
      </c>
    </row>
    <row r="152" spans="1:9" s="11" customFormat="1" ht="51" x14ac:dyDescent="0.2">
      <c r="A152" s="10" t="s">
        <v>163</v>
      </c>
      <c r="B152" s="8" t="s">
        <v>21</v>
      </c>
      <c r="C152" s="8">
        <v>1</v>
      </c>
      <c r="D152" s="8" t="s">
        <v>82</v>
      </c>
      <c r="E152" s="8" t="s">
        <v>162</v>
      </c>
      <c r="F152" s="8"/>
      <c r="G152" s="9">
        <f>G153+G154</f>
        <v>784.4</v>
      </c>
      <c r="H152" s="9">
        <f t="shared" ref="H152:I152" si="20">H153+H154</f>
        <v>834.4</v>
      </c>
      <c r="I152" s="9">
        <f t="shared" si="20"/>
        <v>834.4</v>
      </c>
    </row>
    <row r="153" spans="1:9" s="11" customFormat="1" ht="25.5" x14ac:dyDescent="0.2">
      <c r="A153" s="14" t="s">
        <v>87</v>
      </c>
      <c r="B153" s="15" t="s">
        <v>21</v>
      </c>
      <c r="C153" s="15">
        <v>1</v>
      </c>
      <c r="D153" s="15" t="s">
        <v>82</v>
      </c>
      <c r="E153" s="15" t="s">
        <v>162</v>
      </c>
      <c r="F153" s="16" t="s">
        <v>5</v>
      </c>
      <c r="G153" s="17">
        <f>564.4+200</f>
        <v>764.4</v>
      </c>
      <c r="H153" s="17">
        <f>564.4+200</f>
        <v>764.4</v>
      </c>
      <c r="I153" s="17">
        <f>564.4+200</f>
        <v>764.4</v>
      </c>
    </row>
    <row r="154" spans="1:9" s="11" customFormat="1" x14ac:dyDescent="0.2">
      <c r="A154" s="19" t="s">
        <v>9</v>
      </c>
      <c r="B154" s="15" t="s">
        <v>21</v>
      </c>
      <c r="C154" s="15">
        <v>1</v>
      </c>
      <c r="D154" s="15" t="s">
        <v>82</v>
      </c>
      <c r="E154" s="15" t="s">
        <v>162</v>
      </c>
      <c r="F154" s="16" t="s">
        <v>10</v>
      </c>
      <c r="G154" s="17">
        <f>70-50</f>
        <v>20</v>
      </c>
      <c r="H154" s="17">
        <f>70</f>
        <v>70</v>
      </c>
      <c r="I154" s="17">
        <f>70</f>
        <v>70</v>
      </c>
    </row>
    <row r="155" spans="1:9" ht="51" x14ac:dyDescent="0.2">
      <c r="A155" s="60" t="s">
        <v>163</v>
      </c>
      <c r="B155" s="61" t="s">
        <v>21</v>
      </c>
      <c r="C155" s="61">
        <v>1</v>
      </c>
      <c r="D155" s="61" t="s">
        <v>82</v>
      </c>
      <c r="E155" s="61" t="s">
        <v>164</v>
      </c>
      <c r="F155" s="61"/>
      <c r="G155" s="62">
        <f>G156+G157+G158</f>
        <v>9311.1999999999989</v>
      </c>
      <c r="H155" s="62">
        <f>H156+H157+H158</f>
        <v>7181.9000000000005</v>
      </c>
      <c r="I155" s="62">
        <f>I156+I157+I158</f>
        <v>7181.9000000000005</v>
      </c>
    </row>
    <row r="156" spans="1:9" ht="51" x14ac:dyDescent="0.2">
      <c r="A156" s="63" t="s">
        <v>3</v>
      </c>
      <c r="B156" s="64" t="s">
        <v>21</v>
      </c>
      <c r="C156" s="64">
        <v>1</v>
      </c>
      <c r="D156" s="64" t="s">
        <v>82</v>
      </c>
      <c r="E156" s="64" t="s">
        <v>164</v>
      </c>
      <c r="F156" s="65" t="s">
        <v>4</v>
      </c>
      <c r="G156" s="66">
        <f>4.6+6-2.4+0.3</f>
        <v>8.5</v>
      </c>
      <c r="H156" s="66">
        <v>4.5999999999999996</v>
      </c>
      <c r="I156" s="66">
        <v>4.5999999999999996</v>
      </c>
    </row>
    <row r="157" spans="1:9" ht="25.5" x14ac:dyDescent="0.2">
      <c r="A157" s="63" t="s">
        <v>87</v>
      </c>
      <c r="B157" s="64" t="s">
        <v>21</v>
      </c>
      <c r="C157" s="64">
        <v>1</v>
      </c>
      <c r="D157" s="64" t="s">
        <v>82</v>
      </c>
      <c r="E157" s="64" t="s">
        <v>164</v>
      </c>
      <c r="F157" s="65" t="s">
        <v>5</v>
      </c>
      <c r="G157" s="66">
        <f>7177.3-474.5-167.2+697.2-1237.5-125-6+167.2+50+50-263.7+5+50+1187.5+167.7+532.1-148.9+661.5-10.7-90+76.4+17.4+126.1+514.8+77+269-240.1+60-300</f>
        <v>8822.5999999999985</v>
      </c>
      <c r="H157" s="66">
        <f>7177.3-474.5</f>
        <v>6702.8</v>
      </c>
      <c r="I157" s="66">
        <f>7177.3-474.5</f>
        <v>6702.8</v>
      </c>
    </row>
    <row r="158" spans="1:9" x14ac:dyDescent="0.2">
      <c r="A158" s="67" t="s">
        <v>9</v>
      </c>
      <c r="B158" s="64" t="s">
        <v>21</v>
      </c>
      <c r="C158" s="64">
        <v>1</v>
      </c>
      <c r="D158" s="64" t="s">
        <v>82</v>
      </c>
      <c r="E158" s="64" t="s">
        <v>164</v>
      </c>
      <c r="F158" s="64" t="s">
        <v>10</v>
      </c>
      <c r="G158" s="66">
        <f>474.5+20+2-18-11.9+2.3+11.2</f>
        <v>480.1</v>
      </c>
      <c r="H158" s="66">
        <v>474.5</v>
      </c>
      <c r="I158" s="66">
        <v>474.5</v>
      </c>
    </row>
    <row r="159" spans="1:9" ht="25.5" x14ac:dyDescent="0.2">
      <c r="A159" s="60" t="s">
        <v>311</v>
      </c>
      <c r="B159" s="61" t="s">
        <v>21</v>
      </c>
      <c r="C159" s="61">
        <v>1</v>
      </c>
      <c r="D159" s="61" t="s">
        <v>82</v>
      </c>
      <c r="E159" s="61" t="s">
        <v>165</v>
      </c>
      <c r="F159" s="61"/>
      <c r="G159" s="62">
        <f>G162+G161+G160</f>
        <v>403.69999999999993</v>
      </c>
      <c r="H159" s="62">
        <f>H162+H161+H160</f>
        <v>386.7</v>
      </c>
      <c r="I159" s="62">
        <f>I162+I161+I160</f>
        <v>386.7</v>
      </c>
    </row>
    <row r="160" spans="1:9" s="11" customFormat="1" ht="25.5" x14ac:dyDescent="0.2">
      <c r="A160" s="14" t="s">
        <v>87</v>
      </c>
      <c r="B160" s="15" t="s">
        <v>21</v>
      </c>
      <c r="C160" s="15">
        <v>1</v>
      </c>
      <c r="D160" s="15" t="s">
        <v>82</v>
      </c>
      <c r="E160" s="15" t="s">
        <v>165</v>
      </c>
      <c r="F160" s="15" t="s">
        <v>5</v>
      </c>
      <c r="G160" s="17">
        <v>4</v>
      </c>
      <c r="H160" s="17">
        <v>4</v>
      </c>
      <c r="I160" s="17">
        <v>4</v>
      </c>
    </row>
    <row r="161" spans="1:9" s="11" customFormat="1" x14ac:dyDescent="0.2">
      <c r="A161" s="19" t="s">
        <v>6</v>
      </c>
      <c r="B161" s="15" t="s">
        <v>21</v>
      </c>
      <c r="C161" s="15">
        <v>1</v>
      </c>
      <c r="D161" s="15" t="s">
        <v>82</v>
      </c>
      <c r="E161" s="15" t="s">
        <v>165</v>
      </c>
      <c r="F161" s="15" t="s">
        <v>7</v>
      </c>
      <c r="G161" s="17">
        <f>1177.8-1177.8</f>
        <v>0</v>
      </c>
      <c r="H161" s="17">
        <v>0</v>
      </c>
      <c r="I161" s="17">
        <v>0</v>
      </c>
    </row>
    <row r="162" spans="1:9" ht="25.5" x14ac:dyDescent="0.2">
      <c r="A162" s="67" t="s">
        <v>138</v>
      </c>
      <c r="B162" s="64" t="s">
        <v>21</v>
      </c>
      <c r="C162" s="64">
        <v>1</v>
      </c>
      <c r="D162" s="64" t="s">
        <v>82</v>
      </c>
      <c r="E162" s="64" t="s">
        <v>165</v>
      </c>
      <c r="F162" s="64" t="s">
        <v>2</v>
      </c>
      <c r="G162" s="66">
        <f>315.7+67-58.1+75.1</f>
        <v>399.69999999999993</v>
      </c>
      <c r="H162" s="66">
        <f>315.7+67</f>
        <v>382.7</v>
      </c>
      <c r="I162" s="66">
        <f>315.7+67</f>
        <v>382.7</v>
      </c>
    </row>
    <row r="163" spans="1:9" s="11" customFormat="1" ht="25.5" x14ac:dyDescent="0.2">
      <c r="A163" s="10" t="s">
        <v>311</v>
      </c>
      <c r="B163" s="8" t="s">
        <v>21</v>
      </c>
      <c r="C163" s="8">
        <v>1</v>
      </c>
      <c r="D163" s="8" t="s">
        <v>82</v>
      </c>
      <c r="E163" s="8" t="s">
        <v>166</v>
      </c>
      <c r="F163" s="8"/>
      <c r="G163" s="9">
        <f>G164+G165</f>
        <v>60</v>
      </c>
      <c r="H163" s="9">
        <f>H164+H165</f>
        <v>171.1</v>
      </c>
      <c r="I163" s="9">
        <f>I164+I165</f>
        <v>171.1</v>
      </c>
    </row>
    <row r="164" spans="1:9" s="11" customFormat="1" ht="25.5" x14ac:dyDescent="0.2">
      <c r="A164" s="14" t="s">
        <v>87</v>
      </c>
      <c r="B164" s="15" t="s">
        <v>21</v>
      </c>
      <c r="C164" s="15">
        <v>1</v>
      </c>
      <c r="D164" s="15" t="s">
        <v>82</v>
      </c>
      <c r="E164" s="15" t="s">
        <v>166</v>
      </c>
      <c r="F164" s="15" t="s">
        <v>5</v>
      </c>
      <c r="G164" s="17">
        <f>41-41</f>
        <v>0</v>
      </c>
      <c r="H164" s="17">
        <v>41</v>
      </c>
      <c r="I164" s="17">
        <v>41</v>
      </c>
    </row>
    <row r="165" spans="1:9" s="11" customFormat="1" ht="25.5" x14ac:dyDescent="0.2">
      <c r="A165" s="19" t="s">
        <v>138</v>
      </c>
      <c r="B165" s="15" t="s">
        <v>21</v>
      </c>
      <c r="C165" s="15">
        <v>1</v>
      </c>
      <c r="D165" s="15" t="s">
        <v>82</v>
      </c>
      <c r="E165" s="15" t="s">
        <v>166</v>
      </c>
      <c r="F165" s="15" t="s">
        <v>2</v>
      </c>
      <c r="G165" s="17">
        <f>130.1-70.1</f>
        <v>60</v>
      </c>
      <c r="H165" s="17">
        <v>130.1</v>
      </c>
      <c r="I165" s="17">
        <v>130.1</v>
      </c>
    </row>
    <row r="166" spans="1:9" ht="25.5" x14ac:dyDescent="0.2">
      <c r="A166" s="60" t="s">
        <v>312</v>
      </c>
      <c r="B166" s="61" t="s">
        <v>21</v>
      </c>
      <c r="C166" s="61">
        <v>1</v>
      </c>
      <c r="D166" s="61" t="s">
        <v>82</v>
      </c>
      <c r="E166" s="61" t="s">
        <v>167</v>
      </c>
      <c r="F166" s="61"/>
      <c r="G166" s="62">
        <f>G167</f>
        <v>21304.199999999997</v>
      </c>
      <c r="H166" s="62">
        <f>H167</f>
        <v>17149.699999999997</v>
      </c>
      <c r="I166" s="62">
        <f>I167</f>
        <v>17149.699999999997</v>
      </c>
    </row>
    <row r="167" spans="1:9" ht="25.5" x14ac:dyDescent="0.2">
      <c r="A167" s="67" t="s">
        <v>138</v>
      </c>
      <c r="B167" s="64" t="s">
        <v>21</v>
      </c>
      <c r="C167" s="64">
        <v>1</v>
      </c>
      <c r="D167" s="64" t="s">
        <v>82</v>
      </c>
      <c r="E167" s="64" t="s">
        <v>167</v>
      </c>
      <c r="F167" s="64" t="s">
        <v>2</v>
      </c>
      <c r="G167" s="66">
        <f>11274.5+3405.6+427.3+55.9+11.9+5+1969.5+98+15+2690.7+33.7+386.3+325-125+97.8+15+618</f>
        <v>21304.199999999997</v>
      </c>
      <c r="H167" s="66">
        <f>11274.5+3405.6+427.3+55.9+11.9+5+1969.5</f>
        <v>17149.699999999997</v>
      </c>
      <c r="I167" s="66">
        <f>11274.5+3405.6+427.3+55.9+11.9+5+1969.5</f>
        <v>17149.699999999997</v>
      </c>
    </row>
    <row r="168" spans="1:9" s="11" customFormat="1" ht="25.5" x14ac:dyDescent="0.2">
      <c r="A168" s="10" t="s">
        <v>312</v>
      </c>
      <c r="B168" s="8" t="s">
        <v>21</v>
      </c>
      <c r="C168" s="8">
        <v>1</v>
      </c>
      <c r="D168" s="8" t="s">
        <v>82</v>
      </c>
      <c r="E168" s="8" t="s">
        <v>168</v>
      </c>
      <c r="F168" s="8"/>
      <c r="G168" s="9">
        <f>G169</f>
        <v>3430.1000000000004</v>
      </c>
      <c r="H168" s="9">
        <f t="shared" ref="H168:I168" si="21">H169</f>
        <v>2701.1</v>
      </c>
      <c r="I168" s="9">
        <f t="shared" si="21"/>
        <v>2701.1</v>
      </c>
    </row>
    <row r="169" spans="1:9" s="11" customFormat="1" ht="25.5" x14ac:dyDescent="0.2">
      <c r="A169" s="19" t="s">
        <v>138</v>
      </c>
      <c r="B169" s="15" t="s">
        <v>21</v>
      </c>
      <c r="C169" s="15">
        <v>1</v>
      </c>
      <c r="D169" s="15" t="s">
        <v>82</v>
      </c>
      <c r="E169" s="8" t="s">
        <v>168</v>
      </c>
      <c r="F169" s="16" t="s">
        <v>2</v>
      </c>
      <c r="G169" s="17">
        <f>2675.9+25.2+722.7+6.3</f>
        <v>3430.1000000000004</v>
      </c>
      <c r="H169" s="17">
        <f>2675.9+25.2</f>
        <v>2701.1</v>
      </c>
      <c r="I169" s="17">
        <f>2675.9+25.2</f>
        <v>2701.1</v>
      </c>
    </row>
    <row r="170" spans="1:9" s="11" customFormat="1" ht="25.5" x14ac:dyDescent="0.2">
      <c r="A170" s="10" t="s">
        <v>169</v>
      </c>
      <c r="B170" s="8" t="s">
        <v>21</v>
      </c>
      <c r="C170" s="8">
        <v>1</v>
      </c>
      <c r="D170" s="8" t="s">
        <v>82</v>
      </c>
      <c r="E170" s="8" t="s">
        <v>170</v>
      </c>
      <c r="F170" s="8"/>
      <c r="G170" s="9">
        <f>G171+G172</f>
        <v>148.69999999999999</v>
      </c>
      <c r="H170" s="9">
        <f>H171+H172</f>
        <v>148.69999999999999</v>
      </c>
      <c r="I170" s="9">
        <f>I171+I172</f>
        <v>148.69999999999999</v>
      </c>
    </row>
    <row r="171" spans="1:9" s="11" customFormat="1" ht="25.5" x14ac:dyDescent="0.2">
      <c r="A171" s="14" t="s">
        <v>87</v>
      </c>
      <c r="B171" s="15" t="s">
        <v>21</v>
      </c>
      <c r="C171" s="15">
        <v>1</v>
      </c>
      <c r="D171" s="15" t="s">
        <v>82</v>
      </c>
      <c r="E171" s="15" t="s">
        <v>170</v>
      </c>
      <c r="F171" s="16" t="s">
        <v>5</v>
      </c>
      <c r="G171" s="17">
        <f>20+45+24+23+25.2</f>
        <v>137.19999999999999</v>
      </c>
      <c r="H171" s="17">
        <f>20+45+24+23</f>
        <v>112</v>
      </c>
      <c r="I171" s="17">
        <f>20+45+24+23</f>
        <v>112</v>
      </c>
    </row>
    <row r="172" spans="1:9" s="11" customFormat="1" x14ac:dyDescent="0.2">
      <c r="A172" s="19" t="s">
        <v>6</v>
      </c>
      <c r="B172" s="15" t="s">
        <v>21</v>
      </c>
      <c r="C172" s="15">
        <v>1</v>
      </c>
      <c r="D172" s="15" t="s">
        <v>82</v>
      </c>
      <c r="E172" s="15" t="s">
        <v>170</v>
      </c>
      <c r="F172" s="16" t="s">
        <v>7</v>
      </c>
      <c r="G172" s="17">
        <f>36.7-25.2</f>
        <v>11.500000000000004</v>
      </c>
      <c r="H172" s="17">
        <v>36.700000000000003</v>
      </c>
      <c r="I172" s="17">
        <v>36.700000000000003</v>
      </c>
    </row>
    <row r="173" spans="1:9" s="11" customFormat="1" ht="37.5" customHeight="1" x14ac:dyDescent="0.2">
      <c r="A173" s="10" t="s">
        <v>313</v>
      </c>
      <c r="B173" s="8" t="s">
        <v>21</v>
      </c>
      <c r="C173" s="8">
        <v>1</v>
      </c>
      <c r="D173" s="8" t="s">
        <v>82</v>
      </c>
      <c r="E173" s="8" t="s">
        <v>171</v>
      </c>
      <c r="F173" s="8"/>
      <c r="G173" s="9">
        <f>G174+G175</f>
        <v>714</v>
      </c>
      <c r="H173" s="9">
        <f>H174+H175</f>
        <v>491.4</v>
      </c>
      <c r="I173" s="9">
        <f>I174+I175</f>
        <v>491.4</v>
      </c>
    </row>
    <row r="174" spans="1:9" s="11" customFormat="1" ht="51" x14ac:dyDescent="0.2">
      <c r="A174" s="14" t="s">
        <v>3</v>
      </c>
      <c r="B174" s="15" t="s">
        <v>21</v>
      </c>
      <c r="C174" s="15">
        <v>1</v>
      </c>
      <c r="D174" s="15" t="s">
        <v>82</v>
      </c>
      <c r="E174" s="15" t="s">
        <v>171</v>
      </c>
      <c r="F174" s="16" t="s">
        <v>4</v>
      </c>
      <c r="G174" s="17">
        <f>36.9+17.5</f>
        <v>54.4</v>
      </c>
      <c r="H174" s="17">
        <v>36.9</v>
      </c>
      <c r="I174" s="17">
        <v>36.9</v>
      </c>
    </row>
    <row r="175" spans="1:9" s="11" customFormat="1" ht="25.5" x14ac:dyDescent="0.2">
      <c r="A175" s="19" t="s">
        <v>138</v>
      </c>
      <c r="B175" s="15" t="s">
        <v>21</v>
      </c>
      <c r="C175" s="15">
        <v>1</v>
      </c>
      <c r="D175" s="15" t="s">
        <v>82</v>
      </c>
      <c r="E175" s="15" t="s">
        <v>171</v>
      </c>
      <c r="F175" s="15" t="s">
        <v>2</v>
      </c>
      <c r="G175" s="17">
        <f>454.5+205.1</f>
        <v>659.6</v>
      </c>
      <c r="H175" s="17">
        <v>454.5</v>
      </c>
      <c r="I175" s="17">
        <v>454.5</v>
      </c>
    </row>
    <row r="176" spans="1:9" ht="25.5" x14ac:dyDescent="0.2">
      <c r="A176" s="60" t="s">
        <v>172</v>
      </c>
      <c r="B176" s="61" t="s">
        <v>21</v>
      </c>
      <c r="C176" s="61">
        <v>1</v>
      </c>
      <c r="D176" s="61" t="s">
        <v>82</v>
      </c>
      <c r="E176" s="61" t="s">
        <v>173</v>
      </c>
      <c r="F176" s="61"/>
      <c r="G176" s="62">
        <f>G179+G178+G177</f>
        <v>757</v>
      </c>
      <c r="H176" s="62">
        <f t="shared" ref="H176:I176" si="22">H179+H178+H177</f>
        <v>430.5</v>
      </c>
      <c r="I176" s="62">
        <f t="shared" si="22"/>
        <v>430.5</v>
      </c>
    </row>
    <row r="177" spans="1:9" ht="51" x14ac:dyDescent="0.2">
      <c r="A177" s="63" t="s">
        <v>3</v>
      </c>
      <c r="B177" s="64" t="s">
        <v>21</v>
      </c>
      <c r="C177" s="64">
        <v>1</v>
      </c>
      <c r="D177" s="64" t="s">
        <v>82</v>
      </c>
      <c r="E177" s="64" t="s">
        <v>173</v>
      </c>
      <c r="F177" s="64" t="s">
        <v>4</v>
      </c>
      <c r="G177" s="66">
        <f>7.6+2.4+5+19.4+5.2</f>
        <v>39.6</v>
      </c>
      <c r="H177" s="66">
        <v>0</v>
      </c>
      <c r="I177" s="66">
        <v>0</v>
      </c>
    </row>
    <row r="178" spans="1:9" ht="25.5" x14ac:dyDescent="0.2">
      <c r="A178" s="63" t="s">
        <v>87</v>
      </c>
      <c r="B178" s="64" t="s">
        <v>21</v>
      </c>
      <c r="C178" s="64">
        <v>1</v>
      </c>
      <c r="D178" s="64" t="s">
        <v>82</v>
      </c>
      <c r="E178" s="64" t="s">
        <v>173</v>
      </c>
      <c r="F178" s="64" t="s">
        <v>5</v>
      </c>
      <c r="G178" s="66">
        <f>48.9+21.3-2.2-5.2</f>
        <v>62.8</v>
      </c>
      <c r="H178" s="66">
        <v>0</v>
      </c>
      <c r="I178" s="66">
        <v>0</v>
      </c>
    </row>
    <row r="179" spans="1:9" ht="25.5" x14ac:dyDescent="0.2">
      <c r="A179" s="67" t="s">
        <v>138</v>
      </c>
      <c r="B179" s="64" t="s">
        <v>21</v>
      </c>
      <c r="C179" s="64">
        <v>1</v>
      </c>
      <c r="D179" s="64" t="s">
        <v>82</v>
      </c>
      <c r="E179" s="64" t="s">
        <v>173</v>
      </c>
      <c r="F179" s="64" t="s">
        <v>2</v>
      </c>
      <c r="G179" s="66">
        <f>430.5-48.9-7.6-13.2-2.4+0.2+2.2-60-69.2+423</f>
        <v>654.6</v>
      </c>
      <c r="H179" s="66">
        <v>430.5</v>
      </c>
      <c r="I179" s="66">
        <v>430.5</v>
      </c>
    </row>
    <row r="180" spans="1:9" s="11" customFormat="1" ht="51" x14ac:dyDescent="0.2">
      <c r="A180" s="55" t="s">
        <v>332</v>
      </c>
      <c r="B180" s="8" t="s">
        <v>21</v>
      </c>
      <c r="C180" s="8">
        <v>1</v>
      </c>
      <c r="D180" s="8" t="s">
        <v>82</v>
      </c>
      <c r="E180" s="8">
        <v>71800</v>
      </c>
      <c r="F180" s="8"/>
      <c r="G180" s="9">
        <f>G183+G181+G182</f>
        <v>228955.19999999995</v>
      </c>
      <c r="H180" s="9">
        <f t="shared" ref="H180:I180" si="23">H183+H181+H182</f>
        <v>216433.3</v>
      </c>
      <c r="I180" s="9">
        <f t="shared" si="23"/>
        <v>216433.3</v>
      </c>
    </row>
    <row r="181" spans="1:9" ht="51" x14ac:dyDescent="0.2">
      <c r="A181" s="63" t="s">
        <v>3</v>
      </c>
      <c r="B181" s="64" t="s">
        <v>21</v>
      </c>
      <c r="C181" s="64">
        <v>1</v>
      </c>
      <c r="D181" s="64" t="s">
        <v>82</v>
      </c>
      <c r="E181" s="64">
        <v>71800</v>
      </c>
      <c r="F181" s="65" t="s">
        <v>4</v>
      </c>
      <c r="G181" s="66">
        <f>21839+6595.4+2952.7+891.7+3741.2+753.3-308.5+150.4+1015.6</f>
        <v>37630.800000000003</v>
      </c>
      <c r="H181" s="66">
        <f>21839+6595.4+2952.7+891.7</f>
        <v>32278.800000000003</v>
      </c>
      <c r="I181" s="66">
        <f>21839+6595.4+2952.7+891.7</f>
        <v>32278.800000000003</v>
      </c>
    </row>
    <row r="182" spans="1:9" s="11" customFormat="1" ht="25.5" x14ac:dyDescent="0.2">
      <c r="A182" s="14" t="s">
        <v>87</v>
      </c>
      <c r="B182" s="15" t="s">
        <v>21</v>
      </c>
      <c r="C182" s="15">
        <v>1</v>
      </c>
      <c r="D182" s="15" t="s">
        <v>82</v>
      </c>
      <c r="E182" s="15">
        <v>71800</v>
      </c>
      <c r="F182" s="16" t="s">
        <v>5</v>
      </c>
      <c r="G182" s="17">
        <f>21+43.7+30+20+27.9+1.3+1.4</f>
        <v>145.30000000000001</v>
      </c>
      <c r="H182" s="17">
        <f>21+43.7+30+20</f>
        <v>114.7</v>
      </c>
      <c r="I182" s="17">
        <f>21+43.7+30+20</f>
        <v>114.7</v>
      </c>
    </row>
    <row r="183" spans="1:9" s="93" customFormat="1" ht="25.5" x14ac:dyDescent="0.2">
      <c r="A183" s="67" t="s">
        <v>138</v>
      </c>
      <c r="B183" s="64" t="s">
        <v>21</v>
      </c>
      <c r="C183" s="64">
        <v>1</v>
      </c>
      <c r="D183" s="64" t="s">
        <v>82</v>
      </c>
      <c r="E183" s="64">
        <v>71800</v>
      </c>
      <c r="F183" s="64" t="s">
        <v>2</v>
      </c>
      <c r="G183" s="66">
        <f>111038.5+33533.6+358.5+218.7+150+492.3+12536.5+3786+30+30.3+36.5+75+15013.1+4533.9+1695+511.9-3769.1+4814.4-1.4+308.5+52.3-202.7+5937.3</f>
        <v>191179.09999999995</v>
      </c>
      <c r="H183" s="66">
        <f>111038.5+33533.6+358.5+218.7+150+492.3+12536.5+3786+30+30.3+36.5+75+15013.1+4533.9+1695+511.9</f>
        <v>184039.8</v>
      </c>
      <c r="I183" s="66">
        <f>111038.5+33533.6+358.5+218.7+150+492.3+12536.5+3786+30+30.3+36.5+75+15013.1+4533.9+1695+511.9</f>
        <v>184039.8</v>
      </c>
    </row>
    <row r="184" spans="1:9" s="11" customFormat="1" ht="25.5" x14ac:dyDescent="0.2">
      <c r="A184" s="10" t="s">
        <v>174</v>
      </c>
      <c r="B184" s="8" t="s">
        <v>21</v>
      </c>
      <c r="C184" s="8">
        <v>1</v>
      </c>
      <c r="D184" s="8" t="s">
        <v>82</v>
      </c>
      <c r="E184" s="8">
        <v>71820</v>
      </c>
      <c r="F184" s="8"/>
      <c r="G184" s="9">
        <f>G185+G187+G186</f>
        <v>46581.30000000001</v>
      </c>
      <c r="H184" s="9">
        <f>H185+H187+H186</f>
        <v>49380.800000000003</v>
      </c>
      <c r="I184" s="9">
        <f>I185+I187+I186</f>
        <v>49380.800000000003</v>
      </c>
    </row>
    <row r="185" spans="1:9" ht="51" x14ac:dyDescent="0.2">
      <c r="A185" s="63" t="s">
        <v>3</v>
      </c>
      <c r="B185" s="64" t="s">
        <v>21</v>
      </c>
      <c r="C185" s="64">
        <v>1</v>
      </c>
      <c r="D185" s="64" t="s">
        <v>82</v>
      </c>
      <c r="E185" s="64">
        <v>71820</v>
      </c>
      <c r="F185" s="65" t="s">
        <v>4</v>
      </c>
      <c r="G185" s="66">
        <f>29001.8+8758.5+5+114.5+34.6-3580+26.3+2.9-1503+110.6</f>
        <v>32971.200000000004</v>
      </c>
      <c r="H185" s="66">
        <f>29001.8+8758.5+5+114.5+34.6</f>
        <v>37914.400000000001</v>
      </c>
      <c r="I185" s="66">
        <f>29001.8+8758.5+5+114.5+34.6</f>
        <v>37914.400000000001</v>
      </c>
    </row>
    <row r="186" spans="1:9" ht="25.5" x14ac:dyDescent="0.2">
      <c r="A186" s="63" t="s">
        <v>87</v>
      </c>
      <c r="B186" s="64" t="s">
        <v>21</v>
      </c>
      <c r="C186" s="64" t="s">
        <v>32</v>
      </c>
      <c r="D186" s="64" t="s">
        <v>82</v>
      </c>
      <c r="E186" s="64">
        <v>71820</v>
      </c>
      <c r="F186" s="65" t="s">
        <v>5</v>
      </c>
      <c r="G186" s="66">
        <f>28+351.8+2783.6+779.5+95.3+26.1+11+722.2+4314.7+20+960.5+142+350.6+30+36.1+94.8-26.3-2.9+736.2+575.1</f>
        <v>12028.300000000003</v>
      </c>
      <c r="H186" s="66">
        <f>28+351.8+2783.6+779.5+95.3+26.1+11+722.2+4314.7+20+960.5+142+350.6+30+36.1</f>
        <v>10651.400000000001</v>
      </c>
      <c r="I186" s="66">
        <f>28+351.8+2783.6+779.5+95.3+26.1+11+722.2+4314.7+20+960.5+142+350.6+30+36.1</f>
        <v>10651.400000000001</v>
      </c>
    </row>
    <row r="187" spans="1:9" s="11" customFormat="1" x14ac:dyDescent="0.2">
      <c r="A187" s="19" t="s">
        <v>9</v>
      </c>
      <c r="B187" s="15" t="s">
        <v>21</v>
      </c>
      <c r="C187" s="15">
        <v>1</v>
      </c>
      <c r="D187" s="15" t="s">
        <v>82</v>
      </c>
      <c r="E187" s="15">
        <v>71820</v>
      </c>
      <c r="F187" s="15" t="s">
        <v>10</v>
      </c>
      <c r="G187" s="17">
        <f>5+800+5+5+766.8</f>
        <v>1581.8</v>
      </c>
      <c r="H187" s="17">
        <f>5+800+5+5</f>
        <v>815</v>
      </c>
      <c r="I187" s="17">
        <f>5+800+5+5</f>
        <v>815</v>
      </c>
    </row>
    <row r="188" spans="1:9" s="11" customFormat="1" ht="63.75" x14ac:dyDescent="0.2">
      <c r="A188" s="10" t="s">
        <v>175</v>
      </c>
      <c r="B188" s="8" t="s">
        <v>21</v>
      </c>
      <c r="C188" s="8">
        <v>1</v>
      </c>
      <c r="D188" s="8" t="s">
        <v>82</v>
      </c>
      <c r="E188" s="8">
        <v>71830</v>
      </c>
      <c r="F188" s="8"/>
      <c r="G188" s="9">
        <f>G191+G190+G189</f>
        <v>370217.80000000005</v>
      </c>
      <c r="H188" s="9">
        <f>H191+H190+H189</f>
        <v>350381.30000000005</v>
      </c>
      <c r="I188" s="9">
        <f>I191+I190+I189</f>
        <v>350381.30000000005</v>
      </c>
    </row>
    <row r="189" spans="1:9" ht="51" x14ac:dyDescent="0.2">
      <c r="A189" s="63" t="s">
        <v>3</v>
      </c>
      <c r="B189" s="64" t="s">
        <v>21</v>
      </c>
      <c r="C189" s="64">
        <v>1</v>
      </c>
      <c r="D189" s="64" t="s">
        <v>82</v>
      </c>
      <c r="E189" s="64">
        <v>71830</v>
      </c>
      <c r="F189" s="65" t="s">
        <v>4</v>
      </c>
      <c r="G189" s="66">
        <f>46870+14154.7+3692+1114.9+3397.6+221.7-2655</f>
        <v>66795.899999999994</v>
      </c>
      <c r="H189" s="66">
        <f>46870+14154.7+3692+1114.9</f>
        <v>65831.599999999991</v>
      </c>
      <c r="I189" s="66">
        <f>46870+14154.7+3692+1114.9</f>
        <v>65831.599999999991</v>
      </c>
    </row>
    <row r="190" spans="1:9" ht="25.5" x14ac:dyDescent="0.2">
      <c r="A190" s="63" t="s">
        <v>87</v>
      </c>
      <c r="B190" s="64" t="s">
        <v>21</v>
      </c>
      <c r="C190" s="64">
        <v>1</v>
      </c>
      <c r="D190" s="64" t="s">
        <v>82</v>
      </c>
      <c r="E190" s="64">
        <v>71830</v>
      </c>
      <c r="F190" s="65" t="s">
        <v>5</v>
      </c>
      <c r="G190" s="66">
        <f>1570.2+6.9+51.2+40.4+9+78.5+207.6+20.5</f>
        <v>1984.3000000000002</v>
      </c>
      <c r="H190" s="66">
        <f>1570.2+6.9+51.2+40.4+9+78.5</f>
        <v>1756.2000000000003</v>
      </c>
      <c r="I190" s="66">
        <f>1570.2+6.9+51.2+40.4+9+78.5</f>
        <v>1756.2000000000003</v>
      </c>
    </row>
    <row r="191" spans="1:9" ht="25.5" x14ac:dyDescent="0.2">
      <c r="A191" s="67" t="s">
        <v>138</v>
      </c>
      <c r="B191" s="64" t="s">
        <v>21</v>
      </c>
      <c r="C191" s="64">
        <v>1</v>
      </c>
      <c r="D191" s="64" t="s">
        <v>82</v>
      </c>
      <c r="E191" s="64">
        <v>71830</v>
      </c>
      <c r="F191" s="64" t="s">
        <v>2</v>
      </c>
      <c r="G191" s="66">
        <f>182265.5+55044.2+1832.9+360+227.2+20.8+135+2800.5+14983+4524.9+24.4+19.9+41.1+15+251.7+14357+4335.8+17.6+1180.2+356.4+0.4+11798.7+4190.4+2655</f>
        <v>301437.60000000009</v>
      </c>
      <c r="H191" s="66">
        <f>182265.5+55044.2+1832.9+360+227.2+20.8+135+2800.5+14983+4524.9+24.4+19.9+41.1+15+251.7+14357+4335.8+17.6+1180.2+356.4+0.4</f>
        <v>282793.50000000006</v>
      </c>
      <c r="I191" s="66">
        <f>182265.5+55044.2+1832.9+360+227.2+20.8+135+2800.5+14983+4524.9+24.4+19.9+41.1+15+251.7+14357+4335.8+17.6+1180.2+356.4+0.4</f>
        <v>282793.50000000006</v>
      </c>
    </row>
    <row r="192" spans="1:9" s="11" customFormat="1" ht="38.25" x14ac:dyDescent="0.2">
      <c r="A192" s="10" t="s">
        <v>176</v>
      </c>
      <c r="B192" s="8" t="s">
        <v>21</v>
      </c>
      <c r="C192" s="8">
        <v>1</v>
      </c>
      <c r="D192" s="8" t="s">
        <v>82</v>
      </c>
      <c r="E192" s="8">
        <v>71840</v>
      </c>
      <c r="F192" s="8"/>
      <c r="G192" s="9">
        <f>G193</f>
        <v>3738</v>
      </c>
      <c r="H192" s="9">
        <f t="shared" ref="H192:I192" si="24">H193</f>
        <v>3738</v>
      </c>
      <c r="I192" s="9">
        <f t="shared" si="24"/>
        <v>3738</v>
      </c>
    </row>
    <row r="193" spans="1:9" s="11" customFormat="1" ht="25.5" x14ac:dyDescent="0.2">
      <c r="A193" s="14" t="s">
        <v>87</v>
      </c>
      <c r="B193" s="15" t="s">
        <v>21</v>
      </c>
      <c r="C193" s="15">
        <v>1</v>
      </c>
      <c r="D193" s="15" t="s">
        <v>82</v>
      </c>
      <c r="E193" s="15">
        <v>71840</v>
      </c>
      <c r="F193" s="16" t="s">
        <v>5</v>
      </c>
      <c r="G193" s="17">
        <v>3738</v>
      </c>
      <c r="H193" s="17">
        <v>3738</v>
      </c>
      <c r="I193" s="17">
        <v>3738</v>
      </c>
    </row>
    <row r="194" spans="1:9" s="11" customFormat="1" ht="25.5" x14ac:dyDescent="0.2">
      <c r="A194" s="10" t="s">
        <v>177</v>
      </c>
      <c r="B194" s="15" t="s">
        <v>21</v>
      </c>
      <c r="C194" s="8" t="s">
        <v>32</v>
      </c>
      <c r="D194" s="8" t="s">
        <v>82</v>
      </c>
      <c r="E194" s="8" t="s">
        <v>88</v>
      </c>
      <c r="F194" s="8"/>
      <c r="G194" s="9">
        <f>G196+G195</f>
        <v>365</v>
      </c>
      <c r="H194" s="9">
        <f t="shared" ref="H194:I194" si="25">H196+H195</f>
        <v>365</v>
      </c>
      <c r="I194" s="9">
        <f t="shared" si="25"/>
        <v>365</v>
      </c>
    </row>
    <row r="195" spans="1:9" s="11" customFormat="1" ht="25.5" x14ac:dyDescent="0.2">
      <c r="A195" s="14" t="s">
        <v>87</v>
      </c>
      <c r="B195" s="15" t="s">
        <v>21</v>
      </c>
      <c r="C195" s="15" t="s">
        <v>32</v>
      </c>
      <c r="D195" s="15" t="s">
        <v>82</v>
      </c>
      <c r="E195" s="8" t="s">
        <v>88</v>
      </c>
      <c r="F195" s="15" t="s">
        <v>5</v>
      </c>
      <c r="G195" s="17">
        <f>29.5+28.2</f>
        <v>57.7</v>
      </c>
      <c r="H195" s="17">
        <f>29.5+28.2</f>
        <v>57.7</v>
      </c>
      <c r="I195" s="17">
        <f>29.5+28.2</f>
        <v>57.7</v>
      </c>
    </row>
    <row r="196" spans="1:9" s="11" customFormat="1" ht="25.5" x14ac:dyDescent="0.2">
      <c r="A196" s="19" t="s">
        <v>138</v>
      </c>
      <c r="B196" s="15" t="s">
        <v>21</v>
      </c>
      <c r="C196" s="15" t="s">
        <v>32</v>
      </c>
      <c r="D196" s="15" t="s">
        <v>82</v>
      </c>
      <c r="E196" s="8" t="s">
        <v>88</v>
      </c>
      <c r="F196" s="15" t="s">
        <v>2</v>
      </c>
      <c r="G196" s="17">
        <f>88.4+84.4+9.8+9.4+59+56.3</f>
        <v>307.3</v>
      </c>
      <c r="H196" s="17">
        <f>88.4+84.4+9.8+9.4+59+56.3</f>
        <v>307.3</v>
      </c>
      <c r="I196" s="17">
        <f>88.4+84.4+9.8+9.4+59+56.3</f>
        <v>307.3</v>
      </c>
    </row>
    <row r="197" spans="1:9" s="11" customFormat="1" ht="25.5" x14ac:dyDescent="0.2">
      <c r="A197" s="10" t="s">
        <v>178</v>
      </c>
      <c r="B197" s="15" t="s">
        <v>21</v>
      </c>
      <c r="C197" s="8" t="s">
        <v>32</v>
      </c>
      <c r="D197" s="8" t="s">
        <v>82</v>
      </c>
      <c r="E197" s="8" t="s">
        <v>85</v>
      </c>
      <c r="F197" s="8"/>
      <c r="G197" s="9">
        <f>G199+G198</f>
        <v>4103</v>
      </c>
      <c r="H197" s="9">
        <f t="shared" ref="H197:I197" si="26">H199+H198</f>
        <v>3873</v>
      </c>
      <c r="I197" s="9">
        <f t="shared" si="26"/>
        <v>3873</v>
      </c>
    </row>
    <row r="198" spans="1:9" s="11" customFormat="1" ht="25.5" x14ac:dyDescent="0.2">
      <c r="A198" s="14" t="s">
        <v>87</v>
      </c>
      <c r="B198" s="15" t="s">
        <v>21</v>
      </c>
      <c r="C198" s="15" t="s">
        <v>32</v>
      </c>
      <c r="D198" s="15" t="s">
        <v>82</v>
      </c>
      <c r="E198" s="15" t="s">
        <v>85</v>
      </c>
      <c r="F198" s="15" t="s">
        <v>5</v>
      </c>
      <c r="G198" s="17">
        <f>87+3-22.5</f>
        <v>67.5</v>
      </c>
      <c r="H198" s="17">
        <v>87</v>
      </c>
      <c r="I198" s="17">
        <v>87</v>
      </c>
    </row>
    <row r="199" spans="1:9" ht="25.5" x14ac:dyDescent="0.2">
      <c r="A199" s="67" t="s">
        <v>138</v>
      </c>
      <c r="B199" s="64" t="s">
        <v>21</v>
      </c>
      <c r="C199" s="64" t="s">
        <v>32</v>
      </c>
      <c r="D199" s="64" t="s">
        <v>82</v>
      </c>
      <c r="E199" s="64" t="s">
        <v>85</v>
      </c>
      <c r="F199" s="64" t="s">
        <v>2</v>
      </c>
      <c r="G199" s="66">
        <f>58.4+3412.6+315+149-3-30.5+53+81</f>
        <v>4035.5</v>
      </c>
      <c r="H199" s="66">
        <f t="shared" ref="H199:I199" si="27">58.4+3412.6+315</f>
        <v>3786</v>
      </c>
      <c r="I199" s="66">
        <f t="shared" si="27"/>
        <v>3786</v>
      </c>
    </row>
    <row r="200" spans="1:9" x14ac:dyDescent="0.2">
      <c r="A200" s="75" t="s">
        <v>51</v>
      </c>
      <c r="B200" s="69" t="s">
        <v>21</v>
      </c>
      <c r="C200" s="69" t="s">
        <v>33</v>
      </c>
      <c r="D200" s="69"/>
      <c r="E200" s="69"/>
      <c r="F200" s="69"/>
      <c r="G200" s="71">
        <f>SUM(G201,G204,G208,G215,G218,G220,G222,G224,G227,G229)+G212+G206</f>
        <v>45530.22</v>
      </c>
      <c r="H200" s="71">
        <f t="shared" ref="H200:I200" si="28">SUM(H201,H204,H208,H215,H218,H220,H222,H224,H227,H229)+H212+H206</f>
        <v>46640.9</v>
      </c>
      <c r="I200" s="71">
        <f t="shared" si="28"/>
        <v>46352.9</v>
      </c>
    </row>
    <row r="201" spans="1:9" x14ac:dyDescent="0.2">
      <c r="A201" s="60" t="s">
        <v>314</v>
      </c>
      <c r="B201" s="61" t="s">
        <v>21</v>
      </c>
      <c r="C201" s="61">
        <v>2</v>
      </c>
      <c r="D201" s="61" t="s">
        <v>82</v>
      </c>
      <c r="E201" s="61" t="s">
        <v>181</v>
      </c>
      <c r="F201" s="61"/>
      <c r="G201" s="62">
        <f>G203+G202</f>
        <v>252.01999999999998</v>
      </c>
      <c r="H201" s="62">
        <f>H203+H202</f>
        <v>250</v>
      </c>
      <c r="I201" s="62">
        <f>I203+I202</f>
        <v>250</v>
      </c>
    </row>
    <row r="202" spans="1:9" s="11" customFormat="1" x14ac:dyDescent="0.2">
      <c r="A202" s="19" t="s">
        <v>6</v>
      </c>
      <c r="B202" s="8" t="s">
        <v>21</v>
      </c>
      <c r="C202" s="8">
        <v>2</v>
      </c>
      <c r="D202" s="8" t="s">
        <v>82</v>
      </c>
      <c r="E202" s="8" t="s">
        <v>181</v>
      </c>
      <c r="F202" s="15" t="s">
        <v>7</v>
      </c>
      <c r="G202" s="17">
        <f>2-2+2</f>
        <v>2</v>
      </c>
      <c r="H202" s="17">
        <v>2</v>
      </c>
      <c r="I202" s="17">
        <v>2</v>
      </c>
    </row>
    <row r="203" spans="1:9" ht="25.5" x14ac:dyDescent="0.2">
      <c r="A203" s="67" t="s">
        <v>138</v>
      </c>
      <c r="B203" s="61" t="s">
        <v>21</v>
      </c>
      <c r="C203" s="61">
        <v>2</v>
      </c>
      <c r="D203" s="61" t="s">
        <v>82</v>
      </c>
      <c r="E203" s="61" t="s">
        <v>181</v>
      </c>
      <c r="F203" s="64" t="s">
        <v>2</v>
      </c>
      <c r="G203" s="66">
        <f>248-248+248-58-70.68+130.7</f>
        <v>250.01999999999998</v>
      </c>
      <c r="H203" s="66">
        <v>248</v>
      </c>
      <c r="I203" s="66">
        <v>248</v>
      </c>
    </row>
    <row r="204" spans="1:9" s="11" customFormat="1" ht="25.5" x14ac:dyDescent="0.2">
      <c r="A204" s="10" t="s">
        <v>182</v>
      </c>
      <c r="B204" s="8" t="s">
        <v>21</v>
      </c>
      <c r="C204" s="8">
        <v>2</v>
      </c>
      <c r="D204" s="8" t="s">
        <v>82</v>
      </c>
      <c r="E204" s="8">
        <v>52600</v>
      </c>
      <c r="F204" s="8"/>
      <c r="G204" s="9">
        <f>G205</f>
        <v>1200</v>
      </c>
      <c r="H204" s="9">
        <f t="shared" ref="H204:I204" si="29">H205</f>
        <v>1288</v>
      </c>
      <c r="I204" s="9">
        <f t="shared" si="29"/>
        <v>1000</v>
      </c>
    </row>
    <row r="205" spans="1:9" s="18" customFormat="1" x14ac:dyDescent="0.2">
      <c r="A205" s="19" t="s">
        <v>6</v>
      </c>
      <c r="B205" s="15" t="s">
        <v>21</v>
      </c>
      <c r="C205" s="15">
        <v>2</v>
      </c>
      <c r="D205" s="15" t="s">
        <v>82</v>
      </c>
      <c r="E205" s="15">
        <v>52600</v>
      </c>
      <c r="F205" s="15" t="s">
        <v>7</v>
      </c>
      <c r="G205" s="17">
        <v>1200</v>
      </c>
      <c r="H205" s="17">
        <v>1288</v>
      </c>
      <c r="I205" s="17">
        <v>1000</v>
      </c>
    </row>
    <row r="206" spans="1:9" s="11" customFormat="1" x14ac:dyDescent="0.2">
      <c r="A206" s="10" t="s">
        <v>179</v>
      </c>
      <c r="B206" s="8" t="s">
        <v>21</v>
      </c>
      <c r="C206" s="8">
        <v>2</v>
      </c>
      <c r="D206" s="8" t="s">
        <v>82</v>
      </c>
      <c r="E206" s="8" t="s">
        <v>90</v>
      </c>
      <c r="F206" s="8"/>
      <c r="G206" s="9">
        <f>G207</f>
        <v>193</v>
      </c>
      <c r="H206" s="9">
        <f>H207</f>
        <v>193</v>
      </c>
      <c r="I206" s="9">
        <f>I207</f>
        <v>193</v>
      </c>
    </row>
    <row r="207" spans="1:9" s="11" customFormat="1" ht="51" x14ac:dyDescent="0.2">
      <c r="A207" s="14" t="s">
        <v>3</v>
      </c>
      <c r="B207" s="8" t="s">
        <v>21</v>
      </c>
      <c r="C207" s="8">
        <v>2</v>
      </c>
      <c r="D207" s="8" t="s">
        <v>82</v>
      </c>
      <c r="E207" s="16" t="s">
        <v>90</v>
      </c>
      <c r="F207" s="16" t="s">
        <v>4</v>
      </c>
      <c r="G207" s="17">
        <f>195.4-2.4</f>
        <v>193</v>
      </c>
      <c r="H207" s="17">
        <v>193</v>
      </c>
      <c r="I207" s="17">
        <v>193</v>
      </c>
    </row>
    <row r="208" spans="1:9" ht="38.25" x14ac:dyDescent="0.2">
      <c r="A208" s="60" t="s">
        <v>183</v>
      </c>
      <c r="B208" s="61" t="s">
        <v>21</v>
      </c>
      <c r="C208" s="61">
        <v>2</v>
      </c>
      <c r="D208" s="61" t="s">
        <v>82</v>
      </c>
      <c r="E208" s="61">
        <v>71810</v>
      </c>
      <c r="F208" s="61"/>
      <c r="G208" s="62">
        <f>G210+G211+G209</f>
        <v>3205</v>
      </c>
      <c r="H208" s="62">
        <f>H210+H211+H209</f>
        <v>3754</v>
      </c>
      <c r="I208" s="62">
        <f>I210+I211+I209</f>
        <v>3754</v>
      </c>
    </row>
    <row r="209" spans="1:9" ht="25.5" x14ac:dyDescent="0.2">
      <c r="A209" s="63" t="s">
        <v>87</v>
      </c>
      <c r="B209" s="64" t="s">
        <v>21</v>
      </c>
      <c r="C209" s="64">
        <v>2</v>
      </c>
      <c r="D209" s="64" t="s">
        <v>82</v>
      </c>
      <c r="E209" s="64">
        <v>71810</v>
      </c>
      <c r="F209" s="65" t="s">
        <v>5</v>
      </c>
      <c r="G209" s="66">
        <f>3.2+0.7-0.406</f>
        <v>3.4940000000000002</v>
      </c>
      <c r="H209" s="66">
        <v>3.2</v>
      </c>
      <c r="I209" s="66">
        <v>3.2</v>
      </c>
    </row>
    <row r="210" spans="1:9" x14ac:dyDescent="0.2">
      <c r="A210" s="67" t="s">
        <v>6</v>
      </c>
      <c r="B210" s="64" t="s">
        <v>21</v>
      </c>
      <c r="C210" s="64">
        <v>2</v>
      </c>
      <c r="D210" s="64" t="s">
        <v>82</v>
      </c>
      <c r="E210" s="64">
        <v>71810</v>
      </c>
      <c r="F210" s="79">
        <v>300</v>
      </c>
      <c r="G210" s="66">
        <f>320+74.7-40.564</f>
        <v>354.13599999999997</v>
      </c>
      <c r="H210" s="66">
        <v>320</v>
      </c>
      <c r="I210" s="66">
        <v>320</v>
      </c>
    </row>
    <row r="211" spans="1:9" ht="25.5" x14ac:dyDescent="0.2">
      <c r="A211" s="67" t="s">
        <v>138</v>
      </c>
      <c r="B211" s="64" t="s">
        <v>21</v>
      </c>
      <c r="C211" s="64">
        <v>2</v>
      </c>
      <c r="D211" s="64" t="s">
        <v>82</v>
      </c>
      <c r="E211" s="64">
        <v>71810</v>
      </c>
      <c r="F211" s="64" t="s">
        <v>2</v>
      </c>
      <c r="G211" s="66">
        <f>31+3066.5+3.3+330-75.4-508.03</f>
        <v>2847.37</v>
      </c>
      <c r="H211" s="66">
        <f>31+3066.5+3.3+330</f>
        <v>3430.8</v>
      </c>
      <c r="I211" s="66">
        <f>31+3066.5+3.3+330</f>
        <v>3430.8</v>
      </c>
    </row>
    <row r="212" spans="1:9" s="11" customFormat="1" ht="25.5" x14ac:dyDescent="0.2">
      <c r="A212" s="10" t="s">
        <v>180</v>
      </c>
      <c r="B212" s="8" t="s">
        <v>21</v>
      </c>
      <c r="C212" s="8">
        <v>2</v>
      </c>
      <c r="D212" s="8" t="s">
        <v>82</v>
      </c>
      <c r="E212" s="8" t="s">
        <v>89</v>
      </c>
      <c r="F212" s="8"/>
      <c r="G212" s="9">
        <f>G214+G213</f>
        <v>1209</v>
      </c>
      <c r="H212" s="9">
        <f>H214+H213</f>
        <v>1186</v>
      </c>
      <c r="I212" s="9">
        <f>I214+I213</f>
        <v>1186</v>
      </c>
    </row>
    <row r="213" spans="1:9" s="4" customFormat="1" x14ac:dyDescent="0.2">
      <c r="A213" s="19" t="s">
        <v>6</v>
      </c>
      <c r="B213" s="8" t="s">
        <v>21</v>
      </c>
      <c r="C213" s="8">
        <v>2</v>
      </c>
      <c r="D213" s="8" t="s">
        <v>82</v>
      </c>
      <c r="E213" s="8" t="s">
        <v>89</v>
      </c>
      <c r="F213" s="15" t="s">
        <v>7</v>
      </c>
      <c r="G213" s="17">
        <f>50-18.4374</f>
        <v>31.5626</v>
      </c>
      <c r="H213" s="17">
        <v>50</v>
      </c>
      <c r="I213" s="17">
        <v>50</v>
      </c>
    </row>
    <row r="214" spans="1:9" s="11" customFormat="1" ht="25.5" x14ac:dyDescent="0.2">
      <c r="A214" s="19" t="s">
        <v>138</v>
      </c>
      <c r="B214" s="8" t="s">
        <v>21</v>
      </c>
      <c r="C214" s="8">
        <v>2</v>
      </c>
      <c r="D214" s="8" t="s">
        <v>82</v>
      </c>
      <c r="E214" s="8" t="s">
        <v>89</v>
      </c>
      <c r="F214" s="15" t="s">
        <v>2</v>
      </c>
      <c r="G214" s="17">
        <f>992.5+143.5+23-0.0026+18.44</f>
        <v>1177.4374</v>
      </c>
      <c r="H214" s="17">
        <f>992.5+143.5</f>
        <v>1136</v>
      </c>
      <c r="I214" s="17">
        <f>992.5+143.5</f>
        <v>1136</v>
      </c>
    </row>
    <row r="215" spans="1:9" s="11" customFormat="1" ht="25.5" x14ac:dyDescent="0.2">
      <c r="A215" s="10" t="s">
        <v>331</v>
      </c>
      <c r="B215" s="8" t="s">
        <v>21</v>
      </c>
      <c r="C215" s="8">
        <v>2</v>
      </c>
      <c r="D215" s="8" t="s">
        <v>82</v>
      </c>
      <c r="E215" s="8">
        <v>72010</v>
      </c>
      <c r="F215" s="8"/>
      <c r="G215" s="9">
        <f>G216+G217</f>
        <v>1800</v>
      </c>
      <c r="H215" s="9">
        <f t="shared" ref="H215:I215" si="30">H216+H217</f>
        <v>1800</v>
      </c>
      <c r="I215" s="9">
        <f t="shared" si="30"/>
        <v>1800</v>
      </c>
    </row>
    <row r="216" spans="1:9" s="11" customFormat="1" x14ac:dyDescent="0.2">
      <c r="A216" s="19" t="s">
        <v>6</v>
      </c>
      <c r="B216" s="15" t="s">
        <v>21</v>
      </c>
      <c r="C216" s="15">
        <v>2</v>
      </c>
      <c r="D216" s="15" t="s">
        <v>82</v>
      </c>
      <c r="E216" s="15">
        <v>72010</v>
      </c>
      <c r="F216" s="15" t="s">
        <v>7</v>
      </c>
      <c r="G216" s="17">
        <f>185+35.6</f>
        <v>220.6</v>
      </c>
      <c r="H216" s="17">
        <f>185+35.6</f>
        <v>220.6</v>
      </c>
      <c r="I216" s="17">
        <f>185+35.6</f>
        <v>220.6</v>
      </c>
    </row>
    <row r="217" spans="1:9" s="11" customFormat="1" ht="25.5" x14ac:dyDescent="0.2">
      <c r="A217" s="19" t="s">
        <v>138</v>
      </c>
      <c r="B217" s="15" t="s">
        <v>21</v>
      </c>
      <c r="C217" s="15">
        <v>2</v>
      </c>
      <c r="D217" s="15" t="s">
        <v>82</v>
      </c>
      <c r="E217" s="15">
        <v>72010</v>
      </c>
      <c r="F217" s="15" t="s">
        <v>2</v>
      </c>
      <c r="G217" s="17">
        <f>1499.4+80</f>
        <v>1579.4</v>
      </c>
      <c r="H217" s="17">
        <f>1499.4+80</f>
        <v>1579.4</v>
      </c>
      <c r="I217" s="17">
        <f>1499.4+80</f>
        <v>1579.4</v>
      </c>
    </row>
    <row r="218" spans="1:9" s="11" customFormat="1" ht="38.25" x14ac:dyDescent="0.2">
      <c r="A218" s="10" t="s">
        <v>184</v>
      </c>
      <c r="B218" s="8" t="s">
        <v>21</v>
      </c>
      <c r="C218" s="8">
        <v>2</v>
      </c>
      <c r="D218" s="8" t="s">
        <v>82</v>
      </c>
      <c r="E218" s="8">
        <v>72030</v>
      </c>
      <c r="F218" s="8"/>
      <c r="G218" s="9">
        <f>G219</f>
        <v>207</v>
      </c>
      <c r="H218" s="9">
        <f>H219</f>
        <v>207</v>
      </c>
      <c r="I218" s="9">
        <f>I219</f>
        <v>207</v>
      </c>
    </row>
    <row r="219" spans="1:9" s="11" customFormat="1" x14ac:dyDescent="0.2">
      <c r="A219" s="19" t="s">
        <v>6</v>
      </c>
      <c r="B219" s="15" t="s">
        <v>21</v>
      </c>
      <c r="C219" s="15">
        <v>2</v>
      </c>
      <c r="D219" s="15" t="s">
        <v>82</v>
      </c>
      <c r="E219" s="15">
        <v>72030</v>
      </c>
      <c r="F219" s="25">
        <v>300</v>
      </c>
      <c r="G219" s="17">
        <v>207</v>
      </c>
      <c r="H219" s="17">
        <v>207</v>
      </c>
      <c r="I219" s="17">
        <v>207</v>
      </c>
    </row>
    <row r="220" spans="1:9" s="11" customFormat="1" ht="51" x14ac:dyDescent="0.2">
      <c r="A220" s="10" t="s">
        <v>185</v>
      </c>
      <c r="B220" s="15" t="s">
        <v>21</v>
      </c>
      <c r="C220" s="15">
        <v>2</v>
      </c>
      <c r="D220" s="15" t="s">
        <v>82</v>
      </c>
      <c r="E220" s="15">
        <v>72040</v>
      </c>
      <c r="F220" s="8"/>
      <c r="G220" s="9">
        <f>G221</f>
        <v>66.199999999999989</v>
      </c>
      <c r="H220" s="9">
        <f>H221</f>
        <v>0</v>
      </c>
      <c r="I220" s="9">
        <f>I221</f>
        <v>0</v>
      </c>
    </row>
    <row r="221" spans="1:9" s="11" customFormat="1" x14ac:dyDescent="0.2">
      <c r="A221" s="19" t="s">
        <v>6</v>
      </c>
      <c r="B221" s="15" t="s">
        <v>21</v>
      </c>
      <c r="C221" s="15">
        <v>2</v>
      </c>
      <c r="D221" s="15" t="s">
        <v>82</v>
      </c>
      <c r="E221" s="15">
        <v>72040</v>
      </c>
      <c r="F221" s="25">
        <v>300</v>
      </c>
      <c r="G221" s="17">
        <f>387-320.8</f>
        <v>66.199999999999989</v>
      </c>
      <c r="H221" s="17">
        <f>387-387</f>
        <v>0</v>
      </c>
      <c r="I221" s="17">
        <f>387-387</f>
        <v>0</v>
      </c>
    </row>
    <row r="222" spans="1:9" s="11" customFormat="1" ht="38.25" x14ac:dyDescent="0.2">
      <c r="A222" s="21" t="s">
        <v>186</v>
      </c>
      <c r="B222" s="8" t="s">
        <v>21</v>
      </c>
      <c r="C222" s="8">
        <v>2</v>
      </c>
      <c r="D222" s="8" t="s">
        <v>82</v>
      </c>
      <c r="E222" s="8">
        <v>72050</v>
      </c>
      <c r="F222" s="8"/>
      <c r="G222" s="9">
        <f>G223</f>
        <v>570</v>
      </c>
      <c r="H222" s="9">
        <f t="shared" ref="H222:I222" si="31">H223</f>
        <v>570</v>
      </c>
      <c r="I222" s="9">
        <f t="shared" si="31"/>
        <v>570</v>
      </c>
    </row>
    <row r="223" spans="1:9" s="11" customFormat="1" x14ac:dyDescent="0.2">
      <c r="A223" s="19" t="s">
        <v>6</v>
      </c>
      <c r="B223" s="15" t="s">
        <v>21</v>
      </c>
      <c r="C223" s="15">
        <v>2</v>
      </c>
      <c r="D223" s="15" t="s">
        <v>82</v>
      </c>
      <c r="E223" s="15">
        <v>72050</v>
      </c>
      <c r="F223" s="15" t="s">
        <v>7</v>
      </c>
      <c r="G223" s="17">
        <v>570</v>
      </c>
      <c r="H223" s="17">
        <v>570</v>
      </c>
      <c r="I223" s="17">
        <v>570</v>
      </c>
    </row>
    <row r="224" spans="1:9" ht="25.5" x14ac:dyDescent="0.2">
      <c r="A224" s="81" t="s">
        <v>187</v>
      </c>
      <c r="B224" s="61" t="s">
        <v>21</v>
      </c>
      <c r="C224" s="61">
        <v>2</v>
      </c>
      <c r="D224" s="61" t="s">
        <v>82</v>
      </c>
      <c r="E224" s="61">
        <v>73050</v>
      </c>
      <c r="F224" s="61"/>
      <c r="G224" s="62">
        <f>G226+G225</f>
        <v>636</v>
      </c>
      <c r="H224" s="62">
        <f>H226+H225</f>
        <v>550.9</v>
      </c>
      <c r="I224" s="62">
        <f>I226+I225</f>
        <v>550.9</v>
      </c>
    </row>
    <row r="225" spans="1:9" ht="25.5" x14ac:dyDescent="0.2">
      <c r="A225" s="63" t="s">
        <v>87</v>
      </c>
      <c r="B225" s="64" t="s">
        <v>21</v>
      </c>
      <c r="C225" s="64">
        <v>2</v>
      </c>
      <c r="D225" s="64" t="s">
        <v>82</v>
      </c>
      <c r="E225" s="64">
        <v>73050</v>
      </c>
      <c r="F225" s="65" t="s">
        <v>5</v>
      </c>
      <c r="G225" s="66">
        <f>89.4+29.4</f>
        <v>118.80000000000001</v>
      </c>
      <c r="H225" s="66">
        <v>89.4</v>
      </c>
      <c r="I225" s="66">
        <v>89.4</v>
      </c>
    </row>
    <row r="226" spans="1:9" ht="25.5" x14ac:dyDescent="0.2">
      <c r="A226" s="67" t="s">
        <v>138</v>
      </c>
      <c r="B226" s="64" t="s">
        <v>21</v>
      </c>
      <c r="C226" s="64">
        <v>2</v>
      </c>
      <c r="D226" s="64" t="s">
        <v>82</v>
      </c>
      <c r="E226" s="64">
        <v>73050</v>
      </c>
      <c r="F226" s="64" t="s">
        <v>2</v>
      </c>
      <c r="G226" s="66">
        <f>432+29.5+55.7</f>
        <v>517.20000000000005</v>
      </c>
      <c r="H226" s="66">
        <f>432+29.5</f>
        <v>461.5</v>
      </c>
      <c r="I226" s="66">
        <f>432+29.5</f>
        <v>461.5</v>
      </c>
    </row>
    <row r="227" spans="1:9" s="11" customFormat="1" ht="63.75" x14ac:dyDescent="0.2">
      <c r="A227" s="10" t="s">
        <v>308</v>
      </c>
      <c r="B227" s="8" t="s">
        <v>21</v>
      </c>
      <c r="C227" s="8">
        <v>2</v>
      </c>
      <c r="D227" s="8" t="s">
        <v>82</v>
      </c>
      <c r="E227" s="8">
        <v>80120</v>
      </c>
      <c r="F227" s="8"/>
      <c r="G227" s="9">
        <f>G228</f>
        <v>350</v>
      </c>
      <c r="H227" s="9">
        <f t="shared" ref="H227:I227" si="32">H228</f>
        <v>1000</v>
      </c>
      <c r="I227" s="9">
        <f t="shared" si="32"/>
        <v>1000</v>
      </c>
    </row>
    <row r="228" spans="1:9" x14ac:dyDescent="0.2">
      <c r="A228" s="67" t="s">
        <v>6</v>
      </c>
      <c r="B228" s="64" t="s">
        <v>21</v>
      </c>
      <c r="C228" s="64">
        <v>2</v>
      </c>
      <c r="D228" s="64" t="s">
        <v>82</v>
      </c>
      <c r="E228" s="64">
        <v>80120</v>
      </c>
      <c r="F228" s="64" t="s">
        <v>7</v>
      </c>
      <c r="G228" s="66">
        <f>1000-650</f>
        <v>350</v>
      </c>
      <c r="H228" s="66">
        <v>1000</v>
      </c>
      <c r="I228" s="66">
        <v>1000</v>
      </c>
    </row>
    <row r="229" spans="1:9" s="11" customFormat="1" ht="102" x14ac:dyDescent="0.2">
      <c r="A229" s="55" t="s">
        <v>333</v>
      </c>
      <c r="B229" s="8" t="s">
        <v>21</v>
      </c>
      <c r="C229" s="8">
        <v>2</v>
      </c>
      <c r="D229" s="8" t="s">
        <v>82</v>
      </c>
      <c r="E229" s="8">
        <v>80130</v>
      </c>
      <c r="F229" s="8"/>
      <c r="G229" s="9">
        <f>G230</f>
        <v>35842</v>
      </c>
      <c r="H229" s="9">
        <f t="shared" ref="H229:I229" si="33">H230</f>
        <v>35842</v>
      </c>
      <c r="I229" s="9">
        <f t="shared" si="33"/>
        <v>35842</v>
      </c>
    </row>
    <row r="230" spans="1:9" s="11" customFormat="1" x14ac:dyDescent="0.2">
      <c r="A230" s="19" t="s">
        <v>6</v>
      </c>
      <c r="B230" s="15" t="s">
        <v>21</v>
      </c>
      <c r="C230" s="15">
        <v>2</v>
      </c>
      <c r="D230" s="15" t="s">
        <v>82</v>
      </c>
      <c r="E230" s="15">
        <v>80130</v>
      </c>
      <c r="F230" s="15" t="s">
        <v>7</v>
      </c>
      <c r="G230" s="17">
        <v>35842</v>
      </c>
      <c r="H230" s="17">
        <v>35842</v>
      </c>
      <c r="I230" s="17">
        <v>35842</v>
      </c>
    </row>
    <row r="231" spans="1:9" x14ac:dyDescent="0.2">
      <c r="A231" s="75" t="s">
        <v>52</v>
      </c>
      <c r="B231" s="76" t="s">
        <v>21</v>
      </c>
      <c r="C231" s="69" t="s">
        <v>34</v>
      </c>
      <c r="D231" s="69"/>
      <c r="E231" s="69"/>
      <c r="F231" s="69"/>
      <c r="G231" s="71">
        <f>SUM(G232,G235,G237,G242)</f>
        <v>74685.200000000012</v>
      </c>
      <c r="H231" s="71">
        <f>SUM(H232,H235,H237,H242)</f>
        <v>60415</v>
      </c>
      <c r="I231" s="71">
        <f>SUM(I232,I235,I237,I242)</f>
        <v>60415</v>
      </c>
    </row>
    <row r="232" spans="1:9" ht="25.5" x14ac:dyDescent="0.2">
      <c r="A232" s="60" t="s">
        <v>315</v>
      </c>
      <c r="B232" s="61" t="s">
        <v>21</v>
      </c>
      <c r="C232" s="61">
        <v>3</v>
      </c>
      <c r="D232" s="61" t="s">
        <v>82</v>
      </c>
      <c r="E232" s="61" t="s">
        <v>188</v>
      </c>
      <c r="F232" s="61"/>
      <c r="G232" s="62">
        <f>G233+G234</f>
        <v>3975.9</v>
      </c>
      <c r="H232" s="62">
        <f>H233+H234</f>
        <v>3563.4</v>
      </c>
      <c r="I232" s="62">
        <f>I233+I234</f>
        <v>3563.4</v>
      </c>
    </row>
    <row r="233" spans="1:9" s="11" customFormat="1" ht="51" x14ac:dyDescent="0.2">
      <c r="A233" s="14" t="s">
        <v>3</v>
      </c>
      <c r="B233" s="15" t="s">
        <v>21</v>
      </c>
      <c r="C233" s="15">
        <v>3</v>
      </c>
      <c r="D233" s="15" t="s">
        <v>82</v>
      </c>
      <c r="E233" s="15" t="s">
        <v>188</v>
      </c>
      <c r="F233" s="16" t="s">
        <v>4</v>
      </c>
      <c r="G233" s="17">
        <f>3479.7+33.3+25+437.9</f>
        <v>3975.9</v>
      </c>
      <c r="H233" s="17">
        <f>3479.7+33.3</f>
        <v>3513</v>
      </c>
      <c r="I233" s="17">
        <f>3479.7+33.3</f>
        <v>3513</v>
      </c>
    </row>
    <row r="234" spans="1:9" ht="25.5" x14ac:dyDescent="0.2">
      <c r="A234" s="63" t="s">
        <v>87</v>
      </c>
      <c r="B234" s="64" t="s">
        <v>21</v>
      </c>
      <c r="C234" s="64">
        <v>3</v>
      </c>
      <c r="D234" s="64" t="s">
        <v>82</v>
      </c>
      <c r="E234" s="64" t="s">
        <v>188</v>
      </c>
      <c r="F234" s="65" t="s">
        <v>5</v>
      </c>
      <c r="G234" s="66">
        <f>50.4-25-18.4-7</f>
        <v>0</v>
      </c>
      <c r="H234" s="66">
        <v>50.4</v>
      </c>
      <c r="I234" s="66">
        <v>50.4</v>
      </c>
    </row>
    <row r="235" spans="1:9" ht="25.5" x14ac:dyDescent="0.2">
      <c r="A235" s="60" t="s">
        <v>315</v>
      </c>
      <c r="B235" s="61" t="s">
        <v>21</v>
      </c>
      <c r="C235" s="61">
        <v>3</v>
      </c>
      <c r="D235" s="61" t="s">
        <v>82</v>
      </c>
      <c r="E235" s="61" t="s">
        <v>189</v>
      </c>
      <c r="F235" s="61"/>
      <c r="G235" s="62">
        <f>G236</f>
        <v>22338.400000000001</v>
      </c>
      <c r="H235" s="62">
        <f>H236</f>
        <v>16913.600000000002</v>
      </c>
      <c r="I235" s="62">
        <f>I236</f>
        <v>16913.600000000002</v>
      </c>
    </row>
    <row r="236" spans="1:9" ht="25.5" x14ac:dyDescent="0.2">
      <c r="A236" s="67" t="s">
        <v>138</v>
      </c>
      <c r="B236" s="64" t="s">
        <v>21</v>
      </c>
      <c r="C236" s="64">
        <v>3</v>
      </c>
      <c r="D236" s="64" t="s">
        <v>82</v>
      </c>
      <c r="E236" s="64" t="s">
        <v>189</v>
      </c>
      <c r="F236" s="64" t="s">
        <v>2</v>
      </c>
      <c r="G236" s="66">
        <f>16766.2+147.4-6.4+60-30+68.2+4727.2+50+62.8+122.7+461+14.3-180+8+56+11</f>
        <v>22338.400000000001</v>
      </c>
      <c r="H236" s="66">
        <f t="shared" ref="H236:I236" si="34">16766.2+147.4</f>
        <v>16913.600000000002</v>
      </c>
      <c r="I236" s="66">
        <f t="shared" si="34"/>
        <v>16913.600000000002</v>
      </c>
    </row>
    <row r="237" spans="1:9" s="93" customFormat="1" ht="25.5" x14ac:dyDescent="0.2">
      <c r="A237" s="60" t="s">
        <v>315</v>
      </c>
      <c r="B237" s="61" t="s">
        <v>21</v>
      </c>
      <c r="C237" s="61">
        <v>3</v>
      </c>
      <c r="D237" s="61" t="s">
        <v>82</v>
      </c>
      <c r="E237" s="61" t="s">
        <v>190</v>
      </c>
      <c r="F237" s="61"/>
      <c r="G237" s="62">
        <f>G238+G239+G240+G241</f>
        <v>45766.3</v>
      </c>
      <c r="H237" s="62">
        <f>H238+H239+H240+H241</f>
        <v>37583.699999999997</v>
      </c>
      <c r="I237" s="62">
        <f>I238+I239+I240+I241</f>
        <v>37583.699999999997</v>
      </c>
    </row>
    <row r="238" spans="1:9" s="11" customFormat="1" ht="51" x14ac:dyDescent="0.2">
      <c r="A238" s="14" t="s">
        <v>3</v>
      </c>
      <c r="B238" s="15" t="s">
        <v>21</v>
      </c>
      <c r="C238" s="15">
        <v>3</v>
      </c>
      <c r="D238" s="15" t="s">
        <v>82</v>
      </c>
      <c r="E238" s="15" t="s">
        <v>190</v>
      </c>
      <c r="F238" s="16" t="s">
        <v>4</v>
      </c>
      <c r="G238" s="17">
        <f>10646+102.3+12+6407+2970.6-513.2</f>
        <v>19624.699999999997</v>
      </c>
      <c r="H238" s="17">
        <f>10646+102.3</f>
        <v>10748.3</v>
      </c>
      <c r="I238" s="17">
        <f>10646+102.3</f>
        <v>10748.3</v>
      </c>
    </row>
    <row r="239" spans="1:9" ht="25.5" x14ac:dyDescent="0.2">
      <c r="A239" s="63" t="s">
        <v>87</v>
      </c>
      <c r="B239" s="64" t="s">
        <v>21</v>
      </c>
      <c r="C239" s="64">
        <v>3</v>
      </c>
      <c r="D239" s="64" t="s">
        <v>82</v>
      </c>
      <c r="E239" s="64" t="s">
        <v>190</v>
      </c>
      <c r="F239" s="65" t="s">
        <v>5</v>
      </c>
      <c r="G239" s="66">
        <f>287-12-37+618.7-10-9.5+412.2+637-14.3-149.9+75+25+110</f>
        <v>1932.2</v>
      </c>
      <c r="H239" s="66">
        <v>287</v>
      </c>
      <c r="I239" s="66">
        <v>287</v>
      </c>
    </row>
    <row r="240" spans="1:9" ht="25.5" x14ac:dyDescent="0.2">
      <c r="A240" s="67" t="s">
        <v>138</v>
      </c>
      <c r="B240" s="64" t="s">
        <v>21</v>
      </c>
      <c r="C240" s="64">
        <v>3</v>
      </c>
      <c r="D240" s="64" t="s">
        <v>82</v>
      </c>
      <c r="E240" s="64" t="s">
        <v>190</v>
      </c>
      <c r="F240" s="64" t="s">
        <v>2</v>
      </c>
      <c r="G240" s="66">
        <f>26235.2+213.2+1.4+357.5+10-90-7037.8+22+10-17+155+2502.4-20+50.9+233.3+513.2-5.5+17.2+520-1+50+171.2+60+100+85+0.6</f>
        <v>24136.800000000007</v>
      </c>
      <c r="H240" s="66">
        <f>26235.2+213.2</f>
        <v>26448.400000000001</v>
      </c>
      <c r="I240" s="66">
        <f>26235.2+213.2</f>
        <v>26448.400000000001</v>
      </c>
    </row>
    <row r="241" spans="1:9" x14ac:dyDescent="0.2">
      <c r="A241" s="67" t="s">
        <v>9</v>
      </c>
      <c r="B241" s="64" t="s">
        <v>21</v>
      </c>
      <c r="C241" s="64">
        <v>3</v>
      </c>
      <c r="D241" s="64" t="s">
        <v>82</v>
      </c>
      <c r="E241" s="64" t="s">
        <v>190</v>
      </c>
      <c r="F241" s="64" t="s">
        <v>10</v>
      </c>
      <c r="G241" s="66">
        <f>100+12.1+13-45-23.4+14.9+1</f>
        <v>72.599999999999994</v>
      </c>
      <c r="H241" s="66">
        <v>100</v>
      </c>
      <c r="I241" s="66">
        <v>100</v>
      </c>
    </row>
    <row r="242" spans="1:9" s="11" customFormat="1" ht="25.5" x14ac:dyDescent="0.2">
      <c r="A242" s="10" t="s">
        <v>191</v>
      </c>
      <c r="B242" s="1" t="s">
        <v>21</v>
      </c>
      <c r="C242" s="1">
        <v>3</v>
      </c>
      <c r="D242" s="1" t="s">
        <v>82</v>
      </c>
      <c r="E242" s="1">
        <v>72070</v>
      </c>
      <c r="F242" s="8"/>
      <c r="G242" s="9">
        <f>G243+G244</f>
        <v>2604.6</v>
      </c>
      <c r="H242" s="9">
        <f>H243+H244</f>
        <v>2354.3000000000002</v>
      </c>
      <c r="I242" s="9">
        <f>I243+I244</f>
        <v>2354.3000000000002</v>
      </c>
    </row>
    <row r="243" spans="1:9" s="11" customFormat="1" ht="51" x14ac:dyDescent="0.2">
      <c r="A243" s="14" t="s">
        <v>3</v>
      </c>
      <c r="B243" s="15" t="s">
        <v>21</v>
      </c>
      <c r="C243" s="15">
        <v>3</v>
      </c>
      <c r="D243" s="15" t="s">
        <v>82</v>
      </c>
      <c r="E243" s="15">
        <v>72070</v>
      </c>
      <c r="F243" s="16" t="s">
        <v>4</v>
      </c>
      <c r="G243" s="17">
        <f>1464.5+442.3+2+19+76.3+250.3</f>
        <v>2254.4</v>
      </c>
      <c r="H243" s="17">
        <f>1464.5+442.3+2+19</f>
        <v>1927.8</v>
      </c>
      <c r="I243" s="17">
        <f>1464.5+442.3+2+19</f>
        <v>1927.8</v>
      </c>
    </row>
    <row r="244" spans="1:9" s="11" customFormat="1" ht="25.5" x14ac:dyDescent="0.2">
      <c r="A244" s="14" t="s">
        <v>87</v>
      </c>
      <c r="B244" s="15" t="s">
        <v>21</v>
      </c>
      <c r="C244" s="15">
        <v>3</v>
      </c>
      <c r="D244" s="15" t="s">
        <v>82</v>
      </c>
      <c r="E244" s="15">
        <v>72070</v>
      </c>
      <c r="F244" s="16" t="s">
        <v>5</v>
      </c>
      <c r="G244" s="17">
        <f>10+150+100+166.5-76.3</f>
        <v>350.2</v>
      </c>
      <c r="H244" s="17">
        <f>10+150+100+166.5</f>
        <v>426.5</v>
      </c>
      <c r="I244" s="17">
        <f>10+150+100+166.5</f>
        <v>426.5</v>
      </c>
    </row>
    <row r="245" spans="1:9" s="11" customFormat="1" ht="25.5" x14ac:dyDescent="0.2">
      <c r="A245" s="39" t="s">
        <v>53</v>
      </c>
      <c r="B245" s="35" t="s">
        <v>23</v>
      </c>
      <c r="C245" s="35"/>
      <c r="D245" s="35"/>
      <c r="E245" s="35"/>
      <c r="F245" s="38"/>
      <c r="G245" s="36">
        <f>SUM(G250,G253,G255,G258,G262)+G246+G248</f>
        <v>104819.29999999999</v>
      </c>
      <c r="H245" s="36">
        <f t="shared" ref="H245:I245" si="35">SUM(H250,H253,H255,H258,H262)+H246+H248</f>
        <v>70862.7</v>
      </c>
      <c r="I245" s="36">
        <f t="shared" si="35"/>
        <v>70050.100000000006</v>
      </c>
    </row>
    <row r="246" spans="1:9" s="11" customFormat="1" ht="38.25" x14ac:dyDescent="0.2">
      <c r="A246" s="10" t="s">
        <v>192</v>
      </c>
      <c r="B246" s="8" t="s">
        <v>23</v>
      </c>
      <c r="C246" s="8" t="s">
        <v>77</v>
      </c>
      <c r="D246" s="8" t="s">
        <v>82</v>
      </c>
      <c r="E246" s="8" t="s">
        <v>86</v>
      </c>
      <c r="F246" s="8"/>
      <c r="G246" s="9">
        <f>G247</f>
        <v>4564</v>
      </c>
      <c r="H246" s="9">
        <f>H247</f>
        <v>4564</v>
      </c>
      <c r="I246" s="9">
        <f>I247</f>
        <v>4564</v>
      </c>
    </row>
    <row r="247" spans="1:9" s="11" customFormat="1" ht="25.5" x14ac:dyDescent="0.2">
      <c r="A247" s="19" t="s">
        <v>138</v>
      </c>
      <c r="B247" s="15" t="s">
        <v>23</v>
      </c>
      <c r="C247" s="15" t="s">
        <v>77</v>
      </c>
      <c r="D247" s="15" t="s">
        <v>82</v>
      </c>
      <c r="E247" s="15" t="s">
        <v>86</v>
      </c>
      <c r="F247" s="15" t="s">
        <v>2</v>
      </c>
      <c r="G247" s="17">
        <v>4564</v>
      </c>
      <c r="H247" s="17">
        <v>4564</v>
      </c>
      <c r="I247" s="17">
        <v>4564</v>
      </c>
    </row>
    <row r="248" spans="1:9" s="11" customFormat="1" ht="25.5" x14ac:dyDescent="0.2">
      <c r="A248" s="10" t="s">
        <v>353</v>
      </c>
      <c r="B248" s="8" t="s">
        <v>23</v>
      </c>
      <c r="C248" s="8" t="s">
        <v>77</v>
      </c>
      <c r="D248" s="8" t="s">
        <v>82</v>
      </c>
      <c r="E248" s="8" t="s">
        <v>354</v>
      </c>
      <c r="F248" s="8"/>
      <c r="G248" s="9">
        <f>G249</f>
        <v>40</v>
      </c>
      <c r="H248" s="9">
        <f>H249</f>
        <v>0</v>
      </c>
      <c r="I248" s="9">
        <f>I249</f>
        <v>0</v>
      </c>
    </row>
    <row r="249" spans="1:9" s="11" customFormat="1" ht="25.5" x14ac:dyDescent="0.2">
      <c r="A249" s="19" t="s">
        <v>138</v>
      </c>
      <c r="B249" s="15" t="s">
        <v>23</v>
      </c>
      <c r="C249" s="15" t="s">
        <v>77</v>
      </c>
      <c r="D249" s="15" t="s">
        <v>82</v>
      </c>
      <c r="E249" s="15" t="s">
        <v>354</v>
      </c>
      <c r="F249" s="15" t="s">
        <v>2</v>
      </c>
      <c r="G249" s="17">
        <v>40</v>
      </c>
      <c r="H249" s="17">
        <v>0</v>
      </c>
      <c r="I249" s="17">
        <v>0</v>
      </c>
    </row>
    <row r="250" spans="1:9" x14ac:dyDescent="0.2">
      <c r="A250" s="60" t="s">
        <v>193</v>
      </c>
      <c r="B250" s="61" t="s">
        <v>23</v>
      </c>
      <c r="C250" s="61">
        <v>0</v>
      </c>
      <c r="D250" s="61" t="s">
        <v>82</v>
      </c>
      <c r="E250" s="61" t="s">
        <v>194</v>
      </c>
      <c r="F250" s="61"/>
      <c r="G250" s="62">
        <f>G252+G251</f>
        <v>68692.299999999988</v>
      </c>
      <c r="H250" s="62">
        <f>H252+H251</f>
        <v>42430</v>
      </c>
      <c r="I250" s="62">
        <f>I252+I251</f>
        <v>41617.4</v>
      </c>
    </row>
    <row r="251" spans="1:9" s="4" customFormat="1" x14ac:dyDescent="0.2">
      <c r="A251" s="19" t="s">
        <v>6</v>
      </c>
      <c r="B251" s="15" t="s">
        <v>23</v>
      </c>
      <c r="C251" s="15">
        <v>0</v>
      </c>
      <c r="D251" s="15" t="s">
        <v>82</v>
      </c>
      <c r="E251" s="15" t="s">
        <v>194</v>
      </c>
      <c r="F251" s="16" t="s">
        <v>7</v>
      </c>
      <c r="G251" s="17">
        <v>15</v>
      </c>
      <c r="H251" s="17">
        <v>15</v>
      </c>
      <c r="I251" s="17">
        <v>15</v>
      </c>
    </row>
    <row r="252" spans="1:9" ht="25.5" x14ac:dyDescent="0.2">
      <c r="A252" s="67" t="s">
        <v>138</v>
      </c>
      <c r="B252" s="64" t="s">
        <v>23</v>
      </c>
      <c r="C252" s="64">
        <v>0</v>
      </c>
      <c r="D252" s="64" t="s">
        <v>82</v>
      </c>
      <c r="E252" s="64" t="s">
        <v>194</v>
      </c>
      <c r="F252" s="64" t="s">
        <v>2</v>
      </c>
      <c r="G252" s="66">
        <f>50415+13.2+1.2-103.3+262.2-71.3-29-10-262.2+14450.7-5.6+655.9-68.1+1016.7+247.9+139.3+211.7-32+482.4+717.1+62-2.2+179.7+44.7+271.3+90</f>
        <v>68677.299999999988</v>
      </c>
      <c r="H252" s="66">
        <f>50415-8000</f>
        <v>42415</v>
      </c>
      <c r="I252" s="66">
        <f>50415-8812.6</f>
        <v>41602.400000000001</v>
      </c>
    </row>
    <row r="253" spans="1:9" x14ac:dyDescent="0.2">
      <c r="A253" s="60" t="s">
        <v>195</v>
      </c>
      <c r="B253" s="61" t="s">
        <v>23</v>
      </c>
      <c r="C253" s="61">
        <v>0</v>
      </c>
      <c r="D253" s="61" t="s">
        <v>82</v>
      </c>
      <c r="E253" s="61" t="s">
        <v>196</v>
      </c>
      <c r="F253" s="61"/>
      <c r="G253" s="62">
        <f>G254</f>
        <v>4525.2000000000016</v>
      </c>
      <c r="H253" s="62">
        <f>H254</f>
        <v>3103.8</v>
      </c>
      <c r="I253" s="62">
        <f>I254</f>
        <v>3103.8</v>
      </c>
    </row>
    <row r="254" spans="1:9" ht="25.5" x14ac:dyDescent="0.2">
      <c r="A254" s="67" t="s">
        <v>138</v>
      </c>
      <c r="B254" s="64" t="s">
        <v>23</v>
      </c>
      <c r="C254" s="64">
        <v>0</v>
      </c>
      <c r="D254" s="64" t="s">
        <v>82</v>
      </c>
      <c r="E254" s="64" t="s">
        <v>196</v>
      </c>
      <c r="F254" s="64" t="s">
        <v>2</v>
      </c>
      <c r="G254" s="66">
        <f>3103.8+38.8+73+35.6+3-35.6+877-0.3+175.3+20.1+57.6+16.7-2+25.6-25.2+161.8</f>
        <v>4525.2000000000016</v>
      </c>
      <c r="H254" s="66">
        <v>3103.8</v>
      </c>
      <c r="I254" s="66">
        <v>3103.8</v>
      </c>
    </row>
    <row r="255" spans="1:9" x14ac:dyDescent="0.2">
      <c r="A255" s="60" t="s">
        <v>197</v>
      </c>
      <c r="B255" s="61" t="s">
        <v>23</v>
      </c>
      <c r="C255" s="61">
        <v>0</v>
      </c>
      <c r="D255" s="61" t="s">
        <v>82</v>
      </c>
      <c r="E255" s="61" t="s">
        <v>198</v>
      </c>
      <c r="F255" s="61"/>
      <c r="G255" s="62">
        <f>G257+G256</f>
        <v>22491.300000000003</v>
      </c>
      <c r="H255" s="62">
        <f>H257+H256</f>
        <v>16810.7</v>
      </c>
      <c r="I255" s="62">
        <f>I257+I256</f>
        <v>16810.7</v>
      </c>
    </row>
    <row r="256" spans="1:9" s="11" customFormat="1" x14ac:dyDescent="0.2">
      <c r="A256" s="19" t="s">
        <v>6</v>
      </c>
      <c r="B256" s="15" t="s">
        <v>23</v>
      </c>
      <c r="C256" s="15">
        <v>0</v>
      </c>
      <c r="D256" s="15" t="s">
        <v>82</v>
      </c>
      <c r="E256" s="15" t="s">
        <v>198</v>
      </c>
      <c r="F256" s="16" t="s">
        <v>7</v>
      </c>
      <c r="G256" s="17">
        <v>15</v>
      </c>
      <c r="H256" s="17">
        <v>15</v>
      </c>
      <c r="I256" s="17">
        <v>15</v>
      </c>
    </row>
    <row r="257" spans="1:9" ht="25.5" x14ac:dyDescent="0.2">
      <c r="A257" s="67" t="s">
        <v>138</v>
      </c>
      <c r="B257" s="64" t="s">
        <v>23</v>
      </c>
      <c r="C257" s="64">
        <v>0</v>
      </c>
      <c r="D257" s="64" t="s">
        <v>82</v>
      </c>
      <c r="E257" s="64" t="s">
        <v>198</v>
      </c>
      <c r="F257" s="64" t="s">
        <v>2</v>
      </c>
      <c r="G257" s="66">
        <f>16795.7+16.4+49.7+70.7+16.6+40.9+24+3.5-70.7+4604.3+14.6+231.7+66.6+279.5-10.1-0.6+131.4-14.4+12.9+213.6</f>
        <v>22476.300000000003</v>
      </c>
      <c r="H257" s="66">
        <v>16795.7</v>
      </c>
      <c r="I257" s="66">
        <v>16795.7</v>
      </c>
    </row>
    <row r="258" spans="1:9" x14ac:dyDescent="0.2">
      <c r="A258" s="60" t="s">
        <v>316</v>
      </c>
      <c r="B258" s="61" t="s">
        <v>23</v>
      </c>
      <c r="C258" s="61">
        <v>0</v>
      </c>
      <c r="D258" s="61" t="s">
        <v>82</v>
      </c>
      <c r="E258" s="61" t="s">
        <v>199</v>
      </c>
      <c r="F258" s="61"/>
      <c r="G258" s="62">
        <f>G259+G260+G261</f>
        <v>1159</v>
      </c>
      <c r="H258" s="62">
        <f>H259+H260+H261</f>
        <v>1018.3</v>
      </c>
      <c r="I258" s="62">
        <f>I259+I260+I261</f>
        <v>1018.3</v>
      </c>
    </row>
    <row r="259" spans="1:9" ht="51" x14ac:dyDescent="0.2">
      <c r="A259" s="63" t="s">
        <v>3</v>
      </c>
      <c r="B259" s="64" t="s">
        <v>23</v>
      </c>
      <c r="C259" s="64">
        <v>0</v>
      </c>
      <c r="D259" s="64" t="s">
        <v>82</v>
      </c>
      <c r="E259" s="64" t="s">
        <v>199</v>
      </c>
      <c r="F259" s="65" t="s">
        <v>4</v>
      </c>
      <c r="G259" s="66">
        <f>936.3+9+117.9-2</f>
        <v>1061.2</v>
      </c>
      <c r="H259" s="66">
        <f>936.3+9</f>
        <v>945.3</v>
      </c>
      <c r="I259" s="66">
        <f>936.3+9</f>
        <v>945.3</v>
      </c>
    </row>
    <row r="260" spans="1:9" ht="25.5" x14ac:dyDescent="0.2">
      <c r="A260" s="63" t="s">
        <v>87</v>
      </c>
      <c r="B260" s="64" t="s">
        <v>23</v>
      </c>
      <c r="C260" s="64">
        <v>0</v>
      </c>
      <c r="D260" s="64" t="s">
        <v>82</v>
      </c>
      <c r="E260" s="64" t="s">
        <v>199</v>
      </c>
      <c r="F260" s="65" t="s">
        <v>5</v>
      </c>
      <c r="G260" s="66">
        <f>64.5+30-5.2</f>
        <v>89.3</v>
      </c>
      <c r="H260" s="66">
        <v>64.5</v>
      </c>
      <c r="I260" s="66">
        <v>64.5</v>
      </c>
    </row>
    <row r="261" spans="1:9" s="11" customFormat="1" x14ac:dyDescent="0.2">
      <c r="A261" s="19" t="s">
        <v>9</v>
      </c>
      <c r="B261" s="15" t="s">
        <v>23</v>
      </c>
      <c r="C261" s="15">
        <v>0</v>
      </c>
      <c r="D261" s="15" t="s">
        <v>82</v>
      </c>
      <c r="E261" s="15" t="s">
        <v>199</v>
      </c>
      <c r="F261" s="15" t="s">
        <v>10</v>
      </c>
      <c r="G261" s="17">
        <v>8.5</v>
      </c>
      <c r="H261" s="17">
        <v>8.5</v>
      </c>
      <c r="I261" s="17">
        <v>8.5</v>
      </c>
    </row>
    <row r="262" spans="1:9" x14ac:dyDescent="0.2">
      <c r="A262" s="60" t="s">
        <v>316</v>
      </c>
      <c r="B262" s="61" t="s">
        <v>23</v>
      </c>
      <c r="C262" s="61">
        <v>0</v>
      </c>
      <c r="D262" s="61" t="s">
        <v>82</v>
      </c>
      <c r="E262" s="61" t="s">
        <v>200</v>
      </c>
      <c r="F262" s="61"/>
      <c r="G262" s="62">
        <f>G263+G264+G265</f>
        <v>3347.5</v>
      </c>
      <c r="H262" s="62">
        <f t="shared" ref="H262:I262" si="36">H263+H264</f>
        <v>2935.8999999999996</v>
      </c>
      <c r="I262" s="62">
        <f t="shared" si="36"/>
        <v>2935.8999999999996</v>
      </c>
    </row>
    <row r="263" spans="1:9" ht="51" x14ac:dyDescent="0.2">
      <c r="A263" s="63" t="s">
        <v>3</v>
      </c>
      <c r="B263" s="64" t="s">
        <v>23</v>
      </c>
      <c r="C263" s="64">
        <v>0</v>
      </c>
      <c r="D263" s="64" t="s">
        <v>82</v>
      </c>
      <c r="E263" s="61" t="s">
        <v>200</v>
      </c>
      <c r="F263" s="65" t="s">
        <v>4</v>
      </c>
      <c r="G263" s="66">
        <f>2671.7+25.7+341.8-1.6</f>
        <v>3037.6</v>
      </c>
      <c r="H263" s="66">
        <f>2671.7+25.7</f>
        <v>2697.3999999999996</v>
      </c>
      <c r="I263" s="66">
        <f>2671.7+25.7</f>
        <v>2697.3999999999996</v>
      </c>
    </row>
    <row r="264" spans="1:9" ht="25.5" x14ac:dyDescent="0.2">
      <c r="A264" s="63" t="s">
        <v>87</v>
      </c>
      <c r="B264" s="64" t="s">
        <v>23</v>
      </c>
      <c r="C264" s="64">
        <v>0</v>
      </c>
      <c r="D264" s="64" t="s">
        <v>82</v>
      </c>
      <c r="E264" s="61" t="s">
        <v>200</v>
      </c>
      <c r="F264" s="65" t="s">
        <v>5</v>
      </c>
      <c r="G264" s="66">
        <f>238.5+3.6+39.6+27.2</f>
        <v>308.89999999999998</v>
      </c>
      <c r="H264" s="66">
        <v>238.5</v>
      </c>
      <c r="I264" s="66">
        <v>238.5</v>
      </c>
    </row>
    <row r="265" spans="1:9" s="11" customFormat="1" x14ac:dyDescent="0.2">
      <c r="A265" s="19" t="s">
        <v>9</v>
      </c>
      <c r="B265" s="15" t="s">
        <v>23</v>
      </c>
      <c r="C265" s="15">
        <v>0</v>
      </c>
      <c r="D265" s="15" t="s">
        <v>82</v>
      </c>
      <c r="E265" s="8" t="s">
        <v>200</v>
      </c>
      <c r="F265" s="15" t="s">
        <v>10</v>
      </c>
      <c r="G265" s="17">
        <v>1</v>
      </c>
      <c r="H265" s="17"/>
      <c r="I265" s="17"/>
    </row>
    <row r="266" spans="1:9" s="11" customFormat="1" ht="25.5" x14ac:dyDescent="0.2">
      <c r="A266" s="34" t="s">
        <v>56</v>
      </c>
      <c r="B266" s="35" t="s">
        <v>22</v>
      </c>
      <c r="C266" s="35"/>
      <c r="D266" s="35"/>
      <c r="E266" s="35"/>
      <c r="F266" s="35"/>
      <c r="G266" s="36">
        <f>SUM(G267,G281,G288,G293,G304,G383)+G285</f>
        <v>674770.4524999999</v>
      </c>
      <c r="H266" s="36">
        <f t="shared" ref="H266:I266" si="37">SUM(H267,H281,H288,H293,H304,H383)+H285</f>
        <v>636403.69999999995</v>
      </c>
      <c r="I266" s="36">
        <f t="shared" si="37"/>
        <v>641531.69999999995</v>
      </c>
    </row>
    <row r="267" spans="1:9" x14ac:dyDescent="0.2">
      <c r="A267" s="75" t="s">
        <v>57</v>
      </c>
      <c r="B267" s="76" t="s">
        <v>22</v>
      </c>
      <c r="C267" s="69" t="s">
        <v>32</v>
      </c>
      <c r="D267" s="69"/>
      <c r="E267" s="69"/>
      <c r="F267" s="69"/>
      <c r="G267" s="71">
        <f>SUM(G268,G272,G274,G277,G279)</f>
        <v>7351.7516199999991</v>
      </c>
      <c r="H267" s="71">
        <f>SUM(H268,H272,H274,H277,H279)</f>
        <v>6236.6</v>
      </c>
      <c r="I267" s="71">
        <f>SUM(I268,I272,I274,I277,I279)</f>
        <v>6236.6</v>
      </c>
    </row>
    <row r="268" spans="1:9" x14ac:dyDescent="0.2">
      <c r="A268" s="60" t="s">
        <v>216</v>
      </c>
      <c r="B268" s="61" t="s">
        <v>22</v>
      </c>
      <c r="C268" s="61">
        <v>1</v>
      </c>
      <c r="D268" s="61" t="s">
        <v>82</v>
      </c>
      <c r="E268" s="61" t="s">
        <v>215</v>
      </c>
      <c r="F268" s="61"/>
      <c r="G268" s="62">
        <f>G269+G270+G271</f>
        <v>2387.8999999999996</v>
      </c>
      <c r="H268" s="62">
        <f>H269+H270+H271</f>
        <v>1369.1000000000001</v>
      </c>
      <c r="I268" s="62">
        <f>I269+I270+I271</f>
        <v>1369.1000000000001</v>
      </c>
    </row>
    <row r="269" spans="1:9" ht="25.5" x14ac:dyDescent="0.2">
      <c r="A269" s="63" t="s">
        <v>87</v>
      </c>
      <c r="B269" s="64" t="s">
        <v>22</v>
      </c>
      <c r="C269" s="64">
        <v>1</v>
      </c>
      <c r="D269" s="64" t="s">
        <v>82</v>
      </c>
      <c r="E269" s="64" t="s">
        <v>215</v>
      </c>
      <c r="F269" s="64" t="s">
        <v>5</v>
      </c>
      <c r="G269" s="66">
        <f>2.2+80+325.2+450+20+57.2+270.8+226.1+380.7</f>
        <v>1812.2</v>
      </c>
      <c r="H269" s="66">
        <f>2.2+80+325.2+450+20</f>
        <v>877.4</v>
      </c>
      <c r="I269" s="66">
        <f>2.2+80+325.2+450+20</f>
        <v>877.4</v>
      </c>
    </row>
    <row r="270" spans="1:9" x14ac:dyDescent="0.2">
      <c r="A270" s="67" t="s">
        <v>6</v>
      </c>
      <c r="B270" s="64" t="s">
        <v>22</v>
      </c>
      <c r="C270" s="64">
        <v>1</v>
      </c>
      <c r="D270" s="64" t="s">
        <v>82</v>
      </c>
      <c r="E270" s="64" t="s">
        <v>215</v>
      </c>
      <c r="F270" s="65" t="s">
        <v>7</v>
      </c>
      <c r="G270" s="66">
        <f>429+32+4+80</f>
        <v>545</v>
      </c>
      <c r="H270" s="66">
        <f>429+32</f>
        <v>461</v>
      </c>
      <c r="I270" s="66">
        <f>429+32</f>
        <v>461</v>
      </c>
    </row>
    <row r="271" spans="1:9" s="11" customFormat="1" x14ac:dyDescent="0.2">
      <c r="A271" s="19" t="s">
        <v>9</v>
      </c>
      <c r="B271" s="15" t="s">
        <v>22</v>
      </c>
      <c r="C271" s="15">
        <v>1</v>
      </c>
      <c r="D271" s="15" t="s">
        <v>82</v>
      </c>
      <c r="E271" s="15" t="s">
        <v>215</v>
      </c>
      <c r="F271" s="15" t="s">
        <v>10</v>
      </c>
      <c r="G271" s="17">
        <f>30.7</f>
        <v>30.7</v>
      </c>
      <c r="H271" s="17">
        <f>30.7</f>
        <v>30.7</v>
      </c>
      <c r="I271" s="17">
        <f>30.7</f>
        <v>30.7</v>
      </c>
    </row>
    <row r="272" spans="1:9" s="11" customFormat="1" x14ac:dyDescent="0.2">
      <c r="A272" s="10" t="s">
        <v>218</v>
      </c>
      <c r="B272" s="8" t="s">
        <v>22</v>
      </c>
      <c r="C272" s="8">
        <v>1</v>
      </c>
      <c r="D272" s="8" t="s">
        <v>82</v>
      </c>
      <c r="E272" s="8" t="s">
        <v>217</v>
      </c>
      <c r="F272" s="8"/>
      <c r="G272" s="9">
        <f>G273</f>
        <v>930.69999999999993</v>
      </c>
      <c r="H272" s="9">
        <f>H273</f>
        <v>818</v>
      </c>
      <c r="I272" s="9">
        <f>I273</f>
        <v>818</v>
      </c>
    </row>
    <row r="273" spans="1:11" s="11" customFormat="1" ht="25.5" x14ac:dyDescent="0.2">
      <c r="A273" s="19" t="s">
        <v>138</v>
      </c>
      <c r="B273" s="15" t="s">
        <v>22</v>
      </c>
      <c r="C273" s="15">
        <v>1</v>
      </c>
      <c r="D273" s="15" t="s">
        <v>82</v>
      </c>
      <c r="E273" s="15" t="s">
        <v>217</v>
      </c>
      <c r="F273" s="15" t="s">
        <v>2</v>
      </c>
      <c r="G273" s="17">
        <f>818+39.9+72.8</f>
        <v>930.69999999999993</v>
      </c>
      <c r="H273" s="17">
        <v>818</v>
      </c>
      <c r="I273" s="17">
        <v>818</v>
      </c>
    </row>
    <row r="274" spans="1:11" x14ac:dyDescent="0.2">
      <c r="A274" s="60" t="s">
        <v>220</v>
      </c>
      <c r="B274" s="61" t="s">
        <v>22</v>
      </c>
      <c r="C274" s="61">
        <v>1</v>
      </c>
      <c r="D274" s="61" t="s">
        <v>82</v>
      </c>
      <c r="E274" s="61" t="s">
        <v>219</v>
      </c>
      <c r="F274" s="61"/>
      <c r="G274" s="62">
        <f>G276+G275</f>
        <v>814.7</v>
      </c>
      <c r="H274" s="62">
        <f>H276+H275</f>
        <v>1264.7</v>
      </c>
      <c r="I274" s="62">
        <f>I276+I275</f>
        <v>1264.7</v>
      </c>
    </row>
    <row r="275" spans="1:11" ht="25.5" x14ac:dyDescent="0.2">
      <c r="A275" s="63" t="s">
        <v>87</v>
      </c>
      <c r="B275" s="64" t="s">
        <v>22</v>
      </c>
      <c r="C275" s="64">
        <v>1</v>
      </c>
      <c r="D275" s="64" t="s">
        <v>82</v>
      </c>
      <c r="E275" s="64" t="s">
        <v>219</v>
      </c>
      <c r="F275" s="64" t="s">
        <v>5</v>
      </c>
      <c r="G275" s="66">
        <f>450-97.1-72.8-50-4-226.1</f>
        <v>0</v>
      </c>
      <c r="H275" s="66">
        <v>450</v>
      </c>
      <c r="I275" s="66">
        <v>450</v>
      </c>
    </row>
    <row r="276" spans="1:11" s="11" customFormat="1" x14ac:dyDescent="0.2">
      <c r="A276" s="19" t="s">
        <v>6</v>
      </c>
      <c r="B276" s="15" t="s">
        <v>22</v>
      </c>
      <c r="C276" s="15">
        <v>1</v>
      </c>
      <c r="D276" s="15" t="s">
        <v>82</v>
      </c>
      <c r="E276" s="15" t="s">
        <v>219</v>
      </c>
      <c r="F276" s="15" t="s">
        <v>7</v>
      </c>
      <c r="G276" s="17">
        <v>814.7</v>
      </c>
      <c r="H276" s="17">
        <v>814.7</v>
      </c>
      <c r="I276" s="17">
        <v>814.7</v>
      </c>
    </row>
    <row r="277" spans="1:11" s="11" customFormat="1" ht="25.5" x14ac:dyDescent="0.2">
      <c r="A277" s="10" t="s">
        <v>222</v>
      </c>
      <c r="B277" s="8" t="s">
        <v>22</v>
      </c>
      <c r="C277" s="8">
        <v>1</v>
      </c>
      <c r="D277" s="8" t="s">
        <v>82</v>
      </c>
      <c r="E277" s="8" t="s">
        <v>221</v>
      </c>
      <c r="F277" s="8"/>
      <c r="G277" s="9">
        <f>G278</f>
        <v>3140.3516199999995</v>
      </c>
      <c r="H277" s="9">
        <f>H278</f>
        <v>2706.7</v>
      </c>
      <c r="I277" s="9">
        <f>I278</f>
        <v>2706.7</v>
      </c>
    </row>
    <row r="278" spans="1:11" s="11" customFormat="1" x14ac:dyDescent="0.2">
      <c r="A278" s="19" t="s">
        <v>6</v>
      </c>
      <c r="B278" s="15" t="s">
        <v>22</v>
      </c>
      <c r="C278" s="15">
        <v>1</v>
      </c>
      <c r="D278" s="15" t="s">
        <v>82</v>
      </c>
      <c r="E278" s="15" t="s">
        <v>221</v>
      </c>
      <c r="F278" s="15" t="s">
        <v>7</v>
      </c>
      <c r="G278" s="17">
        <f>2706.7-1279.94838+1713.6</f>
        <v>3140.3516199999995</v>
      </c>
      <c r="H278" s="17">
        <v>2706.7</v>
      </c>
      <c r="I278" s="17">
        <v>2706.7</v>
      </c>
    </row>
    <row r="279" spans="1:11" s="11" customFormat="1" ht="63.75" x14ac:dyDescent="0.2">
      <c r="A279" s="24" t="s">
        <v>224</v>
      </c>
      <c r="B279" s="8" t="s">
        <v>22</v>
      </c>
      <c r="C279" s="8">
        <v>1</v>
      </c>
      <c r="D279" s="8" t="s">
        <v>82</v>
      </c>
      <c r="E279" s="8" t="s">
        <v>223</v>
      </c>
      <c r="F279" s="8"/>
      <c r="G279" s="9">
        <f>G280</f>
        <v>78.099999999999994</v>
      </c>
      <c r="H279" s="9">
        <f>H280</f>
        <v>78.099999999999994</v>
      </c>
      <c r="I279" s="9">
        <f>I280</f>
        <v>78.099999999999994</v>
      </c>
    </row>
    <row r="280" spans="1:11" s="11" customFormat="1" x14ac:dyDescent="0.2">
      <c r="A280" s="19" t="s">
        <v>6</v>
      </c>
      <c r="B280" s="15" t="s">
        <v>22</v>
      </c>
      <c r="C280" s="15">
        <v>1</v>
      </c>
      <c r="D280" s="15" t="s">
        <v>82</v>
      </c>
      <c r="E280" s="15" t="s">
        <v>223</v>
      </c>
      <c r="F280" s="15" t="s">
        <v>7</v>
      </c>
      <c r="G280" s="17">
        <v>78.099999999999994</v>
      </c>
      <c r="H280" s="17">
        <v>78.099999999999994</v>
      </c>
      <c r="I280" s="17">
        <v>78.099999999999994</v>
      </c>
    </row>
    <row r="281" spans="1:11" ht="51" x14ac:dyDescent="0.2">
      <c r="A281" s="75" t="s">
        <v>58</v>
      </c>
      <c r="B281" s="76" t="s">
        <v>22</v>
      </c>
      <c r="C281" s="69" t="s">
        <v>33</v>
      </c>
      <c r="D281" s="69"/>
      <c r="E281" s="69"/>
      <c r="F281" s="69"/>
      <c r="G281" s="71">
        <f>G282</f>
        <v>7288.7</v>
      </c>
      <c r="H281" s="71">
        <f>H282</f>
        <v>5805.4</v>
      </c>
      <c r="I281" s="71">
        <f>I282</f>
        <v>5805.4</v>
      </c>
    </row>
    <row r="282" spans="1:11" ht="76.5" x14ac:dyDescent="0.2">
      <c r="A282" s="60" t="s">
        <v>296</v>
      </c>
      <c r="B282" s="61" t="s">
        <v>22</v>
      </c>
      <c r="C282" s="61">
        <v>2</v>
      </c>
      <c r="D282" s="61" t="s">
        <v>82</v>
      </c>
      <c r="E282" s="61" t="s">
        <v>225</v>
      </c>
      <c r="F282" s="61"/>
      <c r="G282" s="62">
        <f>G284+G283</f>
        <v>7288.7</v>
      </c>
      <c r="H282" s="62">
        <f>H284+H283</f>
        <v>5805.4</v>
      </c>
      <c r="I282" s="62">
        <f>I284+I283</f>
        <v>5805.4</v>
      </c>
    </row>
    <row r="283" spans="1:11" ht="25.5" x14ac:dyDescent="0.2">
      <c r="A283" s="63" t="s">
        <v>87</v>
      </c>
      <c r="B283" s="64" t="s">
        <v>22</v>
      </c>
      <c r="C283" s="64">
        <v>2</v>
      </c>
      <c r="D283" s="64" t="s">
        <v>82</v>
      </c>
      <c r="E283" s="64" t="s">
        <v>225</v>
      </c>
      <c r="F283" s="65" t="s">
        <v>5</v>
      </c>
      <c r="G283" s="66">
        <f>28.9+6+1.4</f>
        <v>36.299999999999997</v>
      </c>
      <c r="H283" s="66">
        <v>28.9</v>
      </c>
      <c r="I283" s="66">
        <v>28.9</v>
      </c>
    </row>
    <row r="284" spans="1:11" x14ac:dyDescent="0.2">
      <c r="A284" s="67" t="s">
        <v>6</v>
      </c>
      <c r="B284" s="64" t="s">
        <v>22</v>
      </c>
      <c r="C284" s="64">
        <v>2</v>
      </c>
      <c r="D284" s="64" t="s">
        <v>82</v>
      </c>
      <c r="E284" s="64" t="s">
        <v>225</v>
      </c>
      <c r="F284" s="64" t="s">
        <v>7</v>
      </c>
      <c r="G284" s="66">
        <f>5776.5+1194+281.9</f>
        <v>7252.4</v>
      </c>
      <c r="H284" s="66">
        <v>5776.5</v>
      </c>
      <c r="I284" s="66">
        <v>5776.5</v>
      </c>
    </row>
    <row r="285" spans="1:11" x14ac:dyDescent="0.2">
      <c r="A285" s="75" t="s">
        <v>379</v>
      </c>
      <c r="B285" s="76" t="s">
        <v>22</v>
      </c>
      <c r="C285" s="69" t="s">
        <v>34</v>
      </c>
      <c r="D285" s="69"/>
      <c r="E285" s="69"/>
      <c r="F285" s="69"/>
      <c r="G285" s="71">
        <f>G286</f>
        <v>78</v>
      </c>
      <c r="H285" s="71">
        <f t="shared" ref="H285:I286" si="38">H286</f>
        <v>0</v>
      </c>
      <c r="I285" s="71">
        <f t="shared" si="38"/>
        <v>0</v>
      </c>
    </row>
    <row r="286" spans="1:11" ht="51" x14ac:dyDescent="0.2">
      <c r="A286" s="60" t="s">
        <v>380</v>
      </c>
      <c r="B286" s="61" t="s">
        <v>22</v>
      </c>
      <c r="C286" s="61" t="s">
        <v>34</v>
      </c>
      <c r="D286" s="61" t="s">
        <v>82</v>
      </c>
      <c r="E286" s="61" t="s">
        <v>381</v>
      </c>
      <c r="F286" s="61"/>
      <c r="G286" s="62">
        <f>G287</f>
        <v>78</v>
      </c>
      <c r="H286" s="62">
        <f t="shared" si="38"/>
        <v>0</v>
      </c>
      <c r="I286" s="62">
        <f t="shared" si="38"/>
        <v>0</v>
      </c>
      <c r="K286" s="100"/>
    </row>
    <row r="287" spans="1:11" ht="25.5" x14ac:dyDescent="0.2">
      <c r="A287" s="67" t="s">
        <v>138</v>
      </c>
      <c r="B287" s="64" t="s">
        <v>22</v>
      </c>
      <c r="C287" s="64" t="s">
        <v>34</v>
      </c>
      <c r="D287" s="64" t="s">
        <v>82</v>
      </c>
      <c r="E287" s="64" t="s">
        <v>381</v>
      </c>
      <c r="F287" s="64" t="s">
        <v>2</v>
      </c>
      <c r="G287" s="66">
        <f>-7+78+7</f>
        <v>78</v>
      </c>
      <c r="H287" s="66">
        <v>0</v>
      </c>
      <c r="I287" s="66">
        <v>0</v>
      </c>
      <c r="K287" s="100"/>
    </row>
    <row r="288" spans="1:11" ht="38.25" x14ac:dyDescent="0.2">
      <c r="A288" s="75" t="s">
        <v>59</v>
      </c>
      <c r="B288" s="76" t="s">
        <v>22</v>
      </c>
      <c r="C288" s="69" t="s">
        <v>36</v>
      </c>
      <c r="D288" s="69"/>
      <c r="E288" s="69"/>
      <c r="F288" s="69"/>
      <c r="G288" s="71">
        <f>G289</f>
        <v>22272</v>
      </c>
      <c r="H288" s="71">
        <f>H289</f>
        <v>19783</v>
      </c>
      <c r="I288" s="71">
        <f>I289</f>
        <v>19783</v>
      </c>
    </row>
    <row r="289" spans="1:9" s="11" customFormat="1" ht="25.5" x14ac:dyDescent="0.2">
      <c r="A289" s="10" t="s">
        <v>201</v>
      </c>
      <c r="B289" s="8" t="s">
        <v>22</v>
      </c>
      <c r="C289" s="8">
        <v>4</v>
      </c>
      <c r="D289" s="8" t="s">
        <v>82</v>
      </c>
      <c r="E289" s="8">
        <v>70280</v>
      </c>
      <c r="F289" s="8"/>
      <c r="G289" s="9">
        <f>G290+G291+G292</f>
        <v>22272</v>
      </c>
      <c r="H289" s="9">
        <f>H290+H291+H292</f>
        <v>19783</v>
      </c>
      <c r="I289" s="9">
        <f>I290+I291+I292</f>
        <v>19783</v>
      </c>
    </row>
    <row r="290" spans="1:9" s="11" customFormat="1" ht="51" x14ac:dyDescent="0.2">
      <c r="A290" s="14" t="s">
        <v>3</v>
      </c>
      <c r="B290" s="15" t="s">
        <v>22</v>
      </c>
      <c r="C290" s="15">
        <v>4</v>
      </c>
      <c r="D290" s="15" t="s">
        <v>82</v>
      </c>
      <c r="E290" s="15">
        <v>70280</v>
      </c>
      <c r="F290" s="16" t="s">
        <v>4</v>
      </c>
      <c r="G290" s="17">
        <f>18510.7+178+2464-1.5</f>
        <v>21151.200000000001</v>
      </c>
      <c r="H290" s="17">
        <f>18510.7+178</f>
        <v>18688.7</v>
      </c>
      <c r="I290" s="17">
        <f>18510.7+178</f>
        <v>18688.7</v>
      </c>
    </row>
    <row r="291" spans="1:9" s="11" customFormat="1" ht="25.5" x14ac:dyDescent="0.2">
      <c r="A291" s="14" t="s">
        <v>87</v>
      </c>
      <c r="B291" s="15" t="s">
        <v>22</v>
      </c>
      <c r="C291" s="15">
        <v>4</v>
      </c>
      <c r="D291" s="15" t="s">
        <v>82</v>
      </c>
      <c r="E291" s="15">
        <v>70280</v>
      </c>
      <c r="F291" s="16" t="s">
        <v>5</v>
      </c>
      <c r="G291" s="17">
        <f>1090.3-7+24+1.5</f>
        <v>1108.8</v>
      </c>
      <c r="H291" s="17">
        <v>1090.3</v>
      </c>
      <c r="I291" s="17">
        <v>1090.3</v>
      </c>
    </row>
    <row r="292" spans="1:9" x14ac:dyDescent="0.2">
      <c r="A292" s="67" t="s">
        <v>9</v>
      </c>
      <c r="B292" s="64" t="s">
        <v>22</v>
      </c>
      <c r="C292" s="64">
        <v>4</v>
      </c>
      <c r="D292" s="64" t="s">
        <v>82</v>
      </c>
      <c r="E292" s="64">
        <v>70280</v>
      </c>
      <c r="F292" s="64" t="s">
        <v>10</v>
      </c>
      <c r="G292" s="66">
        <f>4+7+1</f>
        <v>12</v>
      </c>
      <c r="H292" s="66">
        <v>4</v>
      </c>
      <c r="I292" s="66">
        <v>4</v>
      </c>
    </row>
    <row r="293" spans="1:9" ht="25.5" x14ac:dyDescent="0.2">
      <c r="A293" s="75" t="s">
        <v>60</v>
      </c>
      <c r="B293" s="76" t="s">
        <v>22</v>
      </c>
      <c r="C293" s="69" t="s">
        <v>38</v>
      </c>
      <c r="D293" s="69"/>
      <c r="E293" s="69"/>
      <c r="F293" s="69"/>
      <c r="G293" s="71">
        <f>SUM(G294,G297,G299)</f>
        <v>160147.40600000002</v>
      </c>
      <c r="H293" s="71">
        <f>SUM(H294,H297,H299)</f>
        <v>149039</v>
      </c>
      <c r="I293" s="71">
        <f>SUM(I294,I297,I299)</f>
        <v>149039</v>
      </c>
    </row>
    <row r="294" spans="1:9" s="11" customFormat="1" ht="25.5" x14ac:dyDescent="0.2">
      <c r="A294" s="10" t="s">
        <v>227</v>
      </c>
      <c r="B294" s="8" t="s">
        <v>22</v>
      </c>
      <c r="C294" s="8">
        <v>5</v>
      </c>
      <c r="D294" s="8" t="s">
        <v>82</v>
      </c>
      <c r="E294" s="8" t="s">
        <v>226</v>
      </c>
      <c r="F294" s="8"/>
      <c r="G294" s="9">
        <f>G295+G296</f>
        <v>718.10599999999999</v>
      </c>
      <c r="H294" s="9">
        <f>H295+H296</f>
        <v>31</v>
      </c>
      <c r="I294" s="9">
        <f>I295+I296</f>
        <v>31</v>
      </c>
    </row>
    <row r="295" spans="1:9" s="11" customFormat="1" ht="51" x14ac:dyDescent="0.2">
      <c r="A295" s="14" t="s">
        <v>3</v>
      </c>
      <c r="B295" s="15" t="s">
        <v>22</v>
      </c>
      <c r="C295" s="15">
        <v>5</v>
      </c>
      <c r="D295" s="15" t="s">
        <v>82</v>
      </c>
      <c r="E295" s="15" t="s">
        <v>226</v>
      </c>
      <c r="F295" s="16" t="s">
        <v>4</v>
      </c>
      <c r="G295" s="17">
        <f>17.2</f>
        <v>17.2</v>
      </c>
      <c r="H295" s="17">
        <v>17.2</v>
      </c>
      <c r="I295" s="17">
        <v>17.2</v>
      </c>
    </row>
    <row r="296" spans="1:9" s="11" customFormat="1" ht="25.5" x14ac:dyDescent="0.2">
      <c r="A296" s="14" t="s">
        <v>87</v>
      </c>
      <c r="B296" s="15" t="s">
        <v>22</v>
      </c>
      <c r="C296" s="15">
        <v>5</v>
      </c>
      <c r="D296" s="15" t="s">
        <v>82</v>
      </c>
      <c r="E296" s="15" t="s">
        <v>226</v>
      </c>
      <c r="F296" s="16" t="s">
        <v>5</v>
      </c>
      <c r="G296" s="17">
        <f>699.906+1</f>
        <v>700.90599999999995</v>
      </c>
      <c r="H296" s="17">
        <v>13.8</v>
      </c>
      <c r="I296" s="17">
        <v>13.8</v>
      </c>
    </row>
    <row r="297" spans="1:9" ht="51" x14ac:dyDescent="0.2">
      <c r="A297" s="60" t="s">
        <v>202</v>
      </c>
      <c r="B297" s="61" t="s">
        <v>22</v>
      </c>
      <c r="C297" s="61">
        <v>5</v>
      </c>
      <c r="D297" s="61" t="s">
        <v>82</v>
      </c>
      <c r="E297" s="61">
        <v>70160</v>
      </c>
      <c r="F297" s="61"/>
      <c r="G297" s="62">
        <f>G298</f>
        <v>113086.5</v>
      </c>
      <c r="H297" s="62">
        <f>H298</f>
        <v>107263</v>
      </c>
      <c r="I297" s="62">
        <f>I298</f>
        <v>107263</v>
      </c>
    </row>
    <row r="298" spans="1:9" ht="25.5" x14ac:dyDescent="0.2">
      <c r="A298" s="67" t="s">
        <v>138</v>
      </c>
      <c r="B298" s="64" t="s">
        <v>22</v>
      </c>
      <c r="C298" s="64">
        <v>5</v>
      </c>
      <c r="D298" s="64" t="s">
        <v>82</v>
      </c>
      <c r="E298" s="64">
        <v>70160</v>
      </c>
      <c r="F298" s="64" t="s">
        <v>2</v>
      </c>
      <c r="G298" s="66">
        <f>85897+21366+4032.5+452+1339</f>
        <v>113086.5</v>
      </c>
      <c r="H298" s="66">
        <f>85897+21366</f>
        <v>107263</v>
      </c>
      <c r="I298" s="66">
        <f>85897+21366</f>
        <v>107263</v>
      </c>
    </row>
    <row r="299" spans="1:9" ht="63.75" x14ac:dyDescent="0.2">
      <c r="A299" s="60" t="s">
        <v>203</v>
      </c>
      <c r="B299" s="61" t="s">
        <v>22</v>
      </c>
      <c r="C299" s="61">
        <v>5</v>
      </c>
      <c r="D299" s="61" t="s">
        <v>82</v>
      </c>
      <c r="E299" s="61">
        <v>70170</v>
      </c>
      <c r="F299" s="61"/>
      <c r="G299" s="62">
        <f>G300+G302+G303+G301</f>
        <v>46342.8</v>
      </c>
      <c r="H299" s="62">
        <f t="shared" ref="H299:I299" si="39">H300+H302+H303+H301</f>
        <v>41745</v>
      </c>
      <c r="I299" s="62">
        <f t="shared" si="39"/>
        <v>41745</v>
      </c>
    </row>
    <row r="300" spans="1:9" ht="51" x14ac:dyDescent="0.2">
      <c r="A300" s="63" t="s">
        <v>3</v>
      </c>
      <c r="B300" s="64" t="s">
        <v>22</v>
      </c>
      <c r="C300" s="64">
        <v>5</v>
      </c>
      <c r="D300" s="64" t="s">
        <v>82</v>
      </c>
      <c r="E300" s="64">
        <v>70170</v>
      </c>
      <c r="F300" s="65" t="s">
        <v>4</v>
      </c>
      <c r="G300" s="66">
        <f>33290+1417+4357.8+0.1+26+4+110</f>
        <v>39204.9</v>
      </c>
      <c r="H300" s="66">
        <f>33290+1417</f>
        <v>34707</v>
      </c>
      <c r="I300" s="66">
        <f>33290+1417</f>
        <v>34707</v>
      </c>
    </row>
    <row r="301" spans="1:9" ht="25.5" x14ac:dyDescent="0.2">
      <c r="A301" s="63" t="s">
        <v>87</v>
      </c>
      <c r="B301" s="64" t="s">
        <v>22</v>
      </c>
      <c r="C301" s="64">
        <v>5</v>
      </c>
      <c r="D301" s="64" t="s">
        <v>82</v>
      </c>
      <c r="E301" s="64">
        <v>70170</v>
      </c>
      <c r="F301" s="65" t="s">
        <v>5</v>
      </c>
      <c r="G301" s="66">
        <f>180+6544-2.3+100+30-0.1-26+26-30+3</f>
        <v>6824.5999999999995</v>
      </c>
      <c r="H301" s="66">
        <f>180+6544</f>
        <v>6724</v>
      </c>
      <c r="I301" s="66">
        <f>180+6544</f>
        <v>6724</v>
      </c>
    </row>
    <row r="302" spans="1:9" s="11" customFormat="1" x14ac:dyDescent="0.2">
      <c r="A302" s="19" t="s">
        <v>6</v>
      </c>
      <c r="B302" s="15" t="s">
        <v>22</v>
      </c>
      <c r="C302" s="15">
        <v>5</v>
      </c>
      <c r="D302" s="15" t="s">
        <v>82</v>
      </c>
      <c r="E302" s="15">
        <v>70170</v>
      </c>
      <c r="F302" s="16" t="s">
        <v>7</v>
      </c>
      <c r="G302" s="17">
        <v>2.2999999999999998</v>
      </c>
      <c r="H302" s="17">
        <v>0</v>
      </c>
      <c r="I302" s="17">
        <v>0</v>
      </c>
    </row>
    <row r="303" spans="1:9" x14ac:dyDescent="0.2">
      <c r="A303" s="67" t="s">
        <v>9</v>
      </c>
      <c r="B303" s="64" t="s">
        <v>22</v>
      </c>
      <c r="C303" s="64">
        <v>5</v>
      </c>
      <c r="D303" s="64" t="s">
        <v>82</v>
      </c>
      <c r="E303" s="64">
        <v>70170</v>
      </c>
      <c r="F303" s="64" t="s">
        <v>10</v>
      </c>
      <c r="G303" s="66">
        <f>314-3</f>
        <v>311</v>
      </c>
      <c r="H303" s="66">
        <v>314</v>
      </c>
      <c r="I303" s="66">
        <v>314</v>
      </c>
    </row>
    <row r="304" spans="1:9" ht="25.5" x14ac:dyDescent="0.2">
      <c r="A304" s="75" t="s">
        <v>61</v>
      </c>
      <c r="B304" s="76" t="s">
        <v>22</v>
      </c>
      <c r="C304" s="69" t="s">
        <v>54</v>
      </c>
      <c r="D304" s="69"/>
      <c r="E304" s="69"/>
      <c r="F304" s="69"/>
      <c r="G304" s="71">
        <f>SUM(G305,G308,G311,G314,G316,G319,G325,G328,G334,G338,G341,G344,G347,G350,G352,G354,G357,G360,G363,G366,G369,G372,G375,G379)+G331+G381+G322</f>
        <v>475594.89487999998</v>
      </c>
      <c r="H304" s="71">
        <f>SUM(H305,H308,H311,H314,H316,H319,H325,H328,H334,H338,H341,H344,H347,H350,H352,H354,H357,H360,H363,H366,H369,H372,H375,H379)+H331+H381+H322</f>
        <v>455310.7</v>
      </c>
      <c r="I304" s="71">
        <f>SUM(I305,I308,I311,I314,I316,I319,I325,I328,I334,I338,I341,I344,I347,I350,I352,I354,I357,I360,I363,I366,I369,I372,I375,I379)+I331+I381+I322</f>
        <v>460438.7</v>
      </c>
    </row>
    <row r="305" spans="1:9" s="11" customFormat="1" ht="38.25" x14ac:dyDescent="0.2">
      <c r="A305" s="10" t="s">
        <v>204</v>
      </c>
      <c r="B305" s="8" t="s">
        <v>22</v>
      </c>
      <c r="C305" s="8">
        <v>6</v>
      </c>
      <c r="D305" s="8" t="s">
        <v>82</v>
      </c>
      <c r="E305" s="8">
        <v>51370</v>
      </c>
      <c r="F305" s="8"/>
      <c r="G305" s="9">
        <f>G307+G306</f>
        <v>417</v>
      </c>
      <c r="H305" s="9">
        <f>H307+H306</f>
        <v>521</v>
      </c>
      <c r="I305" s="9">
        <f>I307+I306</f>
        <v>541</v>
      </c>
    </row>
    <row r="306" spans="1:9" s="11" customFormat="1" ht="25.5" x14ac:dyDescent="0.2">
      <c r="A306" s="14" t="s">
        <v>87</v>
      </c>
      <c r="B306" s="15" t="s">
        <v>22</v>
      </c>
      <c r="C306" s="15">
        <v>6</v>
      </c>
      <c r="D306" s="15" t="s">
        <v>82</v>
      </c>
      <c r="E306" s="15">
        <v>51370</v>
      </c>
      <c r="F306" s="16" t="s">
        <v>5</v>
      </c>
      <c r="G306" s="17">
        <v>2.2000000000000002</v>
      </c>
      <c r="H306" s="17">
        <v>2.2000000000000002</v>
      </c>
      <c r="I306" s="17">
        <v>2.2000000000000002</v>
      </c>
    </row>
    <row r="307" spans="1:9" x14ac:dyDescent="0.2">
      <c r="A307" s="67" t="s">
        <v>6</v>
      </c>
      <c r="B307" s="64" t="s">
        <v>22</v>
      </c>
      <c r="C307" s="64">
        <v>6</v>
      </c>
      <c r="D307" s="64" t="s">
        <v>82</v>
      </c>
      <c r="E307" s="64">
        <v>51370</v>
      </c>
      <c r="F307" s="64" t="s">
        <v>7</v>
      </c>
      <c r="G307" s="66">
        <f>459.8-45</f>
        <v>414.8</v>
      </c>
      <c r="H307" s="66">
        <v>518.79999999999995</v>
      </c>
      <c r="I307" s="66">
        <v>538.79999999999995</v>
      </c>
    </row>
    <row r="308" spans="1:9" ht="38.25" x14ac:dyDescent="0.2">
      <c r="A308" s="60" t="s">
        <v>297</v>
      </c>
      <c r="B308" s="61" t="s">
        <v>22</v>
      </c>
      <c r="C308" s="61">
        <v>6</v>
      </c>
      <c r="D308" s="61" t="s">
        <v>82</v>
      </c>
      <c r="E308" s="61">
        <v>52200</v>
      </c>
      <c r="F308" s="61"/>
      <c r="G308" s="62">
        <f>G310+G309</f>
        <v>8815.6948800000009</v>
      </c>
      <c r="H308" s="62">
        <f>H310+H309</f>
        <v>8484</v>
      </c>
      <c r="I308" s="62">
        <f>I310+I309</f>
        <v>8824</v>
      </c>
    </row>
    <row r="309" spans="1:9" ht="25.5" x14ac:dyDescent="0.2">
      <c r="A309" s="63" t="s">
        <v>87</v>
      </c>
      <c r="B309" s="64" t="s">
        <v>22</v>
      </c>
      <c r="C309" s="64">
        <v>6</v>
      </c>
      <c r="D309" s="64" t="s">
        <v>82</v>
      </c>
      <c r="E309" s="64">
        <v>52200</v>
      </c>
      <c r="F309" s="65" t="s">
        <v>5</v>
      </c>
      <c r="G309" s="66">
        <f>40+2.30283+0.33907+0.06781+0.20345+0.27126</f>
        <v>43.184419999999996</v>
      </c>
      <c r="H309" s="66">
        <v>43</v>
      </c>
      <c r="I309" s="66">
        <v>44</v>
      </c>
    </row>
    <row r="310" spans="1:9" x14ac:dyDescent="0.2">
      <c r="A310" s="67" t="s">
        <v>6</v>
      </c>
      <c r="B310" s="64" t="s">
        <v>22</v>
      </c>
      <c r="C310" s="64">
        <v>6</v>
      </c>
      <c r="D310" s="64" t="s">
        <v>82</v>
      </c>
      <c r="E310" s="64">
        <v>52200</v>
      </c>
      <c r="F310" s="64" t="s">
        <v>7</v>
      </c>
      <c r="G310" s="66">
        <f>8166-48+478.19432+67.8139+13.56278+40.68834+54.25112</f>
        <v>8772.5104600000013</v>
      </c>
      <c r="H310" s="66">
        <f>8491-50</f>
        <v>8441</v>
      </c>
      <c r="I310" s="66">
        <f>8832-52</f>
        <v>8780</v>
      </c>
    </row>
    <row r="311" spans="1:9" s="11" customFormat="1" ht="25.5" x14ac:dyDescent="0.2">
      <c r="A311" s="10" t="s">
        <v>205</v>
      </c>
      <c r="B311" s="8" t="s">
        <v>22</v>
      </c>
      <c r="C311" s="8">
        <v>6</v>
      </c>
      <c r="D311" s="8" t="s">
        <v>82</v>
      </c>
      <c r="E311" s="8">
        <v>52500</v>
      </c>
      <c r="F311" s="8"/>
      <c r="G311" s="9">
        <f>G313+G312</f>
        <v>56361</v>
      </c>
      <c r="H311" s="9">
        <f>H313+H312</f>
        <v>57502</v>
      </c>
      <c r="I311" s="9">
        <f>I313+I312</f>
        <v>57502</v>
      </c>
    </row>
    <row r="312" spans="1:9" s="11" customFormat="1" ht="25.5" x14ac:dyDescent="0.2">
      <c r="A312" s="14" t="s">
        <v>87</v>
      </c>
      <c r="B312" s="15" t="s">
        <v>22</v>
      </c>
      <c r="C312" s="15">
        <v>6</v>
      </c>
      <c r="D312" s="15" t="s">
        <v>82</v>
      </c>
      <c r="E312" s="15">
        <v>52500</v>
      </c>
      <c r="F312" s="16" t="s">
        <v>5</v>
      </c>
      <c r="G312" s="17">
        <f>561.5+146.5</f>
        <v>708</v>
      </c>
      <c r="H312" s="17">
        <f>571.5+161.5</f>
        <v>733</v>
      </c>
      <c r="I312" s="17">
        <f>571.5+161.5</f>
        <v>733</v>
      </c>
    </row>
    <row r="313" spans="1:9" s="11" customFormat="1" x14ac:dyDescent="0.2">
      <c r="A313" s="19" t="s">
        <v>6</v>
      </c>
      <c r="B313" s="15" t="s">
        <v>22</v>
      </c>
      <c r="C313" s="15">
        <v>6</v>
      </c>
      <c r="D313" s="15" t="s">
        <v>82</v>
      </c>
      <c r="E313" s="15">
        <v>52500</v>
      </c>
      <c r="F313" s="15" t="s">
        <v>7</v>
      </c>
      <c r="G313" s="17">
        <v>55653</v>
      </c>
      <c r="H313" s="17">
        <v>56769</v>
      </c>
      <c r="I313" s="17">
        <v>56769</v>
      </c>
    </row>
    <row r="314" spans="1:9" s="11" customFormat="1" ht="76.5" x14ac:dyDescent="0.2">
      <c r="A314" s="10" t="s">
        <v>298</v>
      </c>
      <c r="B314" s="8" t="s">
        <v>22</v>
      </c>
      <c r="C314" s="8">
        <v>6</v>
      </c>
      <c r="D314" s="8" t="s">
        <v>82</v>
      </c>
      <c r="E314" s="8">
        <v>52700</v>
      </c>
      <c r="F314" s="8"/>
      <c r="G314" s="9">
        <f>G315</f>
        <v>242</v>
      </c>
      <c r="H314" s="9">
        <f>H315</f>
        <v>1534</v>
      </c>
      <c r="I314" s="9">
        <f>I315</f>
        <v>1595</v>
      </c>
    </row>
    <row r="315" spans="1:9" x14ac:dyDescent="0.2">
      <c r="A315" s="67" t="s">
        <v>6</v>
      </c>
      <c r="B315" s="64" t="s">
        <v>22</v>
      </c>
      <c r="C315" s="64">
        <v>6</v>
      </c>
      <c r="D315" s="64" t="s">
        <v>82</v>
      </c>
      <c r="E315" s="64">
        <v>52700</v>
      </c>
      <c r="F315" s="64" t="s">
        <v>7</v>
      </c>
      <c r="G315" s="66">
        <f>1482-350-150-350-390</f>
        <v>242</v>
      </c>
      <c r="H315" s="66">
        <v>1534</v>
      </c>
      <c r="I315" s="66">
        <v>1595</v>
      </c>
    </row>
    <row r="316" spans="1:9" s="11" customFormat="1" ht="76.5" x14ac:dyDescent="0.2">
      <c r="A316" s="10" t="s">
        <v>299</v>
      </c>
      <c r="B316" s="8" t="s">
        <v>22</v>
      </c>
      <c r="C316" s="8">
        <v>6</v>
      </c>
      <c r="D316" s="8" t="s">
        <v>82</v>
      </c>
      <c r="E316" s="8">
        <v>52800</v>
      </c>
      <c r="F316" s="8"/>
      <c r="G316" s="9">
        <f>G317+G318</f>
        <v>10.5</v>
      </c>
      <c r="H316" s="9">
        <f>H317+H318</f>
        <v>10</v>
      </c>
      <c r="I316" s="9">
        <f>I317+I318</f>
        <v>10</v>
      </c>
    </row>
    <row r="317" spans="1:9" ht="25.5" x14ac:dyDescent="0.2">
      <c r="A317" s="63" t="s">
        <v>87</v>
      </c>
      <c r="B317" s="64" t="s">
        <v>22</v>
      </c>
      <c r="C317" s="64">
        <v>6</v>
      </c>
      <c r="D317" s="64" t="s">
        <v>82</v>
      </c>
      <c r="E317" s="64">
        <v>52800</v>
      </c>
      <c r="F317" s="65" t="s">
        <v>5</v>
      </c>
      <c r="G317" s="66">
        <f>0.1-0.05403+0.01155</f>
        <v>5.7520000000000002E-2</v>
      </c>
      <c r="H317" s="66">
        <v>0.1</v>
      </c>
      <c r="I317" s="66">
        <v>0.1</v>
      </c>
    </row>
    <row r="318" spans="1:9" x14ac:dyDescent="0.2">
      <c r="A318" s="67" t="s">
        <v>6</v>
      </c>
      <c r="B318" s="64" t="s">
        <v>22</v>
      </c>
      <c r="C318" s="64">
        <v>6</v>
      </c>
      <c r="D318" s="64" t="s">
        <v>82</v>
      </c>
      <c r="E318" s="64">
        <v>52800</v>
      </c>
      <c r="F318" s="64" t="s">
        <v>7</v>
      </c>
      <c r="G318" s="66">
        <f>8.9+0.05403+1.48845</f>
        <v>10.44248</v>
      </c>
      <c r="H318" s="66">
        <v>9.9</v>
      </c>
      <c r="I318" s="66">
        <v>9.9</v>
      </c>
    </row>
    <row r="319" spans="1:9" s="11" customFormat="1" ht="89.25" x14ac:dyDescent="0.2">
      <c r="A319" s="10" t="s">
        <v>206</v>
      </c>
      <c r="B319" s="8" t="s">
        <v>22</v>
      </c>
      <c r="C319" s="8">
        <v>6</v>
      </c>
      <c r="D319" s="8" t="s">
        <v>82</v>
      </c>
      <c r="E319" s="8">
        <v>53800</v>
      </c>
      <c r="F319" s="8"/>
      <c r="G319" s="9">
        <f>G321+G320</f>
        <v>51525</v>
      </c>
      <c r="H319" s="9">
        <f>H321+H320</f>
        <v>57742</v>
      </c>
      <c r="I319" s="9">
        <f>I321+I320</f>
        <v>60051</v>
      </c>
    </row>
    <row r="320" spans="1:9" s="11" customFormat="1" ht="25.5" x14ac:dyDescent="0.2">
      <c r="A320" s="14" t="s">
        <v>87</v>
      </c>
      <c r="B320" s="8" t="s">
        <v>22</v>
      </c>
      <c r="C320" s="8">
        <v>6</v>
      </c>
      <c r="D320" s="8" t="s">
        <v>82</v>
      </c>
      <c r="E320" s="8">
        <v>53800</v>
      </c>
      <c r="F320" s="16" t="s">
        <v>5</v>
      </c>
      <c r="G320" s="17">
        <v>1</v>
      </c>
      <c r="H320" s="17">
        <v>1</v>
      </c>
      <c r="I320" s="17">
        <v>1</v>
      </c>
    </row>
    <row r="321" spans="1:9" x14ac:dyDescent="0.2">
      <c r="A321" s="67" t="s">
        <v>6</v>
      </c>
      <c r="B321" s="61" t="s">
        <v>22</v>
      </c>
      <c r="C321" s="61">
        <v>6</v>
      </c>
      <c r="D321" s="61" t="s">
        <v>82</v>
      </c>
      <c r="E321" s="61">
        <v>53800</v>
      </c>
      <c r="F321" s="64" t="s">
        <v>7</v>
      </c>
      <c r="G321" s="66">
        <f>55852-311-4017</f>
        <v>51524</v>
      </c>
      <c r="H321" s="66">
        <f>58077-336</f>
        <v>57741</v>
      </c>
      <c r="I321" s="66">
        <f>60400-350</f>
        <v>60050</v>
      </c>
    </row>
    <row r="322" spans="1:9" ht="38.25" x14ac:dyDescent="0.2">
      <c r="A322" s="60" t="s">
        <v>351</v>
      </c>
      <c r="B322" s="61" t="s">
        <v>22</v>
      </c>
      <c r="C322" s="61">
        <v>6</v>
      </c>
      <c r="D322" s="61" t="s">
        <v>82</v>
      </c>
      <c r="E322" s="61" t="s">
        <v>350</v>
      </c>
      <c r="F322" s="61"/>
      <c r="G322" s="62">
        <f>G324+G323</f>
        <v>8526</v>
      </c>
      <c r="H322" s="62">
        <f t="shared" ref="H322:I322" si="40">H324+H323</f>
        <v>0</v>
      </c>
      <c r="I322" s="62">
        <f t="shared" si="40"/>
        <v>0</v>
      </c>
    </row>
    <row r="323" spans="1:9" ht="25.5" x14ac:dyDescent="0.2">
      <c r="A323" s="67" t="s">
        <v>87</v>
      </c>
      <c r="B323" s="64" t="s">
        <v>22</v>
      </c>
      <c r="C323" s="64">
        <v>6</v>
      </c>
      <c r="D323" s="64" t="s">
        <v>82</v>
      </c>
      <c r="E323" s="64" t="s">
        <v>350</v>
      </c>
      <c r="F323" s="64" t="s">
        <v>5</v>
      </c>
      <c r="G323" s="66">
        <f>29.1+3.09+5</f>
        <v>37.19</v>
      </c>
      <c r="H323" s="66">
        <v>0</v>
      </c>
      <c r="I323" s="66">
        <v>0</v>
      </c>
    </row>
    <row r="324" spans="1:9" x14ac:dyDescent="0.2">
      <c r="A324" s="67" t="s">
        <v>6</v>
      </c>
      <c r="B324" s="64" t="s">
        <v>22</v>
      </c>
      <c r="C324" s="64">
        <v>6</v>
      </c>
      <c r="D324" s="64" t="s">
        <v>82</v>
      </c>
      <c r="E324" s="64" t="s">
        <v>350</v>
      </c>
      <c r="F324" s="64" t="s">
        <v>7</v>
      </c>
      <c r="G324" s="66">
        <f>6726-29.1+796.91+995</f>
        <v>8488.81</v>
      </c>
      <c r="H324" s="66">
        <v>0</v>
      </c>
      <c r="I324" s="66">
        <v>0</v>
      </c>
    </row>
    <row r="325" spans="1:9" s="11" customFormat="1" ht="63.75" x14ac:dyDescent="0.2">
      <c r="A325" s="10" t="s">
        <v>207</v>
      </c>
      <c r="B325" s="8" t="s">
        <v>22</v>
      </c>
      <c r="C325" s="8">
        <v>6</v>
      </c>
      <c r="D325" s="8" t="s">
        <v>82</v>
      </c>
      <c r="E325" s="8">
        <v>70010</v>
      </c>
      <c r="F325" s="8"/>
      <c r="G325" s="9">
        <f>G327+G326</f>
        <v>26014</v>
      </c>
      <c r="H325" s="9">
        <f t="shared" ref="H325:I325" si="41">H327+H326</f>
        <v>26014</v>
      </c>
      <c r="I325" s="9">
        <f t="shared" si="41"/>
        <v>26014</v>
      </c>
    </row>
    <row r="326" spans="1:9" s="4" customFormat="1" ht="25.5" x14ac:dyDescent="0.2">
      <c r="A326" s="14" t="s">
        <v>87</v>
      </c>
      <c r="B326" s="15" t="s">
        <v>22</v>
      </c>
      <c r="C326" s="15">
        <v>6</v>
      </c>
      <c r="D326" s="15" t="s">
        <v>82</v>
      </c>
      <c r="E326" s="15">
        <v>70010</v>
      </c>
      <c r="F326" s="16" t="s">
        <v>5</v>
      </c>
      <c r="G326" s="17">
        <f>185.1+72.2</f>
        <v>257.3</v>
      </c>
      <c r="H326" s="17">
        <f>185.1+72.2</f>
        <v>257.3</v>
      </c>
      <c r="I326" s="17">
        <f>185.1+72.2</f>
        <v>257.3</v>
      </c>
    </row>
    <row r="327" spans="1:9" s="11" customFormat="1" x14ac:dyDescent="0.2">
      <c r="A327" s="19" t="s">
        <v>6</v>
      </c>
      <c r="B327" s="15" t="s">
        <v>22</v>
      </c>
      <c r="C327" s="15">
        <v>6</v>
      </c>
      <c r="D327" s="15" t="s">
        <v>82</v>
      </c>
      <c r="E327" s="15">
        <v>70010</v>
      </c>
      <c r="F327" s="15" t="s">
        <v>7</v>
      </c>
      <c r="G327" s="17">
        <f>24301.7+1455</f>
        <v>25756.7</v>
      </c>
      <c r="H327" s="17">
        <f>24301.7+1455</f>
        <v>25756.7</v>
      </c>
      <c r="I327" s="17">
        <f>24301.7+1455</f>
        <v>25756.7</v>
      </c>
    </row>
    <row r="328" spans="1:9" s="11" customFormat="1" ht="127.5" x14ac:dyDescent="0.2">
      <c r="A328" s="10" t="s">
        <v>300</v>
      </c>
      <c r="B328" s="8" t="s">
        <v>22</v>
      </c>
      <c r="C328" s="8">
        <v>6</v>
      </c>
      <c r="D328" s="8" t="s">
        <v>82</v>
      </c>
      <c r="E328" s="8">
        <v>70020</v>
      </c>
      <c r="F328" s="8"/>
      <c r="G328" s="9">
        <f>G330+G329</f>
        <v>1712</v>
      </c>
      <c r="H328" s="9">
        <f t="shared" ref="H328:I328" si="42">H330+H329</f>
        <v>1612</v>
      </c>
      <c r="I328" s="9">
        <f t="shared" si="42"/>
        <v>1612</v>
      </c>
    </row>
    <row r="329" spans="1:9" s="11" customFormat="1" ht="25.5" x14ac:dyDescent="0.2">
      <c r="A329" s="14" t="s">
        <v>87</v>
      </c>
      <c r="B329" s="15" t="s">
        <v>22</v>
      </c>
      <c r="C329" s="15">
        <v>6</v>
      </c>
      <c r="D329" s="15" t="s">
        <v>82</v>
      </c>
      <c r="E329" s="15">
        <v>70020</v>
      </c>
      <c r="F329" s="16" t="s">
        <v>5</v>
      </c>
      <c r="G329" s="17">
        <f>28+1.6</f>
        <v>29.6</v>
      </c>
      <c r="H329" s="17">
        <f>28+1.6</f>
        <v>29.6</v>
      </c>
      <c r="I329" s="17">
        <f>28+1.6</f>
        <v>29.6</v>
      </c>
    </row>
    <row r="330" spans="1:9" x14ac:dyDescent="0.2">
      <c r="A330" s="67" t="s">
        <v>6</v>
      </c>
      <c r="B330" s="64" t="s">
        <v>22</v>
      </c>
      <c r="C330" s="64">
        <v>6</v>
      </c>
      <c r="D330" s="64" t="s">
        <v>82</v>
      </c>
      <c r="E330" s="64">
        <v>70020</v>
      </c>
      <c r="F330" s="64" t="s">
        <v>7</v>
      </c>
      <c r="G330" s="66">
        <f>1562.4+20+100</f>
        <v>1682.4</v>
      </c>
      <c r="H330" s="66">
        <f>1562.4+20</f>
        <v>1582.4</v>
      </c>
      <c r="I330" s="66">
        <f>1562.4+20</f>
        <v>1582.4</v>
      </c>
    </row>
    <row r="331" spans="1:9" s="11" customFormat="1" ht="63" customHeight="1" x14ac:dyDescent="0.2">
      <c r="A331" s="10" t="s">
        <v>208</v>
      </c>
      <c r="B331" s="8" t="s">
        <v>22</v>
      </c>
      <c r="C331" s="8">
        <v>6</v>
      </c>
      <c r="D331" s="8" t="s">
        <v>82</v>
      </c>
      <c r="E331" s="8">
        <v>70030</v>
      </c>
      <c r="F331" s="8"/>
      <c r="G331" s="9">
        <f>G333+G332</f>
        <v>9082</v>
      </c>
      <c r="H331" s="9">
        <f t="shared" ref="H331:I331" si="43">H333+H332</f>
        <v>9182</v>
      </c>
      <c r="I331" s="9">
        <f t="shared" si="43"/>
        <v>9182</v>
      </c>
    </row>
    <row r="332" spans="1:9" s="11" customFormat="1" ht="25.5" x14ac:dyDescent="0.2">
      <c r="A332" s="14" t="s">
        <v>87</v>
      </c>
      <c r="B332" s="15" t="s">
        <v>22</v>
      </c>
      <c r="C332" s="15">
        <v>6</v>
      </c>
      <c r="D332" s="15" t="s">
        <v>82</v>
      </c>
      <c r="E332" s="15">
        <v>70030</v>
      </c>
      <c r="F332" s="16" t="s">
        <v>5</v>
      </c>
      <c r="G332" s="17">
        <f>92.5+20.4</f>
        <v>112.9</v>
      </c>
      <c r="H332" s="17">
        <f>92.5+20.4</f>
        <v>112.9</v>
      </c>
      <c r="I332" s="17">
        <f>92.5+20.4</f>
        <v>112.9</v>
      </c>
    </row>
    <row r="333" spans="1:9" x14ac:dyDescent="0.2">
      <c r="A333" s="67" t="s">
        <v>6</v>
      </c>
      <c r="B333" s="64" t="s">
        <v>22</v>
      </c>
      <c r="C333" s="64">
        <v>6</v>
      </c>
      <c r="D333" s="64" t="s">
        <v>82</v>
      </c>
      <c r="E333" s="64">
        <v>70030</v>
      </c>
      <c r="F333" s="64" t="s">
        <v>7</v>
      </c>
      <c r="G333" s="66">
        <f>8903.1+166-100</f>
        <v>8969.1</v>
      </c>
      <c r="H333" s="66">
        <f>8903.1+166</f>
        <v>9069.1</v>
      </c>
      <c r="I333" s="66">
        <f>8903.1+166</f>
        <v>9069.1</v>
      </c>
    </row>
    <row r="334" spans="1:9" s="11" customFormat="1" ht="51" x14ac:dyDescent="0.2">
      <c r="A334" s="10" t="s">
        <v>209</v>
      </c>
      <c r="B334" s="8" t="s">
        <v>22</v>
      </c>
      <c r="C334" s="8">
        <v>6</v>
      </c>
      <c r="D334" s="8" t="s">
        <v>82</v>
      </c>
      <c r="E334" s="8">
        <v>70050</v>
      </c>
      <c r="F334" s="8"/>
      <c r="G334" s="9">
        <f>G336+G337+G335</f>
        <v>20403</v>
      </c>
      <c r="H334" s="9">
        <f>H336+H337+H335</f>
        <v>20403</v>
      </c>
      <c r="I334" s="9">
        <f>I336+I337+I335</f>
        <v>20403</v>
      </c>
    </row>
    <row r="335" spans="1:9" s="11" customFormat="1" ht="25.5" x14ac:dyDescent="0.2">
      <c r="A335" s="14" t="s">
        <v>87</v>
      </c>
      <c r="B335" s="15" t="s">
        <v>22</v>
      </c>
      <c r="C335" s="15">
        <v>6</v>
      </c>
      <c r="D335" s="15" t="s">
        <v>82</v>
      </c>
      <c r="E335" s="15">
        <v>70050</v>
      </c>
      <c r="F335" s="16" t="s">
        <v>5</v>
      </c>
      <c r="G335" s="17">
        <f>1+62.9</f>
        <v>63.9</v>
      </c>
      <c r="H335" s="17">
        <f>1+62.9</f>
        <v>63.9</v>
      </c>
      <c r="I335" s="17">
        <f>1+62.9</f>
        <v>63.9</v>
      </c>
    </row>
    <row r="336" spans="1:9" s="11" customFormat="1" x14ac:dyDescent="0.2">
      <c r="A336" s="19" t="s">
        <v>6</v>
      </c>
      <c r="B336" s="15" t="s">
        <v>22</v>
      </c>
      <c r="C336" s="15">
        <v>6</v>
      </c>
      <c r="D336" s="15" t="s">
        <v>82</v>
      </c>
      <c r="E336" s="15">
        <v>70050</v>
      </c>
      <c r="F336" s="15" t="s">
        <v>7</v>
      </c>
      <c r="G336" s="17">
        <f>50+12702.6</f>
        <v>12752.6</v>
      </c>
      <c r="H336" s="17">
        <f>50+12702.6</f>
        <v>12752.6</v>
      </c>
      <c r="I336" s="17">
        <f>50+12702.6</f>
        <v>12752.6</v>
      </c>
    </row>
    <row r="337" spans="1:9" s="11" customFormat="1" ht="25.5" x14ac:dyDescent="0.2">
      <c r="A337" s="19" t="s">
        <v>138</v>
      </c>
      <c r="B337" s="15" t="s">
        <v>22</v>
      </c>
      <c r="C337" s="15">
        <v>6</v>
      </c>
      <c r="D337" s="15" t="s">
        <v>82</v>
      </c>
      <c r="E337" s="15">
        <v>70050</v>
      </c>
      <c r="F337" s="15" t="s">
        <v>2</v>
      </c>
      <c r="G337" s="17">
        <v>7586.5</v>
      </c>
      <c r="H337" s="17">
        <v>7586.5</v>
      </c>
      <c r="I337" s="17">
        <v>7586.5</v>
      </c>
    </row>
    <row r="338" spans="1:9" s="11" customFormat="1" ht="51" x14ac:dyDescent="0.2">
      <c r="A338" s="10" t="s">
        <v>210</v>
      </c>
      <c r="B338" s="8" t="s">
        <v>22</v>
      </c>
      <c r="C338" s="8">
        <v>6</v>
      </c>
      <c r="D338" s="8" t="s">
        <v>82</v>
      </c>
      <c r="E338" s="8">
        <v>70060</v>
      </c>
      <c r="F338" s="8"/>
      <c r="G338" s="9">
        <f>G340+G339</f>
        <v>462.29999999999995</v>
      </c>
      <c r="H338" s="9">
        <f t="shared" ref="H338:I338" si="44">H340+H339</f>
        <v>460.29999999999995</v>
      </c>
      <c r="I338" s="9">
        <f t="shared" si="44"/>
        <v>460.29999999999995</v>
      </c>
    </row>
    <row r="339" spans="1:9" s="11" customFormat="1" ht="25.5" x14ac:dyDescent="0.2">
      <c r="A339" s="14" t="s">
        <v>87</v>
      </c>
      <c r="B339" s="15" t="s">
        <v>22</v>
      </c>
      <c r="C339" s="15">
        <v>6</v>
      </c>
      <c r="D339" s="15" t="s">
        <v>82</v>
      </c>
      <c r="E339" s="15">
        <v>70060</v>
      </c>
      <c r="F339" s="16" t="s">
        <v>5</v>
      </c>
      <c r="G339" s="17">
        <f>3.1+1.8</f>
        <v>4.9000000000000004</v>
      </c>
      <c r="H339" s="17">
        <f>3.1+1.8</f>
        <v>4.9000000000000004</v>
      </c>
      <c r="I339" s="17">
        <f>3.1+1.8</f>
        <v>4.9000000000000004</v>
      </c>
    </row>
    <row r="340" spans="1:9" s="11" customFormat="1" x14ac:dyDescent="0.2">
      <c r="A340" s="19" t="s">
        <v>6</v>
      </c>
      <c r="B340" s="15" t="s">
        <v>22</v>
      </c>
      <c r="C340" s="15">
        <v>6</v>
      </c>
      <c r="D340" s="15" t="s">
        <v>82</v>
      </c>
      <c r="E340" s="15">
        <v>70060</v>
      </c>
      <c r="F340" s="15" t="s">
        <v>7</v>
      </c>
      <c r="G340" s="17">
        <f>445.4+10+32-30</f>
        <v>457.4</v>
      </c>
      <c r="H340" s="17">
        <f>445.4+10</f>
        <v>455.4</v>
      </c>
      <c r="I340" s="17">
        <f>445.4+10</f>
        <v>455.4</v>
      </c>
    </row>
    <row r="341" spans="1:9" s="11" customFormat="1" ht="51" x14ac:dyDescent="0.2">
      <c r="A341" s="10" t="s">
        <v>301</v>
      </c>
      <c r="B341" s="8" t="s">
        <v>22</v>
      </c>
      <c r="C341" s="8">
        <v>6</v>
      </c>
      <c r="D341" s="8" t="s">
        <v>82</v>
      </c>
      <c r="E341" s="8">
        <v>70070</v>
      </c>
      <c r="F341" s="8"/>
      <c r="G341" s="9">
        <f>G343+G342</f>
        <v>10.299999999999999</v>
      </c>
      <c r="H341" s="9">
        <f>H343+H342</f>
        <v>10.299999999999999</v>
      </c>
      <c r="I341" s="9">
        <f>I343+I342</f>
        <v>10.299999999999999</v>
      </c>
    </row>
    <row r="342" spans="1:9" s="11" customFormat="1" ht="25.5" x14ac:dyDescent="0.2">
      <c r="A342" s="14" t="s">
        <v>87</v>
      </c>
      <c r="B342" s="15" t="s">
        <v>22</v>
      </c>
      <c r="C342" s="15">
        <v>6</v>
      </c>
      <c r="D342" s="15" t="s">
        <v>82</v>
      </c>
      <c r="E342" s="15">
        <v>70070</v>
      </c>
      <c r="F342" s="16" t="s">
        <v>5</v>
      </c>
      <c r="G342" s="17">
        <v>0.1</v>
      </c>
      <c r="H342" s="17">
        <v>0.1</v>
      </c>
      <c r="I342" s="17">
        <v>0.1</v>
      </c>
    </row>
    <row r="343" spans="1:9" s="11" customFormat="1" x14ac:dyDescent="0.2">
      <c r="A343" s="19" t="s">
        <v>6</v>
      </c>
      <c r="B343" s="15" t="s">
        <v>22</v>
      </c>
      <c r="C343" s="15">
        <v>6</v>
      </c>
      <c r="D343" s="15" t="s">
        <v>82</v>
      </c>
      <c r="E343" s="15">
        <v>70070</v>
      </c>
      <c r="F343" s="15" t="s">
        <v>7</v>
      </c>
      <c r="G343" s="17">
        <v>10.199999999999999</v>
      </c>
      <c r="H343" s="17">
        <v>10.199999999999999</v>
      </c>
      <c r="I343" s="17">
        <v>10.199999999999999</v>
      </c>
    </row>
    <row r="344" spans="1:9" s="11" customFormat="1" ht="51" x14ac:dyDescent="0.2">
      <c r="A344" s="10" t="s">
        <v>211</v>
      </c>
      <c r="B344" s="8" t="s">
        <v>22</v>
      </c>
      <c r="C344" s="8">
        <v>6</v>
      </c>
      <c r="D344" s="8" t="s">
        <v>82</v>
      </c>
      <c r="E344" s="8">
        <v>70080</v>
      </c>
      <c r="F344" s="8"/>
      <c r="G344" s="9">
        <f>G346+G345</f>
        <v>495.9</v>
      </c>
      <c r="H344" s="9">
        <f t="shared" ref="H344:I344" si="45">H346+H345</f>
        <v>525.9</v>
      </c>
      <c r="I344" s="9">
        <f t="shared" si="45"/>
        <v>525.9</v>
      </c>
    </row>
    <row r="345" spans="1:9" s="11" customFormat="1" ht="25.5" x14ac:dyDescent="0.2">
      <c r="A345" s="14" t="s">
        <v>87</v>
      </c>
      <c r="B345" s="15" t="s">
        <v>22</v>
      </c>
      <c r="C345" s="15">
        <v>6</v>
      </c>
      <c r="D345" s="15" t="s">
        <v>82</v>
      </c>
      <c r="E345" s="15">
        <v>70080</v>
      </c>
      <c r="F345" s="16" t="s">
        <v>5</v>
      </c>
      <c r="G345" s="17">
        <f>7+1.5</f>
        <v>8.5</v>
      </c>
      <c r="H345" s="17">
        <f>7+1.5</f>
        <v>8.5</v>
      </c>
      <c r="I345" s="17">
        <f>7+1.5</f>
        <v>8.5</v>
      </c>
    </row>
    <row r="346" spans="1:9" x14ac:dyDescent="0.2">
      <c r="A346" s="67" t="s">
        <v>6</v>
      </c>
      <c r="B346" s="64" t="s">
        <v>22</v>
      </c>
      <c r="C346" s="64">
        <v>6</v>
      </c>
      <c r="D346" s="64" t="s">
        <v>82</v>
      </c>
      <c r="E346" s="64">
        <v>70080</v>
      </c>
      <c r="F346" s="64" t="s">
        <v>7</v>
      </c>
      <c r="G346" s="66">
        <f>477.4+40-30</f>
        <v>487.4</v>
      </c>
      <c r="H346" s="66">
        <f>477.4+40</f>
        <v>517.4</v>
      </c>
      <c r="I346" s="66">
        <f>477.4+40</f>
        <v>517.4</v>
      </c>
    </row>
    <row r="347" spans="1:9" s="11" customFormat="1" ht="25.5" x14ac:dyDescent="0.2">
      <c r="A347" s="10" t="s">
        <v>212</v>
      </c>
      <c r="B347" s="8" t="s">
        <v>22</v>
      </c>
      <c r="C347" s="8">
        <v>6</v>
      </c>
      <c r="D347" s="8" t="s">
        <v>82</v>
      </c>
      <c r="E347" s="8">
        <v>70090</v>
      </c>
      <c r="F347" s="8"/>
      <c r="G347" s="9">
        <f>G349+G348</f>
        <v>90247</v>
      </c>
      <c r="H347" s="9">
        <f>H349+H348</f>
        <v>93047</v>
      </c>
      <c r="I347" s="9">
        <f>I349+I348</f>
        <v>93047</v>
      </c>
    </row>
    <row r="348" spans="1:9" s="11" customFormat="1" ht="25.5" x14ac:dyDescent="0.2">
      <c r="A348" s="14" t="s">
        <v>87</v>
      </c>
      <c r="B348" s="15" t="s">
        <v>22</v>
      </c>
      <c r="C348" s="15">
        <v>6</v>
      </c>
      <c r="D348" s="15" t="s">
        <v>82</v>
      </c>
      <c r="E348" s="15">
        <v>70090</v>
      </c>
      <c r="F348" s="16" t="s">
        <v>5</v>
      </c>
      <c r="G348" s="17">
        <f>56+480</f>
        <v>536</v>
      </c>
      <c r="H348" s="17">
        <v>560</v>
      </c>
      <c r="I348" s="17">
        <v>560</v>
      </c>
    </row>
    <row r="349" spans="1:9" x14ac:dyDescent="0.2">
      <c r="A349" s="67" t="s">
        <v>6</v>
      </c>
      <c r="B349" s="64" t="s">
        <v>22</v>
      </c>
      <c r="C349" s="64">
        <v>6</v>
      </c>
      <c r="D349" s="64" t="s">
        <v>82</v>
      </c>
      <c r="E349" s="64">
        <v>70090</v>
      </c>
      <c r="F349" s="64" t="s">
        <v>7</v>
      </c>
      <c r="G349" s="66">
        <f>86511+3200</f>
        <v>89711</v>
      </c>
      <c r="H349" s="66">
        <v>92487</v>
      </c>
      <c r="I349" s="66">
        <v>92487</v>
      </c>
    </row>
    <row r="350" spans="1:9" s="11" customFormat="1" ht="114.75" x14ac:dyDescent="0.2">
      <c r="A350" s="10" t="s">
        <v>302</v>
      </c>
      <c r="B350" s="8" t="s">
        <v>22</v>
      </c>
      <c r="C350" s="8">
        <v>6</v>
      </c>
      <c r="D350" s="8" t="s">
        <v>82</v>
      </c>
      <c r="E350" s="8">
        <v>70100</v>
      </c>
      <c r="F350" s="8"/>
      <c r="G350" s="9">
        <f>G351</f>
        <v>1.2</v>
      </c>
      <c r="H350" s="9">
        <f>H351</f>
        <v>1.2</v>
      </c>
      <c r="I350" s="9">
        <f>I351</f>
        <v>1.2</v>
      </c>
    </row>
    <row r="351" spans="1:9" s="11" customFormat="1" x14ac:dyDescent="0.2">
      <c r="A351" s="19" t="s">
        <v>6</v>
      </c>
      <c r="B351" s="15" t="s">
        <v>22</v>
      </c>
      <c r="C351" s="15">
        <v>6</v>
      </c>
      <c r="D351" s="15" t="s">
        <v>82</v>
      </c>
      <c r="E351" s="15">
        <v>70100</v>
      </c>
      <c r="F351" s="15" t="s">
        <v>7</v>
      </c>
      <c r="G351" s="17">
        <v>1.2</v>
      </c>
      <c r="H351" s="17">
        <v>1.2</v>
      </c>
      <c r="I351" s="17">
        <v>1.2</v>
      </c>
    </row>
    <row r="352" spans="1:9" s="11" customFormat="1" ht="63" customHeight="1" x14ac:dyDescent="0.2">
      <c r="A352" s="10" t="s">
        <v>213</v>
      </c>
      <c r="B352" s="8" t="s">
        <v>22</v>
      </c>
      <c r="C352" s="8">
        <v>6</v>
      </c>
      <c r="D352" s="8" t="s">
        <v>82</v>
      </c>
      <c r="E352" s="8">
        <v>70190</v>
      </c>
      <c r="F352" s="8"/>
      <c r="G352" s="9">
        <f>G353</f>
        <v>143</v>
      </c>
      <c r="H352" s="9">
        <f>H353</f>
        <v>153</v>
      </c>
      <c r="I352" s="9">
        <f>I353</f>
        <v>153</v>
      </c>
    </row>
    <row r="353" spans="1:9" ht="51" x14ac:dyDescent="0.2">
      <c r="A353" s="63" t="s">
        <v>3</v>
      </c>
      <c r="B353" s="64" t="s">
        <v>22</v>
      </c>
      <c r="C353" s="64">
        <v>6</v>
      </c>
      <c r="D353" s="64" t="s">
        <v>82</v>
      </c>
      <c r="E353" s="64">
        <v>70190</v>
      </c>
      <c r="F353" s="64" t="s">
        <v>4</v>
      </c>
      <c r="G353" s="66">
        <f>153-25+15</f>
        <v>143</v>
      </c>
      <c r="H353" s="66">
        <v>153</v>
      </c>
      <c r="I353" s="66">
        <v>153</v>
      </c>
    </row>
    <row r="354" spans="1:9" ht="51" x14ac:dyDescent="0.2">
      <c r="A354" s="60" t="s">
        <v>214</v>
      </c>
      <c r="B354" s="61" t="s">
        <v>22</v>
      </c>
      <c r="C354" s="61">
        <v>6</v>
      </c>
      <c r="D354" s="61" t="s">
        <v>82</v>
      </c>
      <c r="E354" s="61">
        <v>80010</v>
      </c>
      <c r="F354" s="61"/>
      <c r="G354" s="62">
        <f>G356+G355</f>
        <v>9054</v>
      </c>
      <c r="H354" s="62">
        <f>H356+H355</f>
        <v>3136</v>
      </c>
      <c r="I354" s="62">
        <f>I356+I355</f>
        <v>3136</v>
      </c>
    </row>
    <row r="355" spans="1:9" ht="25.5" x14ac:dyDescent="0.2">
      <c r="A355" s="63" t="s">
        <v>87</v>
      </c>
      <c r="B355" s="64" t="s">
        <v>22</v>
      </c>
      <c r="C355" s="64">
        <v>6</v>
      </c>
      <c r="D355" s="64" t="s">
        <v>82</v>
      </c>
      <c r="E355" s="64">
        <v>80010</v>
      </c>
      <c r="F355" s="65" t="s">
        <v>5</v>
      </c>
      <c r="G355" s="66">
        <f>2-1.35+1.3+1.3</f>
        <v>3.25</v>
      </c>
      <c r="H355" s="66">
        <v>2</v>
      </c>
      <c r="I355" s="66">
        <v>2</v>
      </c>
    </row>
    <row r="356" spans="1:9" x14ac:dyDescent="0.2">
      <c r="A356" s="67" t="s">
        <v>6</v>
      </c>
      <c r="B356" s="64" t="s">
        <v>22</v>
      </c>
      <c r="C356" s="64">
        <v>6</v>
      </c>
      <c r="D356" s="64" t="s">
        <v>82</v>
      </c>
      <c r="E356" s="64">
        <v>80010</v>
      </c>
      <c r="F356" s="64" t="s">
        <v>7</v>
      </c>
      <c r="G356" s="66">
        <f>3134+600+1.35+861.08887+1268.63294+2536.97819+648.7</f>
        <v>9050.75</v>
      </c>
      <c r="H356" s="66">
        <v>3134</v>
      </c>
      <c r="I356" s="66">
        <v>3134</v>
      </c>
    </row>
    <row r="357" spans="1:9" ht="38.25" x14ac:dyDescent="0.2">
      <c r="A357" s="60" t="s">
        <v>303</v>
      </c>
      <c r="B357" s="61" t="s">
        <v>22</v>
      </c>
      <c r="C357" s="61">
        <v>6</v>
      </c>
      <c r="D357" s="61" t="s">
        <v>82</v>
      </c>
      <c r="E357" s="61">
        <v>80040</v>
      </c>
      <c r="F357" s="61"/>
      <c r="G357" s="62">
        <f>G359+G358</f>
        <v>20861</v>
      </c>
      <c r="H357" s="62">
        <f>H359+H358</f>
        <v>21361</v>
      </c>
      <c r="I357" s="62">
        <f>I359+I358</f>
        <v>21361</v>
      </c>
    </row>
    <row r="358" spans="1:9" s="11" customFormat="1" ht="25.5" x14ac:dyDescent="0.2">
      <c r="A358" s="14" t="s">
        <v>87</v>
      </c>
      <c r="B358" s="15" t="s">
        <v>22</v>
      </c>
      <c r="C358" s="15">
        <v>6</v>
      </c>
      <c r="D358" s="15" t="s">
        <v>82</v>
      </c>
      <c r="E358" s="15">
        <v>80040</v>
      </c>
      <c r="F358" s="16" t="s">
        <v>5</v>
      </c>
      <c r="G358" s="17">
        <f>255+45</f>
        <v>300</v>
      </c>
      <c r="H358" s="17">
        <f t="shared" ref="H358:I358" si="46">255+45</f>
        <v>300</v>
      </c>
      <c r="I358" s="17">
        <f t="shared" si="46"/>
        <v>300</v>
      </c>
    </row>
    <row r="359" spans="1:9" x14ac:dyDescent="0.2">
      <c r="A359" s="67" t="s">
        <v>6</v>
      </c>
      <c r="B359" s="64" t="s">
        <v>22</v>
      </c>
      <c r="C359" s="64">
        <v>6</v>
      </c>
      <c r="D359" s="64" t="s">
        <v>82</v>
      </c>
      <c r="E359" s="64">
        <v>80040</v>
      </c>
      <c r="F359" s="64" t="s">
        <v>7</v>
      </c>
      <c r="G359" s="66">
        <f>21061-500</f>
        <v>20561</v>
      </c>
      <c r="H359" s="66">
        <v>21061</v>
      </c>
      <c r="I359" s="66">
        <v>21061</v>
      </c>
    </row>
    <row r="360" spans="1:9" s="11" customFormat="1" ht="38.25" x14ac:dyDescent="0.2">
      <c r="A360" s="10" t="s">
        <v>304</v>
      </c>
      <c r="B360" s="8" t="s">
        <v>22</v>
      </c>
      <c r="C360" s="8">
        <v>6</v>
      </c>
      <c r="D360" s="8" t="s">
        <v>82</v>
      </c>
      <c r="E360" s="8">
        <v>80050</v>
      </c>
      <c r="F360" s="8"/>
      <c r="G360" s="9">
        <f>G362+G361</f>
        <v>28360</v>
      </c>
      <c r="H360" s="9">
        <f>H362+H361</f>
        <v>28360</v>
      </c>
      <c r="I360" s="9">
        <f>I362+I361</f>
        <v>28360</v>
      </c>
    </row>
    <row r="361" spans="1:9" s="11" customFormat="1" ht="25.5" x14ac:dyDescent="0.2">
      <c r="A361" s="14" t="s">
        <v>87</v>
      </c>
      <c r="B361" s="15" t="s">
        <v>22</v>
      </c>
      <c r="C361" s="15">
        <v>6</v>
      </c>
      <c r="D361" s="15" t="s">
        <v>82</v>
      </c>
      <c r="E361" s="15">
        <v>80050</v>
      </c>
      <c r="F361" s="16" t="s">
        <v>5</v>
      </c>
      <c r="G361" s="17">
        <v>1</v>
      </c>
      <c r="H361" s="17">
        <v>1</v>
      </c>
      <c r="I361" s="17">
        <v>1</v>
      </c>
    </row>
    <row r="362" spans="1:9" s="11" customFormat="1" x14ac:dyDescent="0.2">
      <c r="A362" s="19" t="s">
        <v>6</v>
      </c>
      <c r="B362" s="15" t="s">
        <v>22</v>
      </c>
      <c r="C362" s="15">
        <v>6</v>
      </c>
      <c r="D362" s="15" t="s">
        <v>82</v>
      </c>
      <c r="E362" s="15">
        <v>80050</v>
      </c>
      <c r="F362" s="15" t="s">
        <v>7</v>
      </c>
      <c r="G362" s="17">
        <v>28359</v>
      </c>
      <c r="H362" s="17">
        <v>28359</v>
      </c>
      <c r="I362" s="17">
        <v>28359</v>
      </c>
    </row>
    <row r="363" spans="1:9" s="4" customFormat="1" ht="51" x14ac:dyDescent="0.2">
      <c r="A363" s="10" t="s">
        <v>228</v>
      </c>
      <c r="B363" s="8" t="s">
        <v>22</v>
      </c>
      <c r="C363" s="8">
        <v>6</v>
      </c>
      <c r="D363" s="8" t="s">
        <v>82</v>
      </c>
      <c r="E363" s="8">
        <v>80070</v>
      </c>
      <c r="F363" s="8"/>
      <c r="G363" s="9">
        <f>G365+G364</f>
        <v>95</v>
      </c>
      <c r="H363" s="9">
        <f>H365+H364</f>
        <v>95</v>
      </c>
      <c r="I363" s="9">
        <f>I365+I364</f>
        <v>95</v>
      </c>
    </row>
    <row r="364" spans="1:9" s="11" customFormat="1" ht="25.5" x14ac:dyDescent="0.2">
      <c r="A364" s="14" t="s">
        <v>87</v>
      </c>
      <c r="B364" s="15" t="s">
        <v>22</v>
      </c>
      <c r="C364" s="15">
        <v>6</v>
      </c>
      <c r="D364" s="15" t="s">
        <v>82</v>
      </c>
      <c r="E364" s="15">
        <v>80070</v>
      </c>
      <c r="F364" s="16" t="s">
        <v>5</v>
      </c>
      <c r="G364" s="17">
        <v>1.5</v>
      </c>
      <c r="H364" s="17">
        <v>1.5</v>
      </c>
      <c r="I364" s="17">
        <v>1.5</v>
      </c>
    </row>
    <row r="365" spans="1:9" s="11" customFormat="1" x14ac:dyDescent="0.2">
      <c r="A365" s="19" t="s">
        <v>6</v>
      </c>
      <c r="B365" s="15" t="s">
        <v>22</v>
      </c>
      <c r="C365" s="15">
        <v>6</v>
      </c>
      <c r="D365" s="15" t="s">
        <v>82</v>
      </c>
      <c r="E365" s="15">
        <v>80070</v>
      </c>
      <c r="F365" s="15" t="s">
        <v>7</v>
      </c>
      <c r="G365" s="17">
        <v>93.5</v>
      </c>
      <c r="H365" s="17">
        <v>93.5</v>
      </c>
      <c r="I365" s="17">
        <v>93.5</v>
      </c>
    </row>
    <row r="366" spans="1:9" s="11" customFormat="1" ht="63.75" x14ac:dyDescent="0.2">
      <c r="A366" s="10" t="s">
        <v>229</v>
      </c>
      <c r="B366" s="8" t="s">
        <v>22</v>
      </c>
      <c r="C366" s="8">
        <v>6</v>
      </c>
      <c r="D366" s="8" t="s">
        <v>82</v>
      </c>
      <c r="E366" s="8">
        <v>80080</v>
      </c>
      <c r="F366" s="8"/>
      <c r="G366" s="9">
        <f>G368+G367</f>
        <v>1153</v>
      </c>
      <c r="H366" s="9">
        <f>H368+H367</f>
        <v>1153</v>
      </c>
      <c r="I366" s="9">
        <f>I368+I367</f>
        <v>1153</v>
      </c>
    </row>
    <row r="367" spans="1:9" s="11" customFormat="1" ht="25.5" x14ac:dyDescent="0.2">
      <c r="A367" s="14" t="s">
        <v>87</v>
      </c>
      <c r="B367" s="15" t="s">
        <v>22</v>
      </c>
      <c r="C367" s="15">
        <v>6</v>
      </c>
      <c r="D367" s="15" t="s">
        <v>82</v>
      </c>
      <c r="E367" s="15">
        <v>80080</v>
      </c>
      <c r="F367" s="16" t="s">
        <v>5</v>
      </c>
      <c r="G367" s="17">
        <f>5.5+1</f>
        <v>6.5</v>
      </c>
      <c r="H367" s="17">
        <f>5.5+1</f>
        <v>6.5</v>
      </c>
      <c r="I367" s="17">
        <f>5.5+1</f>
        <v>6.5</v>
      </c>
    </row>
    <row r="368" spans="1:9" s="11" customFormat="1" x14ac:dyDescent="0.2">
      <c r="A368" s="19" t="s">
        <v>6</v>
      </c>
      <c r="B368" s="15" t="s">
        <v>22</v>
      </c>
      <c r="C368" s="15">
        <v>6</v>
      </c>
      <c r="D368" s="15" t="s">
        <v>82</v>
      </c>
      <c r="E368" s="15">
        <v>80080</v>
      </c>
      <c r="F368" s="15" t="s">
        <v>7</v>
      </c>
      <c r="G368" s="17">
        <f>930.5+216</f>
        <v>1146.5</v>
      </c>
      <c r="H368" s="17">
        <f>930.5+216</f>
        <v>1146.5</v>
      </c>
      <c r="I368" s="17">
        <f>930.5+216</f>
        <v>1146.5</v>
      </c>
    </row>
    <row r="369" spans="1:9" ht="38.25" x14ac:dyDescent="0.2">
      <c r="A369" s="60" t="s">
        <v>230</v>
      </c>
      <c r="B369" s="61" t="s">
        <v>22</v>
      </c>
      <c r="C369" s="61">
        <v>6</v>
      </c>
      <c r="D369" s="61" t="s">
        <v>82</v>
      </c>
      <c r="E369" s="61">
        <v>80090</v>
      </c>
      <c r="F369" s="61"/>
      <c r="G369" s="62">
        <f>G371+G370</f>
        <v>446</v>
      </c>
      <c r="H369" s="62">
        <f>H371+H370</f>
        <v>318</v>
      </c>
      <c r="I369" s="62">
        <f>I371+I370</f>
        <v>318</v>
      </c>
    </row>
    <row r="370" spans="1:9" ht="25.5" x14ac:dyDescent="0.2">
      <c r="A370" s="63" t="s">
        <v>87</v>
      </c>
      <c r="B370" s="64" t="s">
        <v>22</v>
      </c>
      <c r="C370" s="64">
        <v>6</v>
      </c>
      <c r="D370" s="64" t="s">
        <v>82</v>
      </c>
      <c r="E370" s="64">
        <v>80090</v>
      </c>
      <c r="F370" s="65" t="s">
        <v>5</v>
      </c>
      <c r="G370" s="66">
        <f>6.4+1.3</f>
        <v>7.7</v>
      </c>
      <c r="H370" s="66">
        <v>6.4</v>
      </c>
      <c r="I370" s="66">
        <v>6.4</v>
      </c>
    </row>
    <row r="371" spans="1:9" x14ac:dyDescent="0.2">
      <c r="A371" s="67" t="s">
        <v>6</v>
      </c>
      <c r="B371" s="64" t="s">
        <v>22</v>
      </c>
      <c r="C371" s="64">
        <v>6</v>
      </c>
      <c r="D371" s="64" t="s">
        <v>82</v>
      </c>
      <c r="E371" s="64">
        <v>80090</v>
      </c>
      <c r="F371" s="64" t="s">
        <v>7</v>
      </c>
      <c r="G371" s="66">
        <f>311.6+40+86.7</f>
        <v>438.3</v>
      </c>
      <c r="H371" s="66">
        <v>311.60000000000002</v>
      </c>
      <c r="I371" s="66">
        <v>311.60000000000002</v>
      </c>
    </row>
    <row r="372" spans="1:9" s="11" customFormat="1" ht="89.25" x14ac:dyDescent="0.2">
      <c r="A372" s="10" t="s">
        <v>305</v>
      </c>
      <c r="B372" s="8" t="s">
        <v>22</v>
      </c>
      <c r="C372" s="8">
        <v>6</v>
      </c>
      <c r="D372" s="8" t="s">
        <v>82</v>
      </c>
      <c r="E372" s="8">
        <v>80100</v>
      </c>
      <c r="F372" s="8"/>
      <c r="G372" s="9">
        <f>G374+G373</f>
        <v>93201</v>
      </c>
      <c r="H372" s="9">
        <f>H374+H373</f>
        <v>92351</v>
      </c>
      <c r="I372" s="9">
        <f>I374+I373</f>
        <v>92351</v>
      </c>
    </row>
    <row r="373" spans="1:9" s="11" customFormat="1" ht="25.5" x14ac:dyDescent="0.2">
      <c r="A373" s="14" t="s">
        <v>87</v>
      </c>
      <c r="B373" s="15" t="s">
        <v>22</v>
      </c>
      <c r="C373" s="15">
        <v>6</v>
      </c>
      <c r="D373" s="15" t="s">
        <v>82</v>
      </c>
      <c r="E373" s="15">
        <v>80100</v>
      </c>
      <c r="F373" s="16" t="s">
        <v>5</v>
      </c>
      <c r="G373" s="17">
        <f>317+175+110+34+55+23+127+50+1+1.2</f>
        <v>893.2</v>
      </c>
      <c r="H373" s="17">
        <f>317+175+110+34+55+23+127+50+1+1.2</f>
        <v>893.2</v>
      </c>
      <c r="I373" s="17">
        <f>317+175+110+34+55+23+127+50+1+1.2</f>
        <v>893.2</v>
      </c>
    </row>
    <row r="374" spans="1:9" x14ac:dyDescent="0.2">
      <c r="A374" s="67" t="s">
        <v>6</v>
      </c>
      <c r="B374" s="64" t="s">
        <v>22</v>
      </c>
      <c r="C374" s="64">
        <v>6</v>
      </c>
      <c r="D374" s="64" t="s">
        <v>82</v>
      </c>
      <c r="E374" s="64">
        <v>80100</v>
      </c>
      <c r="F374" s="64" t="s">
        <v>7</v>
      </c>
      <c r="G374" s="66">
        <f>54147+12800+7500+16800.8+210+850</f>
        <v>92307.8</v>
      </c>
      <c r="H374" s="66">
        <f>54147+12800+7500+16800.8+210</f>
        <v>91457.8</v>
      </c>
      <c r="I374" s="66">
        <f>54147+12800+7500+16800.8+210</f>
        <v>91457.8</v>
      </c>
    </row>
    <row r="375" spans="1:9" ht="63.75" x14ac:dyDescent="0.2">
      <c r="A375" s="60" t="s">
        <v>231</v>
      </c>
      <c r="B375" s="61" t="s">
        <v>22</v>
      </c>
      <c r="C375" s="61">
        <v>6</v>
      </c>
      <c r="D375" s="61" t="s">
        <v>82</v>
      </c>
      <c r="E375" s="61">
        <v>80110</v>
      </c>
      <c r="F375" s="61"/>
      <c r="G375" s="62">
        <f>G376+G378+G377</f>
        <v>1542</v>
      </c>
      <c r="H375" s="62">
        <f t="shared" ref="H375:I375" si="47">H376+H378+H377</f>
        <v>1152</v>
      </c>
      <c r="I375" s="62">
        <f t="shared" si="47"/>
        <v>1152</v>
      </c>
    </row>
    <row r="376" spans="1:9" ht="25.5" x14ac:dyDescent="0.2">
      <c r="A376" s="63" t="s">
        <v>87</v>
      </c>
      <c r="B376" s="64" t="s">
        <v>22</v>
      </c>
      <c r="C376" s="64">
        <v>6</v>
      </c>
      <c r="D376" s="64" t="s">
        <v>82</v>
      </c>
      <c r="E376" s="64">
        <v>80110</v>
      </c>
      <c r="F376" s="65" t="s">
        <v>5</v>
      </c>
      <c r="G376" s="66">
        <f>19+3.826+0.395</f>
        <v>23.221</v>
      </c>
      <c r="H376" s="66">
        <v>19</v>
      </c>
      <c r="I376" s="66">
        <v>19</v>
      </c>
    </row>
    <row r="377" spans="1:9" x14ac:dyDescent="0.2">
      <c r="A377" s="67" t="s">
        <v>6</v>
      </c>
      <c r="B377" s="64" t="s">
        <v>22</v>
      </c>
      <c r="C377" s="64">
        <v>6</v>
      </c>
      <c r="D377" s="64" t="s">
        <v>82</v>
      </c>
      <c r="E377" s="64">
        <v>80110</v>
      </c>
      <c r="F377" s="64" t="s">
        <v>7</v>
      </c>
      <c r="G377" s="66">
        <f>175+958-175+216.174+120+17.705</f>
        <v>1311.8789999999999</v>
      </c>
      <c r="H377" s="66">
        <f>175+958-175</f>
        <v>958</v>
      </c>
      <c r="I377" s="66">
        <f>175+958-175</f>
        <v>958</v>
      </c>
    </row>
    <row r="378" spans="1:9" x14ac:dyDescent="0.2">
      <c r="A378" s="67" t="s">
        <v>9</v>
      </c>
      <c r="B378" s="64" t="s">
        <v>22</v>
      </c>
      <c r="C378" s="64">
        <v>6</v>
      </c>
      <c r="D378" s="64" t="s">
        <v>82</v>
      </c>
      <c r="E378" s="64">
        <v>80110</v>
      </c>
      <c r="F378" s="64" t="s">
        <v>10</v>
      </c>
      <c r="G378" s="66">
        <f>175+31.9</f>
        <v>206.9</v>
      </c>
      <c r="H378" s="66">
        <v>175</v>
      </c>
      <c r="I378" s="66">
        <v>175</v>
      </c>
    </row>
    <row r="379" spans="1:9" s="11" customFormat="1" ht="38.25" x14ac:dyDescent="0.2">
      <c r="A379" s="47" t="s">
        <v>306</v>
      </c>
      <c r="B379" s="8" t="s">
        <v>22</v>
      </c>
      <c r="C379" s="8">
        <v>6</v>
      </c>
      <c r="D379" s="8" t="s">
        <v>82</v>
      </c>
      <c r="E379" s="8" t="s">
        <v>81</v>
      </c>
      <c r="F379" s="8"/>
      <c r="G379" s="9">
        <f>G380</f>
        <v>46184</v>
      </c>
      <c r="H379" s="9">
        <f t="shared" ref="H379:I379" si="48">H380</f>
        <v>30183</v>
      </c>
      <c r="I379" s="9">
        <f t="shared" si="48"/>
        <v>32581</v>
      </c>
    </row>
    <row r="380" spans="1:9" s="11" customFormat="1" x14ac:dyDescent="0.2">
      <c r="A380" s="19" t="s">
        <v>6</v>
      </c>
      <c r="B380" s="15" t="s">
        <v>22</v>
      </c>
      <c r="C380" s="15">
        <v>6</v>
      </c>
      <c r="D380" s="15" t="s">
        <v>82</v>
      </c>
      <c r="E380" s="15" t="s">
        <v>81</v>
      </c>
      <c r="F380" s="15" t="s">
        <v>7</v>
      </c>
      <c r="G380" s="17">
        <f>29411+16626+147</f>
        <v>46184</v>
      </c>
      <c r="H380" s="17">
        <f>30033+150</f>
        <v>30183</v>
      </c>
      <c r="I380" s="17">
        <f>32419+162</f>
        <v>32581</v>
      </c>
    </row>
    <row r="381" spans="1:9" s="11" customFormat="1" ht="38.25" x14ac:dyDescent="0.2">
      <c r="A381" s="47" t="s">
        <v>306</v>
      </c>
      <c r="B381" s="8" t="s">
        <v>22</v>
      </c>
      <c r="C381" s="8">
        <v>6</v>
      </c>
      <c r="D381" s="8" t="s">
        <v>82</v>
      </c>
      <c r="E381" s="8" t="s">
        <v>346</v>
      </c>
      <c r="F381" s="8"/>
      <c r="G381" s="9">
        <f>G382</f>
        <v>231</v>
      </c>
      <c r="H381" s="9">
        <f t="shared" ref="H381:I381" si="49">H382</f>
        <v>0</v>
      </c>
      <c r="I381" s="9">
        <f t="shared" si="49"/>
        <v>0</v>
      </c>
    </row>
    <row r="382" spans="1:9" s="11" customFormat="1" ht="25.5" x14ac:dyDescent="0.2">
      <c r="A382" s="14" t="s">
        <v>87</v>
      </c>
      <c r="B382" s="15" t="s">
        <v>22</v>
      </c>
      <c r="C382" s="15">
        <v>6</v>
      </c>
      <c r="D382" s="15" t="s">
        <v>82</v>
      </c>
      <c r="E382" s="15" t="s">
        <v>346</v>
      </c>
      <c r="F382" s="16" t="s">
        <v>5</v>
      </c>
      <c r="G382" s="17">
        <v>231</v>
      </c>
      <c r="H382" s="17">
        <v>0</v>
      </c>
      <c r="I382" s="17">
        <v>0</v>
      </c>
    </row>
    <row r="383" spans="1:9" x14ac:dyDescent="0.2">
      <c r="A383" s="75" t="s">
        <v>274</v>
      </c>
      <c r="B383" s="76" t="s">
        <v>22</v>
      </c>
      <c r="C383" s="69" t="s">
        <v>55</v>
      </c>
      <c r="D383" s="69"/>
      <c r="E383" s="69"/>
      <c r="F383" s="69"/>
      <c r="G383" s="71">
        <f>SUM(G384)</f>
        <v>2037.7</v>
      </c>
      <c r="H383" s="71">
        <f t="shared" ref="H383:I383" si="50">SUM(H384)</f>
        <v>229</v>
      </c>
      <c r="I383" s="71">
        <f t="shared" si="50"/>
        <v>229</v>
      </c>
    </row>
    <row r="384" spans="1:9" s="11" customFormat="1" x14ac:dyDescent="0.2">
      <c r="A384" s="10" t="s">
        <v>275</v>
      </c>
      <c r="B384" s="8" t="s">
        <v>22</v>
      </c>
      <c r="C384" s="8" t="s">
        <v>55</v>
      </c>
      <c r="D384" s="8" t="s">
        <v>82</v>
      </c>
      <c r="E384" s="8" t="s">
        <v>276</v>
      </c>
      <c r="F384" s="8"/>
      <c r="G384" s="9">
        <f>G387+G385+G386</f>
        <v>2037.7</v>
      </c>
      <c r="H384" s="9">
        <f t="shared" ref="H384:I384" si="51">H387+H385+H386</f>
        <v>229</v>
      </c>
      <c r="I384" s="9">
        <f t="shared" si="51"/>
        <v>229</v>
      </c>
    </row>
    <row r="385" spans="1:9" s="11" customFormat="1" ht="25.5" x14ac:dyDescent="0.2">
      <c r="A385" s="14" t="s">
        <v>87</v>
      </c>
      <c r="B385" s="15" t="s">
        <v>22</v>
      </c>
      <c r="C385" s="15" t="s">
        <v>55</v>
      </c>
      <c r="D385" s="15" t="s">
        <v>82</v>
      </c>
      <c r="E385" s="15" t="s">
        <v>276</v>
      </c>
      <c r="F385" s="16" t="s">
        <v>5</v>
      </c>
      <c r="G385" s="9">
        <v>129</v>
      </c>
      <c r="H385" s="9">
        <v>129</v>
      </c>
      <c r="I385" s="9">
        <v>129</v>
      </c>
    </row>
    <row r="386" spans="1:9" x14ac:dyDescent="0.2">
      <c r="A386" s="67" t="s">
        <v>6</v>
      </c>
      <c r="B386" s="64" t="s">
        <v>22</v>
      </c>
      <c r="C386" s="64" t="s">
        <v>55</v>
      </c>
      <c r="D386" s="64" t="s">
        <v>82</v>
      </c>
      <c r="E386" s="64" t="s">
        <v>276</v>
      </c>
      <c r="F386" s="65" t="s">
        <v>7</v>
      </c>
      <c r="G386" s="62">
        <f>100+50</f>
        <v>150</v>
      </c>
      <c r="H386" s="62">
        <v>100</v>
      </c>
      <c r="I386" s="62">
        <v>100</v>
      </c>
    </row>
    <row r="387" spans="1:9" s="11" customFormat="1" ht="25.5" x14ac:dyDescent="0.2">
      <c r="A387" s="19" t="s">
        <v>25</v>
      </c>
      <c r="B387" s="15" t="s">
        <v>22</v>
      </c>
      <c r="C387" s="15" t="s">
        <v>55</v>
      </c>
      <c r="D387" s="15" t="s">
        <v>82</v>
      </c>
      <c r="E387" s="15" t="s">
        <v>276</v>
      </c>
      <c r="F387" s="16" t="s">
        <v>8</v>
      </c>
      <c r="G387" s="9">
        <v>1758.7</v>
      </c>
      <c r="H387" s="9">
        <v>0</v>
      </c>
      <c r="I387" s="9">
        <v>0</v>
      </c>
    </row>
    <row r="388" spans="1:9" s="11" customFormat="1" ht="38.25" x14ac:dyDescent="0.2">
      <c r="A388" s="34" t="s">
        <v>62</v>
      </c>
      <c r="B388" s="35" t="s">
        <v>20</v>
      </c>
      <c r="C388" s="35"/>
      <c r="D388" s="35"/>
      <c r="E388" s="35"/>
      <c r="F388" s="35"/>
      <c r="G388" s="36">
        <f>SUM(G389,G391,G394,G398)+G396</f>
        <v>43415.200000000004</v>
      </c>
      <c r="H388" s="36">
        <f t="shared" ref="H388:I388" si="52">SUM(H389,H391,H394,H398)+H396</f>
        <v>31188.700000000004</v>
      </c>
      <c r="I388" s="36">
        <f t="shared" si="52"/>
        <v>31188.700000000004</v>
      </c>
    </row>
    <row r="389" spans="1:9" ht="25.5" x14ac:dyDescent="0.2">
      <c r="A389" s="60" t="s">
        <v>278</v>
      </c>
      <c r="B389" s="61" t="s">
        <v>20</v>
      </c>
      <c r="C389" s="61">
        <v>0</v>
      </c>
      <c r="D389" s="61" t="s">
        <v>82</v>
      </c>
      <c r="E389" s="61" t="s">
        <v>232</v>
      </c>
      <c r="F389" s="61"/>
      <c r="G389" s="62">
        <f>G390</f>
        <v>14904.900000000001</v>
      </c>
      <c r="H389" s="62">
        <f t="shared" ref="H389:I389" si="53">H390</f>
        <v>8956.3000000000011</v>
      </c>
      <c r="I389" s="62">
        <f t="shared" si="53"/>
        <v>8956.3000000000011</v>
      </c>
    </row>
    <row r="390" spans="1:9" ht="25.5" x14ac:dyDescent="0.2">
      <c r="A390" s="67" t="s">
        <v>138</v>
      </c>
      <c r="B390" s="64" t="s">
        <v>20</v>
      </c>
      <c r="C390" s="64">
        <v>0</v>
      </c>
      <c r="D390" s="64" t="s">
        <v>82</v>
      </c>
      <c r="E390" s="64" t="s">
        <v>232</v>
      </c>
      <c r="F390" s="64" t="s">
        <v>2</v>
      </c>
      <c r="G390" s="66">
        <f>8885.6+70.7-98+4398.1+3+36.6+728.8+569.9+125+170.1-15+30.1</f>
        <v>14904.900000000001</v>
      </c>
      <c r="H390" s="66">
        <f>8885.6+70.7</f>
        <v>8956.3000000000011</v>
      </c>
      <c r="I390" s="66">
        <f>8885.6+70.7</f>
        <v>8956.3000000000011</v>
      </c>
    </row>
    <row r="391" spans="1:9" s="4" customFormat="1" ht="25.5" x14ac:dyDescent="0.2">
      <c r="A391" s="10" t="s">
        <v>278</v>
      </c>
      <c r="B391" s="8" t="s">
        <v>20</v>
      </c>
      <c r="C391" s="8">
        <v>0</v>
      </c>
      <c r="D391" s="8" t="s">
        <v>82</v>
      </c>
      <c r="E391" s="8" t="s">
        <v>233</v>
      </c>
      <c r="F391" s="8"/>
      <c r="G391" s="9">
        <f>G392+G393</f>
        <v>1103.3</v>
      </c>
      <c r="H391" s="9">
        <f>H392+H393</f>
        <v>983.9</v>
      </c>
      <c r="I391" s="9">
        <f>I392+I393</f>
        <v>983.9</v>
      </c>
    </row>
    <row r="392" spans="1:9" s="11" customFormat="1" ht="51" x14ac:dyDescent="0.2">
      <c r="A392" s="14" t="s">
        <v>3</v>
      </c>
      <c r="B392" s="15" t="s">
        <v>20</v>
      </c>
      <c r="C392" s="15">
        <v>0</v>
      </c>
      <c r="D392" s="15" t="s">
        <v>82</v>
      </c>
      <c r="E392" s="15" t="s">
        <v>233</v>
      </c>
      <c r="F392" s="16" t="s">
        <v>4</v>
      </c>
      <c r="G392" s="17">
        <f>717.6+216.7+9+117.9</f>
        <v>1061.2</v>
      </c>
      <c r="H392" s="17">
        <f>717.6+216.7+9</f>
        <v>943.3</v>
      </c>
      <c r="I392" s="17">
        <f>717.6+216.7+9</f>
        <v>943.3</v>
      </c>
    </row>
    <row r="393" spans="1:9" s="11" customFormat="1" ht="25.5" x14ac:dyDescent="0.2">
      <c r="A393" s="14" t="s">
        <v>87</v>
      </c>
      <c r="B393" s="15" t="s">
        <v>20</v>
      </c>
      <c r="C393" s="15">
        <v>0</v>
      </c>
      <c r="D393" s="15" t="s">
        <v>82</v>
      </c>
      <c r="E393" s="15" t="s">
        <v>233</v>
      </c>
      <c r="F393" s="16" t="s">
        <v>5</v>
      </c>
      <c r="G393" s="17">
        <f>40.6+1.5</f>
        <v>42.1</v>
      </c>
      <c r="H393" s="17">
        <v>40.6</v>
      </c>
      <c r="I393" s="17">
        <v>40.6</v>
      </c>
    </row>
    <row r="394" spans="1:9" s="11" customFormat="1" ht="25.5" x14ac:dyDescent="0.2">
      <c r="A394" s="10" t="s">
        <v>236</v>
      </c>
      <c r="B394" s="8" t="s">
        <v>20</v>
      </c>
      <c r="C394" s="8">
        <v>0</v>
      </c>
      <c r="D394" s="8" t="s">
        <v>82</v>
      </c>
      <c r="E394" s="8" t="s">
        <v>235</v>
      </c>
      <c r="F394" s="8"/>
      <c r="G394" s="9">
        <f>G395</f>
        <v>281.89999999999998</v>
      </c>
      <c r="H394" s="9">
        <f>H395</f>
        <v>281.89999999999998</v>
      </c>
      <c r="I394" s="9">
        <f>I395</f>
        <v>281.89999999999998</v>
      </c>
    </row>
    <row r="395" spans="1:9" s="4" customFormat="1" ht="25.5" x14ac:dyDescent="0.2">
      <c r="A395" s="14" t="s">
        <v>87</v>
      </c>
      <c r="B395" s="15" t="s">
        <v>20</v>
      </c>
      <c r="C395" s="15">
        <v>0</v>
      </c>
      <c r="D395" s="15" t="s">
        <v>82</v>
      </c>
      <c r="E395" s="15" t="s">
        <v>235</v>
      </c>
      <c r="F395" s="16" t="s">
        <v>5</v>
      </c>
      <c r="G395" s="17">
        <v>281.89999999999998</v>
      </c>
      <c r="H395" s="17">
        <v>281.89999999999998</v>
      </c>
      <c r="I395" s="17">
        <v>281.89999999999998</v>
      </c>
    </row>
    <row r="396" spans="1:9" s="11" customFormat="1" ht="38.25" x14ac:dyDescent="0.2">
      <c r="A396" s="10" t="s">
        <v>237</v>
      </c>
      <c r="B396" s="8" t="s">
        <v>20</v>
      </c>
      <c r="C396" s="8">
        <v>0</v>
      </c>
      <c r="D396" s="8" t="s">
        <v>82</v>
      </c>
      <c r="E396" s="8" t="s">
        <v>238</v>
      </c>
      <c r="F396" s="8"/>
      <c r="G396" s="9">
        <f>G397</f>
        <v>150</v>
      </c>
      <c r="H396" s="9">
        <f>H397</f>
        <v>150</v>
      </c>
      <c r="I396" s="9">
        <f>I397</f>
        <v>150</v>
      </c>
    </row>
    <row r="397" spans="1:9" s="11" customFormat="1" ht="25.5" x14ac:dyDescent="0.2">
      <c r="A397" s="14" t="s">
        <v>87</v>
      </c>
      <c r="B397" s="15" t="s">
        <v>20</v>
      </c>
      <c r="C397" s="15">
        <v>0</v>
      </c>
      <c r="D397" s="15" t="s">
        <v>82</v>
      </c>
      <c r="E397" s="15" t="s">
        <v>238</v>
      </c>
      <c r="F397" s="16" t="s">
        <v>5</v>
      </c>
      <c r="G397" s="17">
        <v>150</v>
      </c>
      <c r="H397" s="17">
        <v>150</v>
      </c>
      <c r="I397" s="17">
        <v>150</v>
      </c>
    </row>
    <row r="398" spans="1:9" s="11" customFormat="1" ht="25.5" x14ac:dyDescent="0.2">
      <c r="A398" s="10" t="s">
        <v>328</v>
      </c>
      <c r="B398" s="8" t="s">
        <v>20</v>
      </c>
      <c r="C398" s="8">
        <v>0</v>
      </c>
      <c r="D398" s="8" t="s">
        <v>82</v>
      </c>
      <c r="E398" s="8" t="s">
        <v>329</v>
      </c>
      <c r="F398" s="8"/>
      <c r="G398" s="9">
        <f>G399</f>
        <v>26975.100000000006</v>
      </c>
      <c r="H398" s="9">
        <f>H399</f>
        <v>20816.600000000002</v>
      </c>
      <c r="I398" s="9">
        <f>I399</f>
        <v>20816.600000000002</v>
      </c>
    </row>
    <row r="399" spans="1:9" ht="25.5" x14ac:dyDescent="0.2">
      <c r="A399" s="67" t="s">
        <v>138</v>
      </c>
      <c r="B399" s="64" t="s">
        <v>20</v>
      </c>
      <c r="C399" s="64">
        <v>0</v>
      </c>
      <c r="D399" s="64" t="s">
        <v>82</v>
      </c>
      <c r="E399" s="64" t="s">
        <v>329</v>
      </c>
      <c r="F399" s="65" t="s">
        <v>2</v>
      </c>
      <c r="G399" s="66">
        <f>20716.7+99.9-15+5851.7+142.7-70.3+211.5+37.9</f>
        <v>26975.100000000006</v>
      </c>
      <c r="H399" s="66">
        <f>20716.7+99.9</f>
        <v>20816.600000000002</v>
      </c>
      <c r="I399" s="66">
        <f>20716.7+99.9</f>
        <v>20816.600000000002</v>
      </c>
    </row>
    <row r="400" spans="1:9" s="11" customFormat="1" ht="51" x14ac:dyDescent="0.2">
      <c r="A400" s="37" t="s">
        <v>63</v>
      </c>
      <c r="B400" s="35" t="s">
        <v>24</v>
      </c>
      <c r="C400" s="35"/>
      <c r="D400" s="35"/>
      <c r="E400" s="35"/>
      <c r="F400" s="38"/>
      <c r="G400" s="36">
        <f>SUM(G401,G422,G425,G434)+G439</f>
        <v>354885.7</v>
      </c>
      <c r="H400" s="36">
        <f t="shared" ref="H400:I400" si="54">SUM(H401,H422,H425,H434)+H439</f>
        <v>13127.470000000001</v>
      </c>
      <c r="I400" s="36">
        <f t="shared" si="54"/>
        <v>12482.7</v>
      </c>
    </row>
    <row r="401" spans="1:9" ht="25.5" x14ac:dyDescent="0.2">
      <c r="A401" s="68" t="s">
        <v>64</v>
      </c>
      <c r="B401" s="69" t="s">
        <v>24</v>
      </c>
      <c r="C401" s="69" t="s">
        <v>32</v>
      </c>
      <c r="D401" s="69"/>
      <c r="E401" s="69"/>
      <c r="F401" s="70"/>
      <c r="G401" s="71">
        <f>SUM(G408,G413,G420)+G411+G416+G406+G418+G402+G404</f>
        <v>89797</v>
      </c>
      <c r="H401" s="71">
        <f t="shared" ref="H401:I401" si="55">SUM(H408,H413,H420)+H411+H416+H406+H418+H402+H404</f>
        <v>2183.5699999999997</v>
      </c>
      <c r="I401" s="71">
        <f t="shared" si="55"/>
        <v>1688.8</v>
      </c>
    </row>
    <row r="402" spans="1:9" s="18" customFormat="1" ht="38.25" x14ac:dyDescent="0.2">
      <c r="A402" s="5" t="s">
        <v>349</v>
      </c>
      <c r="B402" s="8">
        <v>10</v>
      </c>
      <c r="C402" s="8">
        <v>1</v>
      </c>
      <c r="D402" s="8" t="s">
        <v>82</v>
      </c>
      <c r="E402" s="8" t="s">
        <v>319</v>
      </c>
      <c r="F402" s="8"/>
      <c r="G402" s="9">
        <f>G403</f>
        <v>62700</v>
      </c>
      <c r="H402" s="9">
        <f>H403</f>
        <v>0</v>
      </c>
      <c r="I402" s="9">
        <f>I403</f>
        <v>0</v>
      </c>
    </row>
    <row r="403" spans="1:9" s="11" customFormat="1" ht="25.5" x14ac:dyDescent="0.2">
      <c r="A403" s="19" t="s">
        <v>25</v>
      </c>
      <c r="B403" s="15">
        <v>10</v>
      </c>
      <c r="C403" s="15">
        <v>1</v>
      </c>
      <c r="D403" s="15" t="s">
        <v>82</v>
      </c>
      <c r="E403" s="15" t="s">
        <v>319</v>
      </c>
      <c r="F403" s="15" t="s">
        <v>8</v>
      </c>
      <c r="G403" s="17">
        <v>62700</v>
      </c>
      <c r="H403" s="17"/>
      <c r="I403" s="17"/>
    </row>
    <row r="404" spans="1:9" s="18" customFormat="1" ht="25.5" x14ac:dyDescent="0.2">
      <c r="A404" s="5" t="s">
        <v>372</v>
      </c>
      <c r="B404" s="8">
        <v>10</v>
      </c>
      <c r="C404" s="8">
        <v>1</v>
      </c>
      <c r="D404" s="8" t="s">
        <v>82</v>
      </c>
      <c r="E404" s="8" t="s">
        <v>373</v>
      </c>
      <c r="F404" s="8"/>
      <c r="G404" s="9">
        <f>G405</f>
        <v>6975</v>
      </c>
      <c r="H404" s="9">
        <f>H405</f>
        <v>0</v>
      </c>
      <c r="I404" s="9">
        <f>I405</f>
        <v>0</v>
      </c>
    </row>
    <row r="405" spans="1:9" s="11" customFormat="1" ht="25.5" x14ac:dyDescent="0.2">
      <c r="A405" s="14" t="s">
        <v>87</v>
      </c>
      <c r="B405" s="15">
        <v>10</v>
      </c>
      <c r="C405" s="15">
        <v>1</v>
      </c>
      <c r="D405" s="15" t="s">
        <v>82</v>
      </c>
      <c r="E405" s="15" t="s">
        <v>373</v>
      </c>
      <c r="F405" s="15" t="s">
        <v>5</v>
      </c>
      <c r="G405" s="17">
        <v>6975</v>
      </c>
      <c r="H405" s="17"/>
      <c r="I405" s="17"/>
    </row>
    <row r="406" spans="1:9" s="18" customFormat="1" ht="25.5" x14ac:dyDescent="0.2">
      <c r="A406" s="5" t="s">
        <v>372</v>
      </c>
      <c r="B406" s="8">
        <v>10</v>
      </c>
      <c r="C406" s="8">
        <v>1</v>
      </c>
      <c r="D406" s="8" t="s">
        <v>82</v>
      </c>
      <c r="E406" s="8" t="s">
        <v>374</v>
      </c>
      <c r="F406" s="8"/>
      <c r="G406" s="9">
        <f>G407</f>
        <v>775</v>
      </c>
      <c r="H406" s="9">
        <f>H407</f>
        <v>0</v>
      </c>
      <c r="I406" s="9">
        <f>I407</f>
        <v>0</v>
      </c>
    </row>
    <row r="407" spans="1:9" s="11" customFormat="1" ht="25.5" x14ac:dyDescent="0.2">
      <c r="A407" s="14" t="s">
        <v>87</v>
      </c>
      <c r="B407" s="15">
        <v>10</v>
      </c>
      <c r="C407" s="15">
        <v>1</v>
      </c>
      <c r="D407" s="15" t="s">
        <v>82</v>
      </c>
      <c r="E407" s="15" t="s">
        <v>374</v>
      </c>
      <c r="F407" s="15" t="s">
        <v>5</v>
      </c>
      <c r="G407" s="17">
        <v>775</v>
      </c>
      <c r="H407" s="17"/>
      <c r="I407" s="17"/>
    </row>
    <row r="408" spans="1:9" s="96" customFormat="1" ht="25.5" x14ac:dyDescent="0.2">
      <c r="A408" s="60" t="s">
        <v>279</v>
      </c>
      <c r="B408" s="61">
        <v>10</v>
      </c>
      <c r="C408" s="61">
        <v>1</v>
      </c>
      <c r="D408" s="61" t="s">
        <v>82</v>
      </c>
      <c r="E408" s="61" t="s">
        <v>239</v>
      </c>
      <c r="F408" s="61"/>
      <c r="G408" s="62">
        <f>G410+G409</f>
        <v>13238.600000000002</v>
      </c>
      <c r="H408" s="62">
        <f t="shared" ref="H408:I408" si="56">H410+H409</f>
        <v>1013.5699999999999</v>
      </c>
      <c r="I408" s="62">
        <f t="shared" si="56"/>
        <v>618.79999999999995</v>
      </c>
    </row>
    <row r="409" spans="1:9" s="7" customFormat="1" ht="25.5" x14ac:dyDescent="0.2">
      <c r="A409" s="14" t="s">
        <v>87</v>
      </c>
      <c r="B409" s="15">
        <v>10</v>
      </c>
      <c r="C409" s="15">
        <v>1</v>
      </c>
      <c r="D409" s="15" t="s">
        <v>82</v>
      </c>
      <c r="E409" s="15" t="s">
        <v>239</v>
      </c>
      <c r="F409" s="15" t="s">
        <v>5</v>
      </c>
      <c r="G409" s="17">
        <f>2000+3827-50-50-18.4+700-775+99.3+2305.5+670.5+4479.7</f>
        <v>13188.600000000002</v>
      </c>
      <c r="H409" s="17">
        <f>2701-1687.43</f>
        <v>1013.5699999999999</v>
      </c>
      <c r="I409" s="17">
        <f>2379-1760.2</f>
        <v>618.79999999999995</v>
      </c>
    </row>
    <row r="410" spans="1:9" s="7" customFormat="1" x14ac:dyDescent="0.2">
      <c r="A410" s="14" t="s">
        <v>9</v>
      </c>
      <c r="B410" s="15">
        <v>10</v>
      </c>
      <c r="C410" s="15">
        <v>1</v>
      </c>
      <c r="D410" s="15" t="s">
        <v>82</v>
      </c>
      <c r="E410" s="15" t="s">
        <v>239</v>
      </c>
      <c r="F410" s="15" t="s">
        <v>10</v>
      </c>
      <c r="G410" s="17">
        <v>50</v>
      </c>
      <c r="H410" s="17">
        <v>0</v>
      </c>
      <c r="I410" s="17">
        <v>0</v>
      </c>
    </row>
    <row r="411" spans="1:9" s="18" customFormat="1" ht="25.5" x14ac:dyDescent="0.2">
      <c r="A411" s="10" t="s">
        <v>91</v>
      </c>
      <c r="B411" s="8">
        <v>10</v>
      </c>
      <c r="C411" s="8">
        <v>1</v>
      </c>
      <c r="D411" s="8" t="s">
        <v>82</v>
      </c>
      <c r="E411" s="8" t="s">
        <v>240</v>
      </c>
      <c r="F411" s="8"/>
      <c r="G411" s="9">
        <f>G412</f>
        <v>900</v>
      </c>
      <c r="H411" s="9">
        <f>H412</f>
        <v>0</v>
      </c>
      <c r="I411" s="9">
        <f>I412</f>
        <v>0</v>
      </c>
    </row>
    <row r="412" spans="1:9" s="11" customFormat="1" ht="25.5" x14ac:dyDescent="0.2">
      <c r="A412" s="19" t="s">
        <v>25</v>
      </c>
      <c r="B412" s="15">
        <v>10</v>
      </c>
      <c r="C412" s="15">
        <v>1</v>
      </c>
      <c r="D412" s="15" t="s">
        <v>82</v>
      </c>
      <c r="E412" s="15" t="s">
        <v>240</v>
      </c>
      <c r="F412" s="15" t="s">
        <v>8</v>
      </c>
      <c r="G412" s="17">
        <f>3827+55203-59030+811.3+88.7</f>
        <v>900</v>
      </c>
      <c r="H412" s="17"/>
      <c r="I412" s="17"/>
    </row>
    <row r="413" spans="1:9" s="11" customFormat="1" x14ac:dyDescent="0.2">
      <c r="A413" s="10" t="s">
        <v>241</v>
      </c>
      <c r="B413" s="8">
        <v>10</v>
      </c>
      <c r="C413" s="8">
        <v>1</v>
      </c>
      <c r="D413" s="8" t="s">
        <v>82</v>
      </c>
      <c r="E413" s="8" t="s">
        <v>242</v>
      </c>
      <c r="F413" s="8"/>
      <c r="G413" s="9">
        <f>G414+G415</f>
        <v>1337.4</v>
      </c>
      <c r="H413" s="9">
        <f t="shared" ref="H413:I413" si="57">H414+H415</f>
        <v>770</v>
      </c>
      <c r="I413" s="9">
        <f t="shared" si="57"/>
        <v>770</v>
      </c>
    </row>
    <row r="414" spans="1:9" s="11" customFormat="1" ht="25.5" x14ac:dyDescent="0.2">
      <c r="A414" s="14" t="s">
        <v>87</v>
      </c>
      <c r="B414" s="15">
        <v>10</v>
      </c>
      <c r="C414" s="15">
        <v>1</v>
      </c>
      <c r="D414" s="15" t="s">
        <v>82</v>
      </c>
      <c r="E414" s="15" t="s">
        <v>242</v>
      </c>
      <c r="F414" s="15" t="s">
        <v>5</v>
      </c>
      <c r="G414" s="17">
        <f>770+1053-1053+549</f>
        <v>1319</v>
      </c>
      <c r="H414" s="17">
        <v>770</v>
      </c>
      <c r="I414" s="17">
        <v>770</v>
      </c>
    </row>
    <row r="415" spans="1:9" s="11" customFormat="1" x14ac:dyDescent="0.2">
      <c r="A415" s="14" t="s">
        <v>9</v>
      </c>
      <c r="B415" s="15">
        <v>10</v>
      </c>
      <c r="C415" s="15">
        <v>1</v>
      </c>
      <c r="D415" s="15" t="s">
        <v>82</v>
      </c>
      <c r="E415" s="15" t="s">
        <v>242</v>
      </c>
      <c r="F415" s="15" t="s">
        <v>10</v>
      </c>
      <c r="G415" s="17">
        <v>18.399999999999999</v>
      </c>
      <c r="H415" s="17"/>
      <c r="I415" s="17"/>
    </row>
    <row r="416" spans="1:9" x14ac:dyDescent="0.2">
      <c r="A416" s="60" t="s">
        <v>244</v>
      </c>
      <c r="B416" s="61">
        <v>10</v>
      </c>
      <c r="C416" s="61">
        <v>1</v>
      </c>
      <c r="D416" s="61" t="s">
        <v>82</v>
      </c>
      <c r="E416" s="61" t="s">
        <v>243</v>
      </c>
      <c r="F416" s="61"/>
      <c r="G416" s="62">
        <f>G417</f>
        <v>714</v>
      </c>
      <c r="H416" s="62">
        <f t="shared" ref="H416:I420" si="58">H417</f>
        <v>400</v>
      </c>
      <c r="I416" s="62">
        <f t="shared" si="58"/>
        <v>300</v>
      </c>
    </row>
    <row r="417" spans="1:12" ht="25.5" x14ac:dyDescent="0.2">
      <c r="A417" s="63" t="s">
        <v>87</v>
      </c>
      <c r="B417" s="64">
        <v>10</v>
      </c>
      <c r="C417" s="64">
        <v>1</v>
      </c>
      <c r="D417" s="64" t="s">
        <v>82</v>
      </c>
      <c r="E417" s="64" t="s">
        <v>243</v>
      </c>
      <c r="F417" s="64" t="s">
        <v>5</v>
      </c>
      <c r="G417" s="66">
        <f>700+14</f>
        <v>714</v>
      </c>
      <c r="H417" s="66">
        <v>400</v>
      </c>
      <c r="I417" s="66">
        <v>300</v>
      </c>
    </row>
    <row r="418" spans="1:12" s="11" customFormat="1" x14ac:dyDescent="0.2">
      <c r="A418" s="5" t="s">
        <v>355</v>
      </c>
      <c r="B418" s="8">
        <v>10</v>
      </c>
      <c r="C418" s="8">
        <v>1</v>
      </c>
      <c r="D418" s="8" t="s">
        <v>82</v>
      </c>
      <c r="E418" s="8" t="s">
        <v>356</v>
      </c>
      <c r="F418" s="8"/>
      <c r="G418" s="9">
        <f>G419</f>
        <v>50</v>
      </c>
      <c r="H418" s="9">
        <f t="shared" si="58"/>
        <v>0</v>
      </c>
      <c r="I418" s="9">
        <f t="shared" si="58"/>
        <v>0</v>
      </c>
    </row>
    <row r="419" spans="1:12" s="11" customFormat="1" x14ac:dyDescent="0.2">
      <c r="A419" s="19" t="s">
        <v>9</v>
      </c>
      <c r="B419" s="15">
        <v>10</v>
      </c>
      <c r="C419" s="15">
        <v>1</v>
      </c>
      <c r="D419" s="15" t="s">
        <v>82</v>
      </c>
      <c r="E419" s="15" t="s">
        <v>356</v>
      </c>
      <c r="F419" s="15" t="s">
        <v>10</v>
      </c>
      <c r="G419" s="17">
        <v>50</v>
      </c>
      <c r="H419" s="17">
        <v>0</v>
      </c>
      <c r="I419" s="17">
        <v>0</v>
      </c>
    </row>
    <row r="420" spans="1:12" x14ac:dyDescent="0.2">
      <c r="A420" s="77" t="s">
        <v>325</v>
      </c>
      <c r="B420" s="61">
        <v>10</v>
      </c>
      <c r="C420" s="61">
        <v>1</v>
      </c>
      <c r="D420" s="61" t="s">
        <v>82</v>
      </c>
      <c r="E420" s="61" t="s">
        <v>327</v>
      </c>
      <c r="F420" s="61"/>
      <c r="G420" s="62">
        <f>G421</f>
        <v>3107</v>
      </c>
      <c r="H420" s="62">
        <f t="shared" si="58"/>
        <v>0</v>
      </c>
      <c r="I420" s="62">
        <f t="shared" si="58"/>
        <v>0</v>
      </c>
    </row>
    <row r="421" spans="1:12" ht="25.5" x14ac:dyDescent="0.2">
      <c r="A421" s="63" t="s">
        <v>87</v>
      </c>
      <c r="B421" s="64">
        <v>10</v>
      </c>
      <c r="C421" s="64">
        <v>1</v>
      </c>
      <c r="D421" s="64" t="s">
        <v>82</v>
      </c>
      <c r="E421" s="64" t="s">
        <v>327</v>
      </c>
      <c r="F421" s="64" t="s">
        <v>5</v>
      </c>
      <c r="G421" s="66">
        <f>4600-30-900-549-14</f>
        <v>3107</v>
      </c>
      <c r="H421" s="66">
        <v>0</v>
      </c>
      <c r="I421" s="66">
        <v>0</v>
      </c>
    </row>
    <row r="422" spans="1:12" s="18" customFormat="1" ht="51" x14ac:dyDescent="0.2">
      <c r="A422" s="46" t="s">
        <v>65</v>
      </c>
      <c r="B422" s="43" t="s">
        <v>24</v>
      </c>
      <c r="C422" s="43" t="s">
        <v>33</v>
      </c>
      <c r="D422" s="43"/>
      <c r="E422" s="43"/>
      <c r="F422" s="43"/>
      <c r="G422" s="45">
        <f t="shared" ref="G422:I423" si="59">G423</f>
        <v>7264.9</v>
      </c>
      <c r="H422" s="45">
        <f t="shared" si="59"/>
        <v>6359.7</v>
      </c>
      <c r="I422" s="45">
        <f t="shared" si="59"/>
        <v>6359.7</v>
      </c>
      <c r="J422" s="11"/>
      <c r="K422" s="11"/>
      <c r="L422" s="11"/>
    </row>
    <row r="423" spans="1:12" s="11" customFormat="1" ht="38.25" x14ac:dyDescent="0.2">
      <c r="A423" s="10" t="s">
        <v>246</v>
      </c>
      <c r="B423" s="8">
        <v>10</v>
      </c>
      <c r="C423" s="8">
        <v>2</v>
      </c>
      <c r="D423" s="8" t="s">
        <v>82</v>
      </c>
      <c r="E423" s="8" t="s">
        <v>245</v>
      </c>
      <c r="F423" s="8"/>
      <c r="G423" s="9">
        <f t="shared" si="59"/>
        <v>7264.9</v>
      </c>
      <c r="H423" s="9">
        <f t="shared" si="59"/>
        <v>6359.7</v>
      </c>
      <c r="I423" s="9">
        <f t="shared" si="59"/>
        <v>6359.7</v>
      </c>
    </row>
    <row r="424" spans="1:12" s="18" customFormat="1" ht="25.5" x14ac:dyDescent="0.2">
      <c r="A424" s="19" t="s">
        <v>138</v>
      </c>
      <c r="B424" s="15">
        <v>10</v>
      </c>
      <c r="C424" s="15">
        <v>2</v>
      </c>
      <c r="D424" s="15" t="s">
        <v>82</v>
      </c>
      <c r="E424" s="15" t="s">
        <v>245</v>
      </c>
      <c r="F424" s="15" t="s">
        <v>2</v>
      </c>
      <c r="G424" s="17">
        <f>6299.2+60.5+7.8+890.4+7</f>
        <v>7264.9</v>
      </c>
      <c r="H424" s="17">
        <f>6299.2+60.5</f>
        <v>6359.7</v>
      </c>
      <c r="I424" s="17">
        <f>6299.2+60.5</f>
        <v>6359.7</v>
      </c>
    </row>
    <row r="425" spans="1:12" s="13" customFormat="1" ht="39" x14ac:dyDescent="0.25">
      <c r="A425" s="46" t="s">
        <v>280</v>
      </c>
      <c r="B425" s="43" t="s">
        <v>24</v>
      </c>
      <c r="C425" s="43" t="s">
        <v>34</v>
      </c>
      <c r="D425" s="43"/>
      <c r="E425" s="43"/>
      <c r="F425" s="43"/>
      <c r="G425" s="45">
        <f>SUM(G426,G428,G430,G432)</f>
        <v>252584.5</v>
      </c>
      <c r="H425" s="45">
        <f t="shared" ref="H425:I425" si="60">SUM(H426,H428,H430,H432)</f>
        <v>0</v>
      </c>
      <c r="I425" s="45">
        <f t="shared" si="60"/>
        <v>0</v>
      </c>
    </row>
    <row r="426" spans="1:12" s="11" customFormat="1" ht="52.5" customHeight="1" x14ac:dyDescent="0.2">
      <c r="A426" s="10" t="s">
        <v>248</v>
      </c>
      <c r="B426" s="8">
        <v>10</v>
      </c>
      <c r="C426" s="8">
        <v>3</v>
      </c>
      <c r="D426" s="8" t="s">
        <v>82</v>
      </c>
      <c r="E426" s="8" t="s">
        <v>247</v>
      </c>
      <c r="F426" s="8"/>
      <c r="G426" s="9">
        <f>G427</f>
        <v>152660</v>
      </c>
      <c r="H426" s="9">
        <f>H427</f>
        <v>0</v>
      </c>
      <c r="I426" s="9">
        <f>I427</f>
        <v>0</v>
      </c>
    </row>
    <row r="427" spans="1:12" x14ac:dyDescent="0.2">
      <c r="A427" s="67" t="s">
        <v>9</v>
      </c>
      <c r="B427" s="64">
        <v>10</v>
      </c>
      <c r="C427" s="64">
        <v>3</v>
      </c>
      <c r="D427" s="64" t="s">
        <v>82</v>
      </c>
      <c r="E427" s="64" t="s">
        <v>247</v>
      </c>
      <c r="F427" s="64" t="s">
        <v>10</v>
      </c>
      <c r="G427" s="66">
        <f>29467.8+84762.4+1456.8-55203-4600+55203-5000-1053+33079.1-55000+1053+55000-3620+17113.9</f>
        <v>152660</v>
      </c>
      <c r="H427" s="66"/>
      <c r="I427" s="66"/>
    </row>
    <row r="428" spans="1:12" s="11" customFormat="1" ht="63.75" x14ac:dyDescent="0.2">
      <c r="A428" s="10" t="s">
        <v>281</v>
      </c>
      <c r="B428" s="8">
        <v>10</v>
      </c>
      <c r="C428" s="8">
        <v>3</v>
      </c>
      <c r="D428" s="8" t="s">
        <v>82</v>
      </c>
      <c r="E428" s="8" t="s">
        <v>249</v>
      </c>
      <c r="F428" s="8"/>
      <c r="G428" s="9">
        <f>G429</f>
        <v>2623.8999999999996</v>
      </c>
      <c r="H428" s="9">
        <f>H429</f>
        <v>0</v>
      </c>
      <c r="I428" s="9">
        <f>I429</f>
        <v>0</v>
      </c>
    </row>
    <row r="429" spans="1:12" s="11" customFormat="1" x14ac:dyDescent="0.2">
      <c r="A429" s="19" t="s">
        <v>9</v>
      </c>
      <c r="B429" s="15">
        <v>10</v>
      </c>
      <c r="C429" s="15">
        <v>3</v>
      </c>
      <c r="D429" s="15" t="s">
        <v>82</v>
      </c>
      <c r="E429" s="15" t="s">
        <v>249</v>
      </c>
      <c r="F429" s="15" t="s">
        <v>10</v>
      </c>
      <c r="G429" s="17">
        <f>1511.3+1112.6</f>
        <v>2623.8999999999996</v>
      </c>
      <c r="H429" s="17"/>
      <c r="I429" s="17"/>
    </row>
    <row r="430" spans="1:12" s="11" customFormat="1" ht="38.25" x14ac:dyDescent="0.2">
      <c r="A430" s="10" t="s">
        <v>251</v>
      </c>
      <c r="B430" s="8">
        <v>10</v>
      </c>
      <c r="C430" s="8">
        <v>3</v>
      </c>
      <c r="D430" s="8" t="s">
        <v>82</v>
      </c>
      <c r="E430" s="8" t="s">
        <v>250</v>
      </c>
      <c r="F430" s="8"/>
      <c r="G430" s="9">
        <f>G431</f>
        <v>4858.5</v>
      </c>
      <c r="H430" s="9">
        <f>H431</f>
        <v>0</v>
      </c>
      <c r="I430" s="9">
        <f>I431</f>
        <v>0</v>
      </c>
    </row>
    <row r="431" spans="1:12" s="11" customFormat="1" x14ac:dyDescent="0.2">
      <c r="A431" s="19" t="s">
        <v>9</v>
      </c>
      <c r="B431" s="15">
        <v>10</v>
      </c>
      <c r="C431" s="15">
        <v>3</v>
      </c>
      <c r="D431" s="15" t="s">
        <v>82</v>
      </c>
      <c r="E431" s="15" t="s">
        <v>250</v>
      </c>
      <c r="F431" s="15" t="s">
        <v>10</v>
      </c>
      <c r="G431" s="17">
        <f>2919.4+1939.1</f>
        <v>4858.5</v>
      </c>
      <c r="H431" s="17"/>
      <c r="I431" s="17"/>
    </row>
    <row r="432" spans="1:12" s="11" customFormat="1" ht="40.5" customHeight="1" x14ac:dyDescent="0.2">
      <c r="A432" s="10" t="s">
        <v>336</v>
      </c>
      <c r="B432" s="8">
        <v>10</v>
      </c>
      <c r="C432" s="8">
        <v>3</v>
      </c>
      <c r="D432" s="8" t="s">
        <v>82</v>
      </c>
      <c r="E432" s="8" t="s">
        <v>252</v>
      </c>
      <c r="F432" s="8"/>
      <c r="G432" s="9">
        <f>G433</f>
        <v>92442.1</v>
      </c>
      <c r="H432" s="9">
        <f>H433</f>
        <v>0</v>
      </c>
      <c r="I432" s="9">
        <f>I433</f>
        <v>0</v>
      </c>
    </row>
    <row r="433" spans="1:9" x14ac:dyDescent="0.2">
      <c r="A433" s="67" t="s">
        <v>9</v>
      </c>
      <c r="B433" s="64">
        <v>10</v>
      </c>
      <c r="C433" s="64">
        <v>3</v>
      </c>
      <c r="D433" s="64" t="s">
        <v>82</v>
      </c>
      <c r="E433" s="64" t="s">
        <v>252</v>
      </c>
      <c r="F433" s="64" t="s">
        <v>10</v>
      </c>
      <c r="G433" s="66">
        <f>34883.8+11067.8+46490.5</f>
        <v>92442.1</v>
      </c>
      <c r="H433" s="66"/>
      <c r="I433" s="66"/>
    </row>
    <row r="434" spans="1:9" ht="25.5" x14ac:dyDescent="0.2">
      <c r="A434" s="75" t="s">
        <v>66</v>
      </c>
      <c r="B434" s="69" t="s">
        <v>24</v>
      </c>
      <c r="C434" s="69" t="s">
        <v>36</v>
      </c>
      <c r="D434" s="69"/>
      <c r="E434" s="69"/>
      <c r="F434" s="69"/>
      <c r="G434" s="71">
        <f>SUM(G435)</f>
        <v>5239.3</v>
      </c>
      <c r="H434" s="71">
        <f t="shared" ref="H434:I434" si="61">SUM(H435)</f>
        <v>4434.2</v>
      </c>
      <c r="I434" s="71">
        <f t="shared" si="61"/>
        <v>4434.2</v>
      </c>
    </row>
    <row r="435" spans="1:9" ht="25.5" x14ac:dyDescent="0.2">
      <c r="A435" s="60" t="s">
        <v>254</v>
      </c>
      <c r="B435" s="61">
        <v>10</v>
      </c>
      <c r="C435" s="61">
        <v>4</v>
      </c>
      <c r="D435" s="61" t="s">
        <v>82</v>
      </c>
      <c r="E435" s="61" t="s">
        <v>253</v>
      </c>
      <c r="F435" s="61"/>
      <c r="G435" s="62">
        <f>G436+G438+G437</f>
        <v>5239.3</v>
      </c>
      <c r="H435" s="62">
        <f t="shared" ref="H435:I435" si="62">H436+H438+H437</f>
        <v>4434.2</v>
      </c>
      <c r="I435" s="62">
        <f t="shared" si="62"/>
        <v>4434.2</v>
      </c>
    </row>
    <row r="436" spans="1:9" ht="51" x14ac:dyDescent="0.2">
      <c r="A436" s="63" t="s">
        <v>3</v>
      </c>
      <c r="B436" s="64">
        <v>10</v>
      </c>
      <c r="C436" s="64">
        <v>4</v>
      </c>
      <c r="D436" s="64" t="s">
        <v>82</v>
      </c>
      <c r="E436" s="64" t="s">
        <v>253</v>
      </c>
      <c r="F436" s="64" t="s">
        <v>4</v>
      </c>
      <c r="G436" s="66">
        <f>3230.8+975.7+0.8+40.5+530.9-0.5-38.9</f>
        <v>4739.3</v>
      </c>
      <c r="H436" s="66">
        <f>3230.8+975.7+0.8+40.5</f>
        <v>4247.8</v>
      </c>
      <c r="I436" s="66">
        <f>3230.8+975.7+0.8+40.5</f>
        <v>4247.8</v>
      </c>
    </row>
    <row r="437" spans="1:9" ht="25.5" x14ac:dyDescent="0.2">
      <c r="A437" s="63" t="s">
        <v>87</v>
      </c>
      <c r="B437" s="64">
        <v>10</v>
      </c>
      <c r="C437" s="64">
        <v>4</v>
      </c>
      <c r="D437" s="64" t="s">
        <v>82</v>
      </c>
      <c r="E437" s="64" t="s">
        <v>253</v>
      </c>
      <c r="F437" s="64" t="s">
        <v>5</v>
      </c>
      <c r="G437" s="66">
        <f>40+0.8+8+62.4+46+30-0.8+15-0.5+10+120.3+167.8+0.5</f>
        <v>499.5</v>
      </c>
      <c r="H437" s="66">
        <f>40+0.8+8+62.4+46+30-0.8</f>
        <v>186.39999999999998</v>
      </c>
      <c r="I437" s="66">
        <f>40+0.8+8+62.4+46+30-0.8</f>
        <v>186.39999999999998</v>
      </c>
    </row>
    <row r="438" spans="1:9" s="11" customFormat="1" x14ac:dyDescent="0.2">
      <c r="A438" s="14" t="s">
        <v>9</v>
      </c>
      <c r="B438" s="15">
        <v>10</v>
      </c>
      <c r="C438" s="15">
        <v>4</v>
      </c>
      <c r="D438" s="15" t="s">
        <v>82</v>
      </c>
      <c r="E438" s="15" t="s">
        <v>253</v>
      </c>
      <c r="F438" s="15" t="s">
        <v>10</v>
      </c>
      <c r="G438" s="17">
        <v>0.5</v>
      </c>
      <c r="H438" s="17">
        <v>0</v>
      </c>
      <c r="I438" s="17">
        <v>0</v>
      </c>
    </row>
    <row r="439" spans="1:9" s="11" customFormat="1" ht="25.5" x14ac:dyDescent="0.2">
      <c r="A439" s="46" t="s">
        <v>321</v>
      </c>
      <c r="B439" s="43" t="s">
        <v>24</v>
      </c>
      <c r="C439" s="43" t="s">
        <v>38</v>
      </c>
      <c r="D439" s="43"/>
      <c r="E439" s="43"/>
      <c r="F439" s="43"/>
      <c r="G439" s="45">
        <f>G440</f>
        <v>0</v>
      </c>
      <c r="H439" s="45">
        <f t="shared" ref="H439:I440" si="63">H440</f>
        <v>150</v>
      </c>
      <c r="I439" s="45">
        <f t="shared" si="63"/>
        <v>0</v>
      </c>
    </row>
    <row r="440" spans="1:9" s="11" customFormat="1" ht="25.5" x14ac:dyDescent="0.2">
      <c r="A440" s="10" t="s">
        <v>322</v>
      </c>
      <c r="B440" s="8">
        <v>10</v>
      </c>
      <c r="C440" s="8" t="s">
        <v>38</v>
      </c>
      <c r="D440" s="8" t="s">
        <v>82</v>
      </c>
      <c r="E440" s="8" t="s">
        <v>343</v>
      </c>
      <c r="F440" s="8"/>
      <c r="G440" s="9">
        <f>G441</f>
        <v>0</v>
      </c>
      <c r="H440" s="9">
        <f t="shared" si="63"/>
        <v>150</v>
      </c>
      <c r="I440" s="9">
        <f t="shared" si="63"/>
        <v>0</v>
      </c>
    </row>
    <row r="441" spans="1:9" s="11" customFormat="1" ht="25.5" x14ac:dyDescent="0.2">
      <c r="A441" s="14" t="s">
        <v>87</v>
      </c>
      <c r="B441" s="15">
        <v>10</v>
      </c>
      <c r="C441" s="15" t="s">
        <v>38</v>
      </c>
      <c r="D441" s="15" t="s">
        <v>82</v>
      </c>
      <c r="E441" s="15" t="s">
        <v>343</v>
      </c>
      <c r="F441" s="15" t="s">
        <v>5</v>
      </c>
      <c r="G441" s="17">
        <v>0</v>
      </c>
      <c r="H441" s="17">
        <v>150</v>
      </c>
      <c r="I441" s="17">
        <v>0</v>
      </c>
    </row>
    <row r="442" spans="1:9" s="11" customFormat="1" ht="38.25" x14ac:dyDescent="0.2">
      <c r="A442" s="37" t="s">
        <v>292</v>
      </c>
      <c r="B442" s="35" t="s">
        <v>18</v>
      </c>
      <c r="C442" s="35"/>
      <c r="D442" s="35"/>
      <c r="E442" s="35"/>
      <c r="F442" s="35"/>
      <c r="G442" s="36">
        <f>SUM(G443,G450,G455,G458,G461,G464)+G467+G470</f>
        <v>253185.61999999997</v>
      </c>
      <c r="H442" s="36">
        <f t="shared" ref="H442:I442" si="64">SUM(H443,H450,H455,H458,H461,H464)+H467</f>
        <v>83841.600000000006</v>
      </c>
      <c r="I442" s="36">
        <f t="shared" si="64"/>
        <v>63255.9</v>
      </c>
    </row>
    <row r="443" spans="1:9" s="11" customFormat="1" ht="25.5" x14ac:dyDescent="0.2">
      <c r="A443" s="42" t="s">
        <v>67</v>
      </c>
      <c r="B443" s="43" t="s">
        <v>18</v>
      </c>
      <c r="C443" s="43" t="s">
        <v>32</v>
      </c>
      <c r="D443" s="43"/>
      <c r="E443" s="43"/>
      <c r="F443" s="43"/>
      <c r="G443" s="45">
        <f>G448+G446+G444</f>
        <v>206758.62</v>
      </c>
      <c r="H443" s="45">
        <f t="shared" ref="H443:I443" si="65">H448+H446+H444</f>
        <v>53970.1</v>
      </c>
      <c r="I443" s="45">
        <f t="shared" si="65"/>
        <v>33384.400000000001</v>
      </c>
    </row>
    <row r="444" spans="1:9" s="11" customFormat="1" ht="63.75" x14ac:dyDescent="0.2">
      <c r="A444" s="10" t="s">
        <v>358</v>
      </c>
      <c r="B444" s="8">
        <v>11</v>
      </c>
      <c r="C444" s="8">
        <v>1</v>
      </c>
      <c r="D444" s="8" t="s">
        <v>82</v>
      </c>
      <c r="E444" s="8" t="s">
        <v>357</v>
      </c>
      <c r="F444" s="8"/>
      <c r="G444" s="9">
        <f>G445</f>
        <v>102380.02</v>
      </c>
      <c r="H444" s="9">
        <f t="shared" ref="H444:I448" si="66">H445</f>
        <v>0</v>
      </c>
      <c r="I444" s="9">
        <f t="shared" si="66"/>
        <v>0</v>
      </c>
    </row>
    <row r="445" spans="1:9" s="11" customFormat="1" ht="25.5" x14ac:dyDescent="0.2">
      <c r="A445" s="19" t="s">
        <v>138</v>
      </c>
      <c r="B445" s="15">
        <v>11</v>
      </c>
      <c r="C445" s="15">
        <v>1</v>
      </c>
      <c r="D445" s="15" t="s">
        <v>82</v>
      </c>
      <c r="E445" s="15" t="s">
        <v>357</v>
      </c>
      <c r="F445" s="15" t="s">
        <v>2</v>
      </c>
      <c r="G445" s="17">
        <f>30000+72380.02</f>
        <v>102380.02</v>
      </c>
      <c r="H445" s="17">
        <v>0</v>
      </c>
      <c r="I445" s="17">
        <v>0</v>
      </c>
    </row>
    <row r="446" spans="1:9" s="11" customFormat="1" ht="63.75" x14ac:dyDescent="0.2">
      <c r="A446" s="10" t="s">
        <v>358</v>
      </c>
      <c r="B446" s="8">
        <v>11</v>
      </c>
      <c r="C446" s="8">
        <v>1</v>
      </c>
      <c r="D446" s="8" t="s">
        <v>82</v>
      </c>
      <c r="E446" s="8" t="s">
        <v>361</v>
      </c>
      <c r="F446" s="8"/>
      <c r="G446" s="9">
        <f>G447</f>
        <v>5120</v>
      </c>
      <c r="H446" s="9">
        <f t="shared" si="66"/>
        <v>0</v>
      </c>
      <c r="I446" s="9">
        <f t="shared" si="66"/>
        <v>0</v>
      </c>
    </row>
    <row r="447" spans="1:9" s="11" customFormat="1" ht="25.5" x14ac:dyDescent="0.2">
      <c r="A447" s="19" t="s">
        <v>138</v>
      </c>
      <c r="B447" s="15">
        <v>11</v>
      </c>
      <c r="C447" s="15">
        <v>1</v>
      </c>
      <c r="D447" s="15" t="s">
        <v>82</v>
      </c>
      <c r="E447" s="15" t="s">
        <v>361</v>
      </c>
      <c r="F447" s="15" t="s">
        <v>2</v>
      </c>
      <c r="G447" s="17">
        <f>1500+3620</f>
        <v>5120</v>
      </c>
      <c r="H447" s="17">
        <v>0</v>
      </c>
      <c r="I447" s="17">
        <v>0</v>
      </c>
    </row>
    <row r="448" spans="1:9" ht="25.5" x14ac:dyDescent="0.2">
      <c r="A448" s="60" t="s">
        <v>256</v>
      </c>
      <c r="B448" s="61">
        <v>11</v>
      </c>
      <c r="C448" s="61">
        <v>1</v>
      </c>
      <c r="D448" s="61" t="s">
        <v>82</v>
      </c>
      <c r="E448" s="61" t="s">
        <v>255</v>
      </c>
      <c r="F448" s="61"/>
      <c r="G448" s="62">
        <f>G449</f>
        <v>99258.6</v>
      </c>
      <c r="H448" s="62">
        <f t="shared" si="66"/>
        <v>53970.1</v>
      </c>
      <c r="I448" s="62">
        <f t="shared" si="66"/>
        <v>33384.400000000001</v>
      </c>
    </row>
    <row r="449" spans="1:9" ht="25.5" x14ac:dyDescent="0.2">
      <c r="A449" s="67" t="s">
        <v>138</v>
      </c>
      <c r="B449" s="64">
        <v>11</v>
      </c>
      <c r="C449" s="64">
        <v>1</v>
      </c>
      <c r="D449" s="64" t="s">
        <v>82</v>
      </c>
      <c r="E449" s="64" t="s">
        <v>255</v>
      </c>
      <c r="F449" s="64" t="s">
        <v>2</v>
      </c>
      <c r="G449" s="66">
        <f>73107+5000+26700-225.4+1000+500-163-6660</f>
        <v>99258.6</v>
      </c>
      <c r="H449" s="66">
        <f>73107-19136.9</f>
        <v>53970.1</v>
      </c>
      <c r="I449" s="66">
        <f>73107-39722.6</f>
        <v>33384.400000000001</v>
      </c>
    </row>
    <row r="450" spans="1:9" ht="25.5" x14ac:dyDescent="0.2">
      <c r="A450" s="75" t="s">
        <v>68</v>
      </c>
      <c r="B450" s="69" t="s">
        <v>18</v>
      </c>
      <c r="C450" s="69" t="s">
        <v>33</v>
      </c>
      <c r="D450" s="69"/>
      <c r="E450" s="69"/>
      <c r="F450" s="69"/>
      <c r="G450" s="71">
        <f>SUM(G451,G453)</f>
        <v>14984.4</v>
      </c>
      <c r="H450" s="71">
        <f>SUM(H451,H453)</f>
        <v>8480.1</v>
      </c>
      <c r="I450" s="71">
        <f>SUM(I451,I453)</f>
        <v>8480.1</v>
      </c>
    </row>
    <row r="451" spans="1:9" ht="25.5" x14ac:dyDescent="0.2">
      <c r="A451" s="60" t="s">
        <v>282</v>
      </c>
      <c r="B451" s="61">
        <v>11</v>
      </c>
      <c r="C451" s="61">
        <v>2</v>
      </c>
      <c r="D451" s="61" t="s">
        <v>82</v>
      </c>
      <c r="E451" s="61" t="s">
        <v>257</v>
      </c>
      <c r="F451" s="61"/>
      <c r="G451" s="62">
        <f>G452</f>
        <v>14540.1</v>
      </c>
      <c r="H451" s="62">
        <f>H452</f>
        <v>8080.1</v>
      </c>
      <c r="I451" s="62">
        <f>I452</f>
        <v>8080.1</v>
      </c>
    </row>
    <row r="452" spans="1:9" ht="25.5" x14ac:dyDescent="0.2">
      <c r="A452" s="67" t="s">
        <v>138</v>
      </c>
      <c r="B452" s="64">
        <v>11</v>
      </c>
      <c r="C452" s="64">
        <v>2</v>
      </c>
      <c r="D452" s="64" t="s">
        <v>82</v>
      </c>
      <c r="E452" s="64" t="s">
        <v>257</v>
      </c>
      <c r="F452" s="64" t="s">
        <v>2</v>
      </c>
      <c r="G452" s="66">
        <f>8080.1+300+500+5660</f>
        <v>14540.1</v>
      </c>
      <c r="H452" s="66">
        <v>8080.1</v>
      </c>
      <c r="I452" s="66">
        <v>8080.1</v>
      </c>
    </row>
    <row r="453" spans="1:9" x14ac:dyDescent="0.2">
      <c r="A453" s="60" t="s">
        <v>258</v>
      </c>
      <c r="B453" s="61">
        <v>11</v>
      </c>
      <c r="C453" s="61">
        <v>2</v>
      </c>
      <c r="D453" s="61" t="s">
        <v>82</v>
      </c>
      <c r="E453" s="61" t="s">
        <v>234</v>
      </c>
      <c r="F453" s="61"/>
      <c r="G453" s="62">
        <f>G454</f>
        <v>444.3</v>
      </c>
      <c r="H453" s="62">
        <f>H454</f>
        <v>400</v>
      </c>
      <c r="I453" s="62">
        <f>I454</f>
        <v>400</v>
      </c>
    </row>
    <row r="454" spans="1:9" ht="25.5" x14ac:dyDescent="0.2">
      <c r="A454" s="67" t="s">
        <v>138</v>
      </c>
      <c r="B454" s="64">
        <v>11</v>
      </c>
      <c r="C454" s="64">
        <v>2</v>
      </c>
      <c r="D454" s="64" t="s">
        <v>82</v>
      </c>
      <c r="E454" s="64" t="s">
        <v>234</v>
      </c>
      <c r="F454" s="64" t="s">
        <v>2</v>
      </c>
      <c r="G454" s="66">
        <f>400+44.3</f>
        <v>444.3</v>
      </c>
      <c r="H454" s="66">
        <v>400</v>
      </c>
      <c r="I454" s="66">
        <v>400</v>
      </c>
    </row>
    <row r="455" spans="1:9" s="11" customFormat="1" ht="25.5" x14ac:dyDescent="0.2">
      <c r="A455" s="46" t="s">
        <v>69</v>
      </c>
      <c r="B455" s="43" t="s">
        <v>18</v>
      </c>
      <c r="C455" s="43" t="s">
        <v>34</v>
      </c>
      <c r="D455" s="43"/>
      <c r="E455" s="43"/>
      <c r="F455" s="43"/>
      <c r="G455" s="45">
        <f t="shared" ref="G455:I456" si="67">G456</f>
        <v>3000</v>
      </c>
      <c r="H455" s="45">
        <f t="shared" si="67"/>
        <v>3000</v>
      </c>
      <c r="I455" s="45">
        <f t="shared" si="67"/>
        <v>3000</v>
      </c>
    </row>
    <row r="456" spans="1:9" s="11" customFormat="1" ht="25.5" x14ac:dyDescent="0.2">
      <c r="A456" s="10" t="s">
        <v>260</v>
      </c>
      <c r="B456" s="8">
        <v>11</v>
      </c>
      <c r="C456" s="8">
        <v>3</v>
      </c>
      <c r="D456" s="8" t="s">
        <v>82</v>
      </c>
      <c r="E456" s="8" t="s">
        <v>259</v>
      </c>
      <c r="F456" s="8"/>
      <c r="G456" s="9">
        <f t="shared" si="67"/>
        <v>3000</v>
      </c>
      <c r="H456" s="9">
        <f t="shared" si="67"/>
        <v>3000</v>
      </c>
      <c r="I456" s="9">
        <f t="shared" si="67"/>
        <v>3000</v>
      </c>
    </row>
    <row r="457" spans="1:9" s="11" customFormat="1" ht="25.5" x14ac:dyDescent="0.2">
      <c r="A457" s="19" t="s">
        <v>138</v>
      </c>
      <c r="B457" s="15">
        <v>11</v>
      </c>
      <c r="C457" s="15">
        <v>3</v>
      </c>
      <c r="D457" s="15" t="s">
        <v>82</v>
      </c>
      <c r="E457" s="15" t="s">
        <v>259</v>
      </c>
      <c r="F457" s="15" t="s">
        <v>2</v>
      </c>
      <c r="G457" s="17">
        <v>3000</v>
      </c>
      <c r="H457" s="17">
        <v>3000</v>
      </c>
      <c r="I457" s="17">
        <v>3000</v>
      </c>
    </row>
    <row r="458" spans="1:9" s="11" customFormat="1" x14ac:dyDescent="0.2">
      <c r="A458" s="46" t="s">
        <v>70</v>
      </c>
      <c r="B458" s="43" t="s">
        <v>18</v>
      </c>
      <c r="C458" s="43" t="s">
        <v>36</v>
      </c>
      <c r="D458" s="43"/>
      <c r="E458" s="43"/>
      <c r="F458" s="43"/>
      <c r="G458" s="45">
        <f t="shared" ref="G458:I459" si="68">G459</f>
        <v>1500</v>
      </c>
      <c r="H458" s="45">
        <f t="shared" si="68"/>
        <v>1500</v>
      </c>
      <c r="I458" s="45">
        <f t="shared" si="68"/>
        <v>1500</v>
      </c>
    </row>
    <row r="459" spans="1:9" s="11" customFormat="1" x14ac:dyDescent="0.2">
      <c r="A459" s="10" t="s">
        <v>262</v>
      </c>
      <c r="B459" s="8">
        <v>11</v>
      </c>
      <c r="C459" s="8">
        <v>4</v>
      </c>
      <c r="D459" s="8" t="s">
        <v>82</v>
      </c>
      <c r="E459" s="8" t="s">
        <v>261</v>
      </c>
      <c r="F459" s="15"/>
      <c r="G459" s="17">
        <f t="shared" si="68"/>
        <v>1500</v>
      </c>
      <c r="H459" s="17">
        <f t="shared" si="68"/>
        <v>1500</v>
      </c>
      <c r="I459" s="17">
        <f t="shared" si="68"/>
        <v>1500</v>
      </c>
    </row>
    <row r="460" spans="1:9" s="11" customFormat="1" ht="25.5" x14ac:dyDescent="0.2">
      <c r="A460" s="19" t="s">
        <v>138</v>
      </c>
      <c r="B460" s="15">
        <v>11</v>
      </c>
      <c r="C460" s="15">
        <v>4</v>
      </c>
      <c r="D460" s="15" t="s">
        <v>82</v>
      </c>
      <c r="E460" s="15" t="s">
        <v>261</v>
      </c>
      <c r="F460" s="15" t="s">
        <v>2</v>
      </c>
      <c r="G460" s="17">
        <v>1500</v>
      </c>
      <c r="H460" s="17">
        <v>1500</v>
      </c>
      <c r="I460" s="17">
        <v>1500</v>
      </c>
    </row>
    <row r="461" spans="1:9" s="11" customFormat="1" ht="25.5" x14ac:dyDescent="0.2">
      <c r="A461" s="46" t="s">
        <v>71</v>
      </c>
      <c r="B461" s="43" t="s">
        <v>18</v>
      </c>
      <c r="C461" s="43" t="s">
        <v>38</v>
      </c>
      <c r="D461" s="43"/>
      <c r="E461" s="43"/>
      <c r="F461" s="43"/>
      <c r="G461" s="45">
        <f t="shared" ref="G461:I462" si="69">G462</f>
        <v>11890</v>
      </c>
      <c r="H461" s="45">
        <f t="shared" si="69"/>
        <v>5660</v>
      </c>
      <c r="I461" s="45">
        <f t="shared" si="69"/>
        <v>5660</v>
      </c>
    </row>
    <row r="462" spans="1:9" ht="25.5" x14ac:dyDescent="0.2">
      <c r="A462" s="60" t="s">
        <v>264</v>
      </c>
      <c r="B462" s="82">
        <v>11</v>
      </c>
      <c r="C462" s="82">
        <v>5</v>
      </c>
      <c r="D462" s="82" t="s">
        <v>82</v>
      </c>
      <c r="E462" s="82" t="s">
        <v>263</v>
      </c>
      <c r="F462" s="61"/>
      <c r="G462" s="62">
        <f t="shared" si="69"/>
        <v>11890</v>
      </c>
      <c r="H462" s="62">
        <f t="shared" si="69"/>
        <v>5660</v>
      </c>
      <c r="I462" s="62">
        <f t="shared" si="69"/>
        <v>5660</v>
      </c>
    </row>
    <row r="463" spans="1:9" s="11" customFormat="1" ht="25.5" x14ac:dyDescent="0.2">
      <c r="A463" s="19" t="s">
        <v>138</v>
      </c>
      <c r="B463" s="6">
        <v>11</v>
      </c>
      <c r="C463" s="6">
        <v>5</v>
      </c>
      <c r="D463" s="6" t="s">
        <v>82</v>
      </c>
      <c r="E463" s="6" t="s">
        <v>263</v>
      </c>
      <c r="F463" s="15" t="s">
        <v>2</v>
      </c>
      <c r="G463" s="17">
        <f>5660+30+4000-500-300+1000+2000</f>
        <v>11890</v>
      </c>
      <c r="H463" s="17">
        <v>5660</v>
      </c>
      <c r="I463" s="17">
        <v>5660</v>
      </c>
    </row>
    <row r="464" spans="1:9" ht="38.25" x14ac:dyDescent="0.2">
      <c r="A464" s="75" t="s">
        <v>293</v>
      </c>
      <c r="B464" s="76" t="s">
        <v>18</v>
      </c>
      <c r="C464" s="76" t="s">
        <v>54</v>
      </c>
      <c r="D464" s="76"/>
      <c r="E464" s="76"/>
      <c r="F464" s="69"/>
      <c r="G464" s="71">
        <f t="shared" ref="G464:I465" si="70">G465</f>
        <v>14080.400000000003</v>
      </c>
      <c r="H464" s="71">
        <f t="shared" si="70"/>
        <v>11231.400000000001</v>
      </c>
      <c r="I464" s="71">
        <f t="shared" si="70"/>
        <v>11231.400000000001</v>
      </c>
    </row>
    <row r="465" spans="1:9" ht="38.25" x14ac:dyDescent="0.2">
      <c r="A465" s="60" t="s">
        <v>294</v>
      </c>
      <c r="B465" s="61">
        <v>11</v>
      </c>
      <c r="C465" s="61">
        <v>6</v>
      </c>
      <c r="D465" s="61" t="s">
        <v>82</v>
      </c>
      <c r="E465" s="61" t="s">
        <v>265</v>
      </c>
      <c r="F465" s="73"/>
      <c r="G465" s="74">
        <f t="shared" si="70"/>
        <v>14080.400000000003</v>
      </c>
      <c r="H465" s="74">
        <f t="shared" si="70"/>
        <v>11231.400000000001</v>
      </c>
      <c r="I465" s="74">
        <f t="shared" si="70"/>
        <v>11231.400000000001</v>
      </c>
    </row>
    <row r="466" spans="1:9" ht="25.5" x14ac:dyDescent="0.2">
      <c r="A466" s="67" t="s">
        <v>138</v>
      </c>
      <c r="B466" s="64">
        <v>11</v>
      </c>
      <c r="C466" s="64">
        <v>6</v>
      </c>
      <c r="D466" s="64" t="s">
        <v>82</v>
      </c>
      <c r="E466" s="64" t="s">
        <v>265</v>
      </c>
      <c r="F466" s="64" t="s">
        <v>2</v>
      </c>
      <c r="G466" s="66">
        <f>11136.2+95.2+1831.1+658+904.2-544.3</f>
        <v>14080.400000000003</v>
      </c>
      <c r="H466" s="66">
        <f>11136.2+95.2</f>
        <v>11231.400000000001</v>
      </c>
      <c r="I466" s="66">
        <f>11136.2+95.2</f>
        <v>11231.400000000001</v>
      </c>
    </row>
    <row r="467" spans="1:9" x14ac:dyDescent="0.2">
      <c r="A467" s="75" t="s">
        <v>283</v>
      </c>
      <c r="B467" s="76" t="s">
        <v>18</v>
      </c>
      <c r="C467" s="76" t="s">
        <v>55</v>
      </c>
      <c r="D467" s="76"/>
      <c r="E467" s="76"/>
      <c r="F467" s="69"/>
      <c r="G467" s="71">
        <f t="shared" ref="G467:I468" si="71">G468</f>
        <v>746.8</v>
      </c>
      <c r="H467" s="71">
        <f t="shared" si="71"/>
        <v>0</v>
      </c>
      <c r="I467" s="71">
        <f t="shared" si="71"/>
        <v>0</v>
      </c>
    </row>
    <row r="468" spans="1:9" ht="25.5" x14ac:dyDescent="0.2">
      <c r="A468" s="60" t="s">
        <v>284</v>
      </c>
      <c r="B468" s="61">
        <v>11</v>
      </c>
      <c r="C468" s="61">
        <v>7</v>
      </c>
      <c r="D468" s="61" t="s">
        <v>82</v>
      </c>
      <c r="E468" s="61" t="s">
        <v>266</v>
      </c>
      <c r="F468" s="61"/>
      <c r="G468" s="62">
        <f t="shared" si="71"/>
        <v>746.8</v>
      </c>
      <c r="H468" s="62">
        <f t="shared" si="71"/>
        <v>0</v>
      </c>
      <c r="I468" s="62">
        <f t="shared" si="71"/>
        <v>0</v>
      </c>
    </row>
    <row r="469" spans="1:9" ht="25.5" x14ac:dyDescent="0.2">
      <c r="A469" s="67" t="s">
        <v>138</v>
      </c>
      <c r="B469" s="64">
        <v>11</v>
      </c>
      <c r="C469" s="64">
        <v>7</v>
      </c>
      <c r="D469" s="64" t="s">
        <v>82</v>
      </c>
      <c r="E469" s="64" t="s">
        <v>266</v>
      </c>
      <c r="F469" s="64" t="s">
        <v>2</v>
      </c>
      <c r="G469" s="66">
        <f>583.8+163</f>
        <v>746.8</v>
      </c>
      <c r="H469" s="66">
        <f>583.8-583.8</f>
        <v>0</v>
      </c>
      <c r="I469" s="66">
        <f>583.8-583.8</f>
        <v>0</v>
      </c>
    </row>
    <row r="470" spans="1:9" s="11" customFormat="1" ht="25.5" x14ac:dyDescent="0.2">
      <c r="A470" s="46" t="s">
        <v>368</v>
      </c>
      <c r="B470" s="22" t="s">
        <v>18</v>
      </c>
      <c r="C470" s="22" t="s">
        <v>369</v>
      </c>
      <c r="D470" s="22"/>
      <c r="E470" s="22"/>
      <c r="F470" s="43"/>
      <c r="G470" s="45">
        <f>G471</f>
        <v>225.4</v>
      </c>
      <c r="H470" s="45">
        <f t="shared" ref="H470:I471" si="72">H471</f>
        <v>0</v>
      </c>
      <c r="I470" s="45">
        <f t="shared" si="72"/>
        <v>0</v>
      </c>
    </row>
    <row r="471" spans="1:9" s="11" customFormat="1" x14ac:dyDescent="0.2">
      <c r="A471" s="10" t="s">
        <v>370</v>
      </c>
      <c r="B471" s="49">
        <v>11</v>
      </c>
      <c r="C471" s="8" t="s">
        <v>369</v>
      </c>
      <c r="D471" s="8" t="s">
        <v>82</v>
      </c>
      <c r="E471" s="6" t="s">
        <v>371</v>
      </c>
      <c r="F471" s="8"/>
      <c r="G471" s="9">
        <f>G472</f>
        <v>225.4</v>
      </c>
      <c r="H471" s="9">
        <f t="shared" si="72"/>
        <v>0</v>
      </c>
      <c r="I471" s="9">
        <f t="shared" si="72"/>
        <v>0</v>
      </c>
    </row>
    <row r="472" spans="1:9" s="11" customFormat="1" ht="25.5" x14ac:dyDescent="0.2">
      <c r="A472" s="19" t="s">
        <v>138</v>
      </c>
      <c r="B472" s="49">
        <v>11</v>
      </c>
      <c r="C472" s="8" t="s">
        <v>369</v>
      </c>
      <c r="D472" s="8" t="s">
        <v>82</v>
      </c>
      <c r="E472" s="6" t="s">
        <v>371</v>
      </c>
      <c r="F472" s="15" t="s">
        <v>2</v>
      </c>
      <c r="G472" s="17">
        <v>225.4</v>
      </c>
      <c r="H472" s="17">
        <v>0</v>
      </c>
      <c r="I472" s="17">
        <v>0</v>
      </c>
    </row>
    <row r="473" spans="1:9" s="11" customFormat="1" ht="25.5" x14ac:dyDescent="0.2">
      <c r="A473" s="34" t="s">
        <v>72</v>
      </c>
      <c r="B473" s="35" t="s">
        <v>19</v>
      </c>
      <c r="C473" s="35"/>
      <c r="D473" s="35"/>
      <c r="E473" s="35"/>
      <c r="F473" s="35"/>
      <c r="G473" s="36">
        <f>G474</f>
        <v>4223.3</v>
      </c>
      <c r="H473" s="36">
        <f t="shared" ref="G473:I474" si="73">H474</f>
        <v>3454.1</v>
      </c>
      <c r="I473" s="36">
        <f t="shared" si="73"/>
        <v>3454.1</v>
      </c>
    </row>
    <row r="474" spans="1:9" s="11" customFormat="1" ht="25.5" x14ac:dyDescent="0.2">
      <c r="A474" s="10" t="s">
        <v>269</v>
      </c>
      <c r="B474" s="8">
        <v>12</v>
      </c>
      <c r="C474" s="8">
        <v>0</v>
      </c>
      <c r="D474" s="8" t="s">
        <v>82</v>
      </c>
      <c r="E474" s="8" t="s">
        <v>268</v>
      </c>
      <c r="F474" s="8"/>
      <c r="G474" s="9">
        <f t="shared" si="73"/>
        <v>4223.3</v>
      </c>
      <c r="H474" s="9">
        <f t="shared" si="73"/>
        <v>3454.1</v>
      </c>
      <c r="I474" s="9">
        <f t="shared" si="73"/>
        <v>3454.1</v>
      </c>
    </row>
    <row r="475" spans="1:9" s="11" customFormat="1" x14ac:dyDescent="0.2">
      <c r="A475" s="19" t="s">
        <v>12</v>
      </c>
      <c r="B475" s="15">
        <v>12</v>
      </c>
      <c r="C475" s="15">
        <v>0</v>
      </c>
      <c r="D475" s="15" t="s">
        <v>82</v>
      </c>
      <c r="E475" s="15" t="s">
        <v>268</v>
      </c>
      <c r="F475" s="15" t="s">
        <v>11</v>
      </c>
      <c r="G475" s="17">
        <f>3454.1+769.2</f>
        <v>4223.3</v>
      </c>
      <c r="H475" s="17">
        <v>3454.1</v>
      </c>
      <c r="I475" s="17">
        <v>3454.1</v>
      </c>
    </row>
    <row r="476" spans="1:9" s="11" customFormat="1" ht="25.5" x14ac:dyDescent="0.2">
      <c r="A476" s="34" t="s">
        <v>78</v>
      </c>
      <c r="B476" s="35" t="s">
        <v>76</v>
      </c>
      <c r="C476" s="35"/>
      <c r="D476" s="35"/>
      <c r="E476" s="35"/>
      <c r="F476" s="35"/>
      <c r="G476" s="36">
        <f>G477+G481+G479</f>
        <v>22185.800000000003</v>
      </c>
      <c r="H476" s="36">
        <f t="shared" ref="H476:I476" si="74">H477+H481+H479</f>
        <v>17922.900000000001</v>
      </c>
      <c r="I476" s="36">
        <f t="shared" si="74"/>
        <v>17922.900000000001</v>
      </c>
    </row>
    <row r="477" spans="1:9" x14ac:dyDescent="0.2">
      <c r="A477" s="60" t="s">
        <v>270</v>
      </c>
      <c r="B477" s="61">
        <v>13</v>
      </c>
      <c r="C477" s="61">
        <v>0</v>
      </c>
      <c r="D477" s="61" t="s">
        <v>82</v>
      </c>
      <c r="E477" s="61" t="s">
        <v>277</v>
      </c>
      <c r="F477" s="61"/>
      <c r="G477" s="62">
        <f t="shared" ref="G477:I477" si="75">G478</f>
        <v>21525.800000000003</v>
      </c>
      <c r="H477" s="62">
        <f t="shared" si="75"/>
        <v>17922.900000000001</v>
      </c>
      <c r="I477" s="62">
        <f t="shared" si="75"/>
        <v>17922.900000000001</v>
      </c>
    </row>
    <row r="478" spans="1:9" ht="25.5" x14ac:dyDescent="0.2">
      <c r="A478" s="67" t="s">
        <v>138</v>
      </c>
      <c r="B478" s="64">
        <v>13</v>
      </c>
      <c r="C478" s="64">
        <v>0</v>
      </c>
      <c r="D478" s="64" t="s">
        <v>82</v>
      </c>
      <c r="E478" s="64" t="s">
        <v>277</v>
      </c>
      <c r="F478" s="64" t="s">
        <v>2</v>
      </c>
      <c r="G478" s="66">
        <f>17545.9+213+25+139+1904.8+1332.2-35.1+236.2-60+224.8</f>
        <v>21525.800000000003</v>
      </c>
      <c r="H478" s="66">
        <f>17545.9+213+25+139</f>
        <v>17922.900000000001</v>
      </c>
      <c r="I478" s="66">
        <f>17545.9+213+25+139</f>
        <v>17922.900000000001</v>
      </c>
    </row>
    <row r="479" spans="1:9" s="11" customFormat="1" ht="33.75" customHeight="1" x14ac:dyDescent="0.2">
      <c r="A479" s="10" t="s">
        <v>376</v>
      </c>
      <c r="B479" s="8" t="s">
        <v>76</v>
      </c>
      <c r="C479" s="8" t="s">
        <v>77</v>
      </c>
      <c r="D479" s="8" t="s">
        <v>82</v>
      </c>
      <c r="E479" s="8" t="s">
        <v>377</v>
      </c>
      <c r="F479" s="8"/>
      <c r="G479" s="9">
        <f>G480</f>
        <v>600</v>
      </c>
      <c r="H479" s="9"/>
      <c r="I479" s="9"/>
    </row>
    <row r="480" spans="1:9" s="11" customFormat="1" ht="25.5" x14ac:dyDescent="0.2">
      <c r="A480" s="19" t="s">
        <v>138</v>
      </c>
      <c r="B480" s="15" t="s">
        <v>76</v>
      </c>
      <c r="C480" s="15" t="s">
        <v>77</v>
      </c>
      <c r="D480" s="15" t="s">
        <v>82</v>
      </c>
      <c r="E480" s="15" t="s">
        <v>377</v>
      </c>
      <c r="F480" s="15" t="s">
        <v>2</v>
      </c>
      <c r="G480" s="17">
        <v>600</v>
      </c>
      <c r="H480" s="17"/>
      <c r="I480" s="17"/>
    </row>
    <row r="481" spans="1:9" ht="33.75" customHeight="1" x14ac:dyDescent="0.2">
      <c r="A481" s="60" t="s">
        <v>376</v>
      </c>
      <c r="B481" s="61" t="s">
        <v>76</v>
      </c>
      <c r="C481" s="61" t="s">
        <v>77</v>
      </c>
      <c r="D481" s="61" t="s">
        <v>82</v>
      </c>
      <c r="E481" s="61" t="s">
        <v>378</v>
      </c>
      <c r="F481" s="61"/>
      <c r="G481" s="62">
        <f>G482</f>
        <v>60</v>
      </c>
      <c r="H481" s="62"/>
      <c r="I481" s="62"/>
    </row>
    <row r="482" spans="1:9" ht="25.5" x14ac:dyDescent="0.2">
      <c r="A482" s="67" t="s">
        <v>138</v>
      </c>
      <c r="B482" s="64" t="s">
        <v>76</v>
      </c>
      <c r="C482" s="64" t="s">
        <v>77</v>
      </c>
      <c r="D482" s="64" t="s">
        <v>82</v>
      </c>
      <c r="E482" s="64" t="s">
        <v>378</v>
      </c>
      <c r="F482" s="64" t="s">
        <v>2</v>
      </c>
      <c r="G482" s="66">
        <v>60</v>
      </c>
      <c r="H482" s="66"/>
      <c r="I482" s="66"/>
    </row>
    <row r="483" spans="1:9" s="11" customFormat="1" ht="38.25" x14ac:dyDescent="0.2">
      <c r="A483" s="34" t="s">
        <v>116</v>
      </c>
      <c r="B483" s="35" t="s">
        <v>84</v>
      </c>
      <c r="C483" s="35"/>
      <c r="D483" s="35"/>
      <c r="E483" s="35"/>
      <c r="F483" s="35"/>
      <c r="G483" s="36">
        <f>SUM(G484,G486)</f>
        <v>75</v>
      </c>
      <c r="H483" s="36">
        <f t="shared" ref="H483:I483" si="76">SUM(H484,H486)</f>
        <v>670.9</v>
      </c>
      <c r="I483" s="36">
        <f t="shared" si="76"/>
        <v>670.9</v>
      </c>
    </row>
    <row r="484" spans="1:9" s="11" customFormat="1" ht="25.5" x14ac:dyDescent="0.2">
      <c r="A484" s="10" t="s">
        <v>272</v>
      </c>
      <c r="B484" s="8">
        <v>14</v>
      </c>
      <c r="C484" s="8">
        <v>0</v>
      </c>
      <c r="D484" s="8" t="s">
        <v>82</v>
      </c>
      <c r="E484" s="8" t="s">
        <v>273</v>
      </c>
      <c r="F484" s="8"/>
      <c r="G484" s="9">
        <f>G485</f>
        <v>75</v>
      </c>
      <c r="H484" s="9">
        <f>H485</f>
        <v>75</v>
      </c>
      <c r="I484" s="9">
        <f>I485</f>
        <v>75</v>
      </c>
    </row>
    <row r="485" spans="1:9" s="11" customFormat="1" ht="25.5" x14ac:dyDescent="0.2">
      <c r="A485" s="14" t="s">
        <v>87</v>
      </c>
      <c r="B485" s="15">
        <v>14</v>
      </c>
      <c r="C485" s="15">
        <v>0</v>
      </c>
      <c r="D485" s="15" t="s">
        <v>82</v>
      </c>
      <c r="E485" s="15" t="s">
        <v>273</v>
      </c>
      <c r="F485" s="16" t="s">
        <v>5</v>
      </c>
      <c r="G485" s="17">
        <v>75</v>
      </c>
      <c r="H485" s="17">
        <v>75</v>
      </c>
      <c r="I485" s="17">
        <v>75</v>
      </c>
    </row>
    <row r="486" spans="1:9" ht="25.5" x14ac:dyDescent="0.2">
      <c r="A486" s="60" t="s">
        <v>271</v>
      </c>
      <c r="B486" s="61">
        <v>14</v>
      </c>
      <c r="C486" s="61">
        <v>0</v>
      </c>
      <c r="D486" s="61" t="s">
        <v>82</v>
      </c>
      <c r="E486" s="61" t="s">
        <v>324</v>
      </c>
      <c r="F486" s="61"/>
      <c r="G486" s="62">
        <f>G487</f>
        <v>0</v>
      </c>
      <c r="H486" s="62">
        <f>H487</f>
        <v>595.9</v>
      </c>
      <c r="I486" s="62">
        <f>I487</f>
        <v>595.9</v>
      </c>
    </row>
    <row r="487" spans="1:9" x14ac:dyDescent="0.2">
      <c r="A487" s="67" t="s">
        <v>9</v>
      </c>
      <c r="B487" s="64">
        <v>14</v>
      </c>
      <c r="C487" s="64">
        <v>0</v>
      </c>
      <c r="D487" s="64" t="s">
        <v>82</v>
      </c>
      <c r="E487" s="64" t="s">
        <v>324</v>
      </c>
      <c r="F487" s="64" t="s">
        <v>10</v>
      </c>
      <c r="G487" s="66">
        <f>595.9-595.9</f>
        <v>0</v>
      </c>
      <c r="H487" s="66">
        <v>595.9</v>
      </c>
      <c r="I487" s="66">
        <v>595.9</v>
      </c>
    </row>
    <row r="488" spans="1:9" s="11" customFormat="1" ht="38.25" x14ac:dyDescent="0.2">
      <c r="A488" s="34" t="s">
        <v>364</v>
      </c>
      <c r="B488" s="35" t="s">
        <v>365</v>
      </c>
      <c r="C488" s="35"/>
      <c r="D488" s="35"/>
      <c r="E488" s="35"/>
      <c r="F488" s="35"/>
      <c r="G488" s="36">
        <f>SUM(G489)</f>
        <v>22683.683809999999</v>
      </c>
      <c r="H488" s="36">
        <f t="shared" ref="H488:I488" si="77">SUM(H489)</f>
        <v>23508.723819999999</v>
      </c>
      <c r="I488" s="36">
        <f t="shared" si="77"/>
        <v>24261.883130000002</v>
      </c>
    </row>
    <row r="489" spans="1:9" ht="38.25" x14ac:dyDescent="0.2">
      <c r="A489" s="60" t="s">
        <v>366</v>
      </c>
      <c r="B489" s="83">
        <v>15</v>
      </c>
      <c r="C489" s="61" t="s">
        <v>77</v>
      </c>
      <c r="D489" s="61" t="s">
        <v>82</v>
      </c>
      <c r="E489" s="82" t="s">
        <v>367</v>
      </c>
      <c r="F489" s="61"/>
      <c r="G489" s="62">
        <f>SUM(G490:G491)</f>
        <v>22683.683809999999</v>
      </c>
      <c r="H489" s="62">
        <f t="shared" ref="H489:I489" si="78">SUM(H490:H491)</f>
        <v>23508.723819999999</v>
      </c>
      <c r="I489" s="62">
        <f t="shared" si="78"/>
        <v>24261.883130000002</v>
      </c>
    </row>
    <row r="490" spans="1:9" ht="25.5" x14ac:dyDescent="0.2">
      <c r="A490" s="63" t="s">
        <v>87</v>
      </c>
      <c r="B490" s="79">
        <v>15</v>
      </c>
      <c r="C490" s="64" t="s">
        <v>77</v>
      </c>
      <c r="D490" s="64" t="s">
        <v>82</v>
      </c>
      <c r="E490" s="82" t="s">
        <v>367</v>
      </c>
      <c r="F490" s="64" t="s">
        <v>5</v>
      </c>
      <c r="G490" s="66">
        <f>13079.69333+1453.29926+764.9+2266.49122+119.3</f>
        <v>17683.683809999999</v>
      </c>
      <c r="H490" s="66">
        <f>13627.36382+1514.15+796.44</f>
        <v>15937.953820000001</v>
      </c>
      <c r="I490" s="66">
        <f>14063.94313+1562.67+821.96</f>
        <v>16448.573130000001</v>
      </c>
    </row>
    <row r="491" spans="1:9" ht="25.5" x14ac:dyDescent="0.2">
      <c r="A491" s="67" t="s">
        <v>138</v>
      </c>
      <c r="B491" s="79">
        <v>15</v>
      </c>
      <c r="C491" s="64" t="s">
        <v>77</v>
      </c>
      <c r="D491" s="64" t="s">
        <v>82</v>
      </c>
      <c r="E491" s="82" t="s">
        <v>367</v>
      </c>
      <c r="F491" s="64" t="s">
        <v>2</v>
      </c>
      <c r="G491" s="66">
        <f>6539.8421+726.64912-2266.49122</f>
        <v>5000</v>
      </c>
      <c r="H491" s="66">
        <f>6813.69+757.08</f>
        <v>7570.7699999999995</v>
      </c>
      <c r="I491" s="66">
        <f>7031.98+781.33</f>
        <v>7813.3099999999995</v>
      </c>
    </row>
    <row r="492" spans="1:9" s="11" customFormat="1" x14ac:dyDescent="0.2">
      <c r="A492" s="34" t="s">
        <v>73</v>
      </c>
      <c r="B492" s="35" t="s">
        <v>0</v>
      </c>
      <c r="C492" s="35"/>
      <c r="D492" s="35"/>
      <c r="E492" s="35"/>
      <c r="F492" s="35"/>
      <c r="G492" s="36">
        <f>SUM(G493,G495,G497,G499)+G503</f>
        <v>9662</v>
      </c>
      <c r="H492" s="36">
        <f>SUM(H493,H495,H497,H499)+H503+H505</f>
        <v>27862.6</v>
      </c>
      <c r="I492" s="36">
        <f>SUM(I493,I495,I497,I499)+I503+I505</f>
        <v>48797.999999999993</v>
      </c>
    </row>
    <row r="493" spans="1:9" s="11" customFormat="1" ht="25.5" x14ac:dyDescent="0.2">
      <c r="A493" s="10" t="s">
        <v>285</v>
      </c>
      <c r="B493" s="8">
        <v>99</v>
      </c>
      <c r="C493" s="8">
        <v>0</v>
      </c>
      <c r="D493" s="8" t="s">
        <v>82</v>
      </c>
      <c r="E493" s="8" t="s">
        <v>287</v>
      </c>
      <c r="F493" s="8"/>
      <c r="G493" s="9">
        <f>G494</f>
        <v>1480.6000000000001</v>
      </c>
      <c r="H493" s="9">
        <f>H494</f>
        <v>1316.1000000000001</v>
      </c>
      <c r="I493" s="9">
        <f>I494</f>
        <v>1316.1000000000001</v>
      </c>
    </row>
    <row r="494" spans="1:9" s="11" customFormat="1" ht="51" x14ac:dyDescent="0.2">
      <c r="A494" s="14" t="s">
        <v>3</v>
      </c>
      <c r="B494" s="15">
        <v>99</v>
      </c>
      <c r="C494" s="15">
        <v>0</v>
      </c>
      <c r="D494" s="15" t="s">
        <v>82</v>
      </c>
      <c r="E494" s="15" t="s">
        <v>287</v>
      </c>
      <c r="F494" s="16" t="s">
        <v>4</v>
      </c>
      <c r="G494" s="17">
        <f>1001.1+302.3+12.7+164.5</f>
        <v>1480.6000000000001</v>
      </c>
      <c r="H494" s="17">
        <f>1001.1+302.3+12.7</f>
        <v>1316.1000000000001</v>
      </c>
      <c r="I494" s="17">
        <f>1001.1+302.3+12.7</f>
        <v>1316.1000000000001</v>
      </c>
    </row>
    <row r="495" spans="1:9" s="11" customFormat="1" x14ac:dyDescent="0.2">
      <c r="A495" s="10" t="s">
        <v>286</v>
      </c>
      <c r="B495" s="8">
        <v>99</v>
      </c>
      <c r="C495" s="8">
        <v>0</v>
      </c>
      <c r="D495" s="8" t="s">
        <v>82</v>
      </c>
      <c r="E495" s="8" t="s">
        <v>288</v>
      </c>
      <c r="F495" s="8"/>
      <c r="G495" s="9">
        <f>G496</f>
        <v>2737.5</v>
      </c>
      <c r="H495" s="9">
        <f>H496</f>
        <v>2521.2999999999997</v>
      </c>
      <c r="I495" s="9">
        <f>I496</f>
        <v>2521.2999999999997</v>
      </c>
    </row>
    <row r="496" spans="1:9" s="11" customFormat="1" ht="51" x14ac:dyDescent="0.2">
      <c r="A496" s="14" t="s">
        <v>3</v>
      </c>
      <c r="B496" s="15">
        <v>99</v>
      </c>
      <c r="C496" s="15">
        <v>0</v>
      </c>
      <c r="D496" s="15" t="s">
        <v>82</v>
      </c>
      <c r="E496" s="15" t="s">
        <v>288</v>
      </c>
      <c r="F496" s="16" t="s">
        <v>4</v>
      </c>
      <c r="G496" s="17">
        <f>615.8+1710.9+186+8.6+129.9+101.3-15</f>
        <v>2737.5</v>
      </c>
      <c r="H496" s="17">
        <f>615.8+1710.9+186+8.6</f>
        <v>2521.2999999999997</v>
      </c>
      <c r="I496" s="17">
        <f>615.8+1710.9+186+8.6</f>
        <v>2521.2999999999997</v>
      </c>
    </row>
    <row r="497" spans="1:16" s="11" customFormat="1" x14ac:dyDescent="0.2">
      <c r="A497" s="10" t="s">
        <v>291</v>
      </c>
      <c r="B497" s="8">
        <v>99</v>
      </c>
      <c r="C497" s="8">
        <v>0</v>
      </c>
      <c r="D497" s="8" t="s">
        <v>82</v>
      </c>
      <c r="E497" s="8" t="s">
        <v>289</v>
      </c>
      <c r="F497" s="8"/>
      <c r="G497" s="9">
        <f>G498</f>
        <v>624.69999999999993</v>
      </c>
      <c r="H497" s="9">
        <f>H498</f>
        <v>555.29999999999995</v>
      </c>
      <c r="I497" s="9">
        <f>I498</f>
        <v>555.29999999999995</v>
      </c>
    </row>
    <row r="498" spans="1:16" s="11" customFormat="1" ht="51" x14ac:dyDescent="0.2">
      <c r="A498" s="14" t="s">
        <v>3</v>
      </c>
      <c r="B498" s="15">
        <v>99</v>
      </c>
      <c r="C498" s="15">
        <v>0</v>
      </c>
      <c r="D498" s="15" t="s">
        <v>82</v>
      </c>
      <c r="E498" s="15" t="s">
        <v>289</v>
      </c>
      <c r="F498" s="16" t="s">
        <v>4</v>
      </c>
      <c r="G498" s="17">
        <f>422.3+127.6+5.4+69.4</f>
        <v>624.69999999999993</v>
      </c>
      <c r="H498" s="17">
        <f>422.3+127.6+5.4</f>
        <v>555.29999999999995</v>
      </c>
      <c r="I498" s="17">
        <f>422.3+127.6+5.4</f>
        <v>555.29999999999995</v>
      </c>
    </row>
    <row r="499" spans="1:16" s="11" customFormat="1" x14ac:dyDescent="0.2">
      <c r="A499" s="10" t="s">
        <v>323</v>
      </c>
      <c r="B499" s="8">
        <v>99</v>
      </c>
      <c r="C499" s="8">
        <v>0</v>
      </c>
      <c r="D499" s="8" t="s">
        <v>82</v>
      </c>
      <c r="E499" s="8" t="s">
        <v>290</v>
      </c>
      <c r="F499" s="8"/>
      <c r="G499" s="9">
        <f>G500+G501+G502</f>
        <v>4622.8999999999996</v>
      </c>
      <c r="H499" s="9">
        <f>H500+H501+H502</f>
        <v>4023.4999999999995</v>
      </c>
      <c r="I499" s="9">
        <f>I500+I501+I502</f>
        <v>4023.4999999999995</v>
      </c>
    </row>
    <row r="500" spans="1:16" s="11" customFormat="1" ht="51" x14ac:dyDescent="0.2">
      <c r="A500" s="14" t="s">
        <v>3</v>
      </c>
      <c r="B500" s="15">
        <v>99</v>
      </c>
      <c r="C500" s="15">
        <v>0</v>
      </c>
      <c r="D500" s="15" t="s">
        <v>82</v>
      </c>
      <c r="E500" s="15" t="s">
        <v>290</v>
      </c>
      <c r="F500" s="16" t="s">
        <v>4</v>
      </c>
      <c r="G500" s="17">
        <f>1684+508.6+943.4+284.9+1.1+0.7+20+11.7+276.6+155</f>
        <v>3885.9999999999995</v>
      </c>
      <c r="H500" s="17">
        <f>1684+508.6+943.4+284.9+1.1+0.7+20+11.7</f>
        <v>3454.3999999999996</v>
      </c>
      <c r="I500" s="17">
        <f>1684+508.6+943.4+284.9+1.1+0.7+20+11.7</f>
        <v>3454.3999999999996</v>
      </c>
    </row>
    <row r="501" spans="1:16" s="11" customFormat="1" ht="25.5" x14ac:dyDescent="0.2">
      <c r="A501" s="14" t="s">
        <v>87</v>
      </c>
      <c r="B501" s="15">
        <v>99</v>
      </c>
      <c r="C501" s="15">
        <v>0</v>
      </c>
      <c r="D501" s="15" t="s">
        <v>82</v>
      </c>
      <c r="E501" s="15" t="s">
        <v>290</v>
      </c>
      <c r="F501" s="16" t="s">
        <v>5</v>
      </c>
      <c r="G501" s="17">
        <f>65.7+1.5+16.5+7.7+10.7+10+15.1+20.1+101.5+190.5-1.1+128.5+83.7+69.1+15</f>
        <v>734.50000000000011</v>
      </c>
      <c r="H501" s="17">
        <f>65.7+1.5+16.5+7.7+10.7+10+15.1+20.1+101.5+190.5-1.1+128.5</f>
        <v>566.70000000000005</v>
      </c>
      <c r="I501" s="17">
        <f>65.7+1.5+16.5+7.7+10.7+10+15.1+20.1+101.5+190.5-1.1+128.5</f>
        <v>566.70000000000005</v>
      </c>
    </row>
    <row r="502" spans="1:16" s="11" customFormat="1" x14ac:dyDescent="0.2">
      <c r="A502" s="19" t="s">
        <v>9</v>
      </c>
      <c r="B502" s="15">
        <v>99</v>
      </c>
      <c r="C502" s="15">
        <v>0</v>
      </c>
      <c r="D502" s="15" t="s">
        <v>82</v>
      </c>
      <c r="E502" s="15" t="s">
        <v>290</v>
      </c>
      <c r="F502" s="15" t="s">
        <v>10</v>
      </c>
      <c r="G502" s="17">
        <f>2+0.2+0.2</f>
        <v>2.4000000000000004</v>
      </c>
      <c r="H502" s="17">
        <f>2+0.2+0.2</f>
        <v>2.4000000000000004</v>
      </c>
      <c r="I502" s="17">
        <f>2+0.2+0.2</f>
        <v>2.4000000000000004</v>
      </c>
    </row>
    <row r="503" spans="1:16" s="11" customFormat="1" ht="38.25" x14ac:dyDescent="0.2">
      <c r="A503" s="10" t="s">
        <v>342</v>
      </c>
      <c r="B503" s="8">
        <v>99</v>
      </c>
      <c r="C503" s="8">
        <v>0</v>
      </c>
      <c r="D503" s="8" t="s">
        <v>82</v>
      </c>
      <c r="E503" s="8" t="s">
        <v>341</v>
      </c>
      <c r="F503" s="8"/>
      <c r="G503" s="9">
        <f>G504</f>
        <v>196.3</v>
      </c>
      <c r="H503" s="9">
        <f t="shared" ref="H503:I503" si="79">H504</f>
        <v>0</v>
      </c>
      <c r="I503" s="9">
        <f t="shared" si="79"/>
        <v>0</v>
      </c>
    </row>
    <row r="504" spans="1:16" s="11" customFormat="1" ht="25.5" x14ac:dyDescent="0.2">
      <c r="A504" s="14" t="s">
        <v>87</v>
      </c>
      <c r="B504" s="15">
        <v>99</v>
      </c>
      <c r="C504" s="15">
        <v>0</v>
      </c>
      <c r="D504" s="15" t="s">
        <v>82</v>
      </c>
      <c r="E504" s="15" t="s">
        <v>341</v>
      </c>
      <c r="F504" s="16" t="s">
        <v>5</v>
      </c>
      <c r="G504" s="17">
        <v>196.3</v>
      </c>
      <c r="H504" s="17">
        <v>0</v>
      </c>
      <c r="I504" s="17">
        <v>0</v>
      </c>
    </row>
    <row r="505" spans="1:16" s="11" customFormat="1" x14ac:dyDescent="0.2">
      <c r="A505" s="10" t="s">
        <v>339</v>
      </c>
      <c r="B505" s="49">
        <v>99</v>
      </c>
      <c r="C505" s="8" t="s">
        <v>77</v>
      </c>
      <c r="D505" s="8" t="s">
        <v>82</v>
      </c>
      <c r="E505" s="8" t="s">
        <v>340</v>
      </c>
      <c r="F505" s="8"/>
      <c r="G505" s="9"/>
      <c r="H505" s="9">
        <f t="shared" ref="H505:I507" si="80">H506</f>
        <v>19446.400000000001</v>
      </c>
      <c r="I505" s="9">
        <f t="shared" si="80"/>
        <v>40381.799999999996</v>
      </c>
    </row>
    <row r="506" spans="1:16" s="11" customFormat="1" x14ac:dyDescent="0.2">
      <c r="A506" s="10" t="s">
        <v>339</v>
      </c>
      <c r="B506" s="49">
        <v>99</v>
      </c>
      <c r="C506" s="8" t="s">
        <v>77</v>
      </c>
      <c r="D506" s="8" t="s">
        <v>82</v>
      </c>
      <c r="E506" s="8" t="s">
        <v>340</v>
      </c>
      <c r="F506" s="8"/>
      <c r="G506" s="9"/>
      <c r="H506" s="9">
        <f t="shared" si="80"/>
        <v>19446.400000000001</v>
      </c>
      <c r="I506" s="9">
        <f t="shared" si="80"/>
        <v>40381.799999999996</v>
      </c>
    </row>
    <row r="507" spans="1:16" s="11" customFormat="1" x14ac:dyDescent="0.2">
      <c r="A507" s="10" t="s">
        <v>339</v>
      </c>
      <c r="B507" s="49">
        <v>99</v>
      </c>
      <c r="C507" s="8" t="s">
        <v>77</v>
      </c>
      <c r="D507" s="8" t="s">
        <v>82</v>
      </c>
      <c r="E507" s="8" t="s">
        <v>340</v>
      </c>
      <c r="F507" s="8"/>
      <c r="G507" s="9"/>
      <c r="H507" s="9">
        <f t="shared" si="80"/>
        <v>19446.400000000001</v>
      </c>
      <c r="I507" s="9">
        <f t="shared" si="80"/>
        <v>40381.799999999996</v>
      </c>
    </row>
    <row r="508" spans="1:16" s="18" customFormat="1" x14ac:dyDescent="0.2">
      <c r="A508" s="19" t="s">
        <v>339</v>
      </c>
      <c r="B508" s="49">
        <v>99</v>
      </c>
      <c r="C508" s="8" t="s">
        <v>77</v>
      </c>
      <c r="D508" s="8" t="s">
        <v>82</v>
      </c>
      <c r="E508" s="8" t="s">
        <v>340</v>
      </c>
      <c r="F508" s="15" t="s">
        <v>10</v>
      </c>
      <c r="G508" s="17">
        <v>0</v>
      </c>
      <c r="H508" s="17">
        <f>19136.9+309.5</f>
        <v>19446.400000000001</v>
      </c>
      <c r="I508" s="17">
        <f>39722.6+659.2</f>
        <v>40381.799999999996</v>
      </c>
      <c r="K508" s="11"/>
      <c r="L508" s="11"/>
      <c r="M508" s="11"/>
      <c r="N508" s="11"/>
      <c r="O508" s="11"/>
      <c r="P508" s="11"/>
    </row>
    <row r="509" spans="1:16" s="11" customFormat="1" ht="15.75" x14ac:dyDescent="0.25">
      <c r="A509" s="27" t="s">
        <v>26</v>
      </c>
      <c r="B509" s="26"/>
      <c r="C509" s="40"/>
      <c r="D509" s="26"/>
      <c r="E509" s="40"/>
      <c r="F509" s="40"/>
      <c r="G509" s="30">
        <f>SUM(G473,G492,G442,G400,G388,G266,G245,G137,G94,G72,G49,G13,G483,G476)+G488</f>
        <v>3291091.4043599996</v>
      </c>
      <c r="H509" s="30">
        <f>SUM(H473,H492,H442,H400,H388,H266,H245,H137,H94,H72,H49,H13,H483,H476)+H488</f>
        <v>2358925.0938200001</v>
      </c>
      <c r="I509" s="30">
        <f>SUM(I473,I492,I442,I400,I388,I266,I245,I137,I94,I72,I49,I13,I483,I476)+I488</f>
        <v>2329617.9831300001</v>
      </c>
    </row>
    <row r="510" spans="1:16" ht="7.5" customHeight="1" x14ac:dyDescent="0.2">
      <c r="B510" s="101"/>
      <c r="C510" s="84"/>
      <c r="D510" s="101"/>
      <c r="E510" s="84"/>
      <c r="F510" s="84"/>
      <c r="G510" s="102"/>
      <c r="H510" s="102"/>
      <c r="I510" s="102"/>
    </row>
    <row r="511" spans="1:16" ht="1.5" customHeight="1" x14ac:dyDescent="0.2">
      <c r="B511" s="101"/>
      <c r="C511" s="84"/>
      <c r="D511" s="101"/>
      <c r="E511" s="84"/>
      <c r="F511" s="84"/>
      <c r="G511" s="102"/>
      <c r="H511" s="102"/>
      <c r="I511" s="102"/>
    </row>
    <row r="512" spans="1:16" ht="15.75" hidden="1" customHeight="1" x14ac:dyDescent="0.2">
      <c r="B512" s="101"/>
      <c r="C512" s="84"/>
      <c r="D512" s="101"/>
      <c r="E512" s="84"/>
      <c r="F512" s="84"/>
      <c r="G512" s="102"/>
      <c r="H512" s="102"/>
      <c r="I512" s="102"/>
    </row>
    <row r="513" spans="1:9" s="105" customFormat="1" ht="15.75" customHeight="1" x14ac:dyDescent="0.2">
      <c r="A513" s="103" t="s">
        <v>295</v>
      </c>
      <c r="B513" s="104"/>
      <c r="C513" s="104"/>
      <c r="D513" s="104"/>
      <c r="E513" s="104"/>
      <c r="H513" s="106" t="s">
        <v>385</v>
      </c>
    </row>
    <row r="514" spans="1:9" ht="3.75" customHeight="1" x14ac:dyDescent="0.2">
      <c r="B514" s="101"/>
      <c r="C514" s="84"/>
      <c r="D514" s="101"/>
      <c r="E514" s="84"/>
      <c r="F514" s="84"/>
      <c r="G514" s="84"/>
    </row>
    <row r="515" spans="1:9" hidden="1" x14ac:dyDescent="0.2">
      <c r="B515" s="101"/>
      <c r="C515" s="84"/>
      <c r="D515" s="101"/>
      <c r="E515" s="84"/>
      <c r="F515" s="84"/>
      <c r="G515" s="100">
        <f>'[1]изм. октябрь 2018'!$G$592</f>
        <v>3280752.6043600002</v>
      </c>
      <c r="H515" s="100">
        <f>'[2]изм октябрь 2018'!$G$532</f>
        <v>2358925.0938200001</v>
      </c>
      <c r="I515" s="100">
        <f>'[1]изм. октябрь 2018'!$I$592</f>
        <v>2329617.9831300001</v>
      </c>
    </row>
    <row r="516" spans="1:9" hidden="1" x14ac:dyDescent="0.2">
      <c r="B516" s="101"/>
      <c r="C516" s="84"/>
      <c r="D516" s="101"/>
      <c r="E516" s="84"/>
      <c r="F516" s="84"/>
      <c r="G516" s="102">
        <f>G509-G515</f>
        <v>10338.799999999348</v>
      </c>
      <c r="H516" s="102">
        <f t="shared" ref="H516:I516" si="81">H509-H515</f>
        <v>0</v>
      </c>
      <c r="I516" s="102">
        <f t="shared" si="81"/>
        <v>0</v>
      </c>
    </row>
    <row r="517" spans="1:9" hidden="1" x14ac:dyDescent="0.2">
      <c r="B517" s="101"/>
      <c r="C517" s="84"/>
      <c r="D517" s="101"/>
      <c r="E517" s="84"/>
      <c r="F517" s="84"/>
      <c r="G517" s="102"/>
      <c r="H517" s="102"/>
      <c r="I517" s="102"/>
    </row>
    <row r="518" spans="1:9" hidden="1" x14ac:dyDescent="0.2">
      <c r="B518" s="101"/>
      <c r="C518" s="84"/>
      <c r="D518" s="101"/>
      <c r="E518" s="84"/>
      <c r="F518" s="84"/>
      <c r="G518" s="84"/>
    </row>
    <row r="519" spans="1:9" x14ac:dyDescent="0.2">
      <c r="B519" s="101"/>
      <c r="C519" s="84"/>
      <c r="D519" s="101"/>
      <c r="E519" s="84"/>
      <c r="F519" s="84"/>
      <c r="G519" s="102"/>
      <c r="H519" s="102"/>
      <c r="I519" s="102"/>
    </row>
    <row r="520" spans="1:9" x14ac:dyDescent="0.2">
      <c r="B520" s="101"/>
      <c r="C520" s="84"/>
      <c r="D520" s="101"/>
      <c r="E520" s="84"/>
      <c r="F520" s="84"/>
      <c r="G520" s="84"/>
    </row>
    <row r="521" spans="1:9" x14ac:dyDescent="0.2">
      <c r="B521" s="101"/>
      <c r="C521" s="84"/>
      <c r="D521" s="101"/>
      <c r="E521" s="84"/>
      <c r="F521" s="84"/>
      <c r="G521" s="102"/>
      <c r="H521" s="102"/>
      <c r="I521" s="102"/>
    </row>
    <row r="522" spans="1:9" x14ac:dyDescent="0.2">
      <c r="B522" s="101"/>
      <c r="C522" s="84"/>
      <c r="D522" s="101"/>
      <c r="E522" s="84"/>
      <c r="F522" s="84"/>
      <c r="G522" s="84"/>
    </row>
    <row r="523" spans="1:9" x14ac:dyDescent="0.2">
      <c r="B523" s="101"/>
      <c r="C523" s="84"/>
      <c r="D523" s="101"/>
      <c r="E523" s="84"/>
      <c r="F523" s="84"/>
      <c r="G523" s="84"/>
    </row>
    <row r="524" spans="1:9" x14ac:dyDescent="0.2">
      <c r="B524" s="101"/>
      <c r="C524" s="84"/>
      <c r="D524" s="101"/>
      <c r="E524" s="84"/>
      <c r="F524" s="84"/>
      <c r="G524" s="84"/>
    </row>
    <row r="525" spans="1:9" x14ac:dyDescent="0.2">
      <c r="B525" s="101"/>
      <c r="C525" s="84"/>
      <c r="D525" s="101"/>
      <c r="E525" s="84"/>
      <c r="F525" s="84"/>
      <c r="G525" s="84"/>
    </row>
    <row r="526" spans="1:9" x14ac:dyDescent="0.2">
      <c r="B526" s="101"/>
      <c r="C526" s="84"/>
      <c r="D526" s="101"/>
      <c r="E526" s="84"/>
      <c r="F526" s="84"/>
      <c r="G526" s="84"/>
    </row>
    <row r="527" spans="1:9" x14ac:dyDescent="0.2">
      <c r="B527" s="101"/>
      <c r="C527" s="84"/>
      <c r="D527" s="101"/>
      <c r="E527" s="84"/>
      <c r="F527" s="84"/>
      <c r="G527" s="84"/>
    </row>
    <row r="528" spans="1:9" x14ac:dyDescent="0.2">
      <c r="B528" s="101"/>
      <c r="C528" s="84"/>
      <c r="D528" s="101"/>
      <c r="E528" s="84"/>
      <c r="F528" s="84"/>
      <c r="G528" s="84"/>
    </row>
    <row r="529" spans="2:7" x14ac:dyDescent="0.2">
      <c r="B529" s="101"/>
      <c r="C529" s="84"/>
      <c r="D529" s="101"/>
      <c r="E529" s="84"/>
      <c r="F529" s="84"/>
      <c r="G529" s="84"/>
    </row>
    <row r="530" spans="2:7" x14ac:dyDescent="0.2">
      <c r="B530" s="101"/>
      <c r="C530" s="84"/>
      <c r="D530" s="101"/>
      <c r="E530" s="84"/>
      <c r="F530" s="84"/>
      <c r="G530" s="84"/>
    </row>
    <row r="531" spans="2:7" x14ac:dyDescent="0.2">
      <c r="B531" s="101"/>
      <c r="C531" s="84"/>
      <c r="D531" s="101"/>
      <c r="E531" s="84"/>
      <c r="F531" s="84"/>
      <c r="G531" s="84"/>
    </row>
    <row r="532" spans="2:7" x14ac:dyDescent="0.2">
      <c r="B532" s="101"/>
      <c r="C532" s="84"/>
      <c r="D532" s="101"/>
      <c r="E532" s="84"/>
      <c r="F532" s="84"/>
      <c r="G532" s="84"/>
    </row>
    <row r="533" spans="2:7" x14ac:dyDescent="0.2">
      <c r="B533" s="101"/>
      <c r="C533" s="84"/>
      <c r="D533" s="101"/>
      <c r="E533" s="84"/>
      <c r="F533" s="84"/>
      <c r="G533" s="84"/>
    </row>
    <row r="534" spans="2:7" x14ac:dyDescent="0.2">
      <c r="B534" s="101"/>
      <c r="C534" s="84"/>
      <c r="D534" s="101"/>
      <c r="E534" s="84"/>
      <c r="F534" s="84"/>
      <c r="G534" s="84"/>
    </row>
    <row r="535" spans="2:7" x14ac:dyDescent="0.2">
      <c r="B535" s="101"/>
      <c r="C535" s="84"/>
      <c r="D535" s="101"/>
      <c r="E535" s="84"/>
      <c r="F535" s="84"/>
      <c r="G535" s="84"/>
    </row>
    <row r="536" spans="2:7" x14ac:dyDescent="0.2">
      <c r="B536" s="101"/>
      <c r="C536" s="84"/>
      <c r="D536" s="101"/>
      <c r="E536" s="84"/>
      <c r="F536" s="84"/>
      <c r="G536" s="84"/>
    </row>
    <row r="537" spans="2:7" x14ac:dyDescent="0.2">
      <c r="B537" s="101"/>
      <c r="C537" s="84"/>
      <c r="D537" s="101"/>
      <c r="E537" s="84"/>
      <c r="F537" s="84"/>
      <c r="G537" s="84"/>
    </row>
    <row r="538" spans="2:7" x14ac:dyDescent="0.2">
      <c r="B538" s="101"/>
      <c r="C538" s="84"/>
      <c r="D538" s="101"/>
      <c r="E538" s="84"/>
      <c r="F538" s="84"/>
      <c r="G538" s="84"/>
    </row>
    <row r="539" spans="2:7" x14ac:dyDescent="0.2">
      <c r="B539" s="101"/>
      <c r="C539" s="84"/>
      <c r="D539" s="101"/>
      <c r="E539" s="84"/>
      <c r="F539" s="84"/>
      <c r="G539" s="84"/>
    </row>
    <row r="540" spans="2:7" x14ac:dyDescent="0.2">
      <c r="B540" s="101"/>
      <c r="C540" s="84"/>
      <c r="D540" s="101"/>
      <c r="E540" s="84"/>
      <c r="F540" s="84"/>
      <c r="G540" s="84"/>
    </row>
    <row r="541" spans="2:7" x14ac:dyDescent="0.2">
      <c r="B541" s="101"/>
      <c r="C541" s="84"/>
      <c r="D541" s="101"/>
      <c r="E541" s="84"/>
      <c r="F541" s="84"/>
      <c r="G541" s="84"/>
    </row>
    <row r="542" spans="2:7" x14ac:dyDescent="0.2">
      <c r="B542" s="101"/>
      <c r="C542" s="84"/>
      <c r="D542" s="101"/>
      <c r="E542" s="84"/>
      <c r="F542" s="84"/>
      <c r="G542" s="84"/>
    </row>
    <row r="543" spans="2:7" x14ac:dyDescent="0.2">
      <c r="B543" s="101"/>
      <c r="C543" s="84"/>
      <c r="D543" s="101"/>
      <c r="E543" s="84"/>
      <c r="F543" s="84"/>
      <c r="G543" s="84"/>
    </row>
    <row r="544" spans="2:7" x14ac:dyDescent="0.2">
      <c r="B544" s="101"/>
      <c r="C544" s="84"/>
      <c r="D544" s="101"/>
      <c r="E544" s="84"/>
      <c r="F544" s="84"/>
      <c r="G544" s="84"/>
    </row>
    <row r="545" spans="2:7" x14ac:dyDescent="0.2">
      <c r="B545" s="101"/>
      <c r="C545" s="84"/>
      <c r="D545" s="101"/>
      <c r="E545" s="84"/>
      <c r="F545" s="84"/>
      <c r="G545" s="84"/>
    </row>
    <row r="546" spans="2:7" x14ac:dyDescent="0.2">
      <c r="B546" s="101"/>
      <c r="C546" s="84"/>
      <c r="D546" s="101"/>
      <c r="E546" s="84"/>
      <c r="F546" s="84"/>
      <c r="G546" s="84"/>
    </row>
    <row r="547" spans="2:7" x14ac:dyDescent="0.2">
      <c r="B547" s="101"/>
      <c r="C547" s="84"/>
      <c r="D547" s="101"/>
      <c r="E547" s="84"/>
      <c r="F547" s="84"/>
      <c r="G547" s="84"/>
    </row>
    <row r="548" spans="2:7" x14ac:dyDescent="0.2">
      <c r="B548" s="101"/>
      <c r="C548" s="84"/>
      <c r="D548" s="101"/>
      <c r="E548" s="84"/>
      <c r="F548" s="84"/>
      <c r="G548" s="84"/>
    </row>
    <row r="549" spans="2:7" x14ac:dyDescent="0.2">
      <c r="B549" s="101"/>
      <c r="C549" s="84"/>
      <c r="D549" s="101"/>
      <c r="E549" s="84"/>
      <c r="F549" s="84"/>
      <c r="G549" s="84"/>
    </row>
    <row r="550" spans="2:7" x14ac:dyDescent="0.2">
      <c r="B550" s="101"/>
      <c r="C550" s="84"/>
      <c r="D550" s="101"/>
      <c r="E550" s="84"/>
      <c r="F550" s="84"/>
      <c r="G550" s="84"/>
    </row>
    <row r="551" spans="2:7" x14ac:dyDescent="0.2">
      <c r="B551" s="101"/>
      <c r="C551" s="84"/>
      <c r="D551" s="101"/>
      <c r="E551" s="84"/>
      <c r="F551" s="84"/>
      <c r="G551" s="84"/>
    </row>
    <row r="552" spans="2:7" x14ac:dyDescent="0.2">
      <c r="B552" s="101"/>
      <c r="C552" s="84"/>
      <c r="D552" s="101"/>
      <c r="E552" s="84"/>
      <c r="F552" s="84"/>
      <c r="G552" s="84"/>
    </row>
    <row r="553" spans="2:7" x14ac:dyDescent="0.2">
      <c r="B553" s="101"/>
      <c r="C553" s="84"/>
      <c r="D553" s="101"/>
      <c r="E553" s="84"/>
      <c r="F553" s="84"/>
      <c r="G553" s="84"/>
    </row>
  </sheetData>
  <autoFilter ref="A11:P511"/>
  <mergeCells count="9">
    <mergeCell ref="A7:I7"/>
    <mergeCell ref="A9:I9"/>
    <mergeCell ref="A10:G10"/>
    <mergeCell ref="A1:I1"/>
    <mergeCell ref="A2:I2"/>
    <mergeCell ref="A3:I3"/>
    <mergeCell ref="A4:I4"/>
    <mergeCell ref="A5:I5"/>
    <mergeCell ref="A6:I6"/>
  </mergeCells>
  <pageMargins left="0.78740157480314965" right="0.39370078740157483" top="0.59055118110236227" bottom="0.78740157480314965" header="0.31496062992125984" footer="0.31496062992125984"/>
  <pageSetup paperSize="9" scale="62" fitToHeight="100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КСП</vt:lpstr>
      <vt:lpstr>'для КСП'!Заголовки_для_печати</vt:lpstr>
      <vt:lpstr>'для КСП'!Область_печати</vt:lpstr>
    </vt:vector>
  </TitlesOfParts>
  <Company>ПредБредБракЗнакСбытЗагранПодставка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Elena Kataeva</cp:lastModifiedBy>
  <cp:lastPrinted>2018-10-12T09:27:32Z</cp:lastPrinted>
  <dcterms:created xsi:type="dcterms:W3CDTF">2007-12-19T01:06:30Z</dcterms:created>
  <dcterms:modified xsi:type="dcterms:W3CDTF">2018-10-12T09:29:12Z</dcterms:modified>
</cp:coreProperties>
</file>