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Общие\РЕШЕНИЯ ГОРСОВЕТА НАРОДНЫХ ДЕПУТАТОВ\Изменения 2018\Изменения ноябрь 2018\Для КСП - проект решения о внесен.изм. в б-т (изм.ноябрь 2018г.)-отправлено в        .11.2018\"/>
    </mc:Choice>
  </mc:AlternateContent>
  <bookViews>
    <workbookView xWindow="3255" yWindow="9570" windowWidth="15480" windowHeight="1110"/>
  </bookViews>
  <sheets>
    <sheet name="снд" sheetId="21" r:id="rId1"/>
  </sheets>
  <definedNames>
    <definedName name="_xlnm._FilterDatabase" localSheetId="0" hidden="1">снд!$A$14:$Q$603</definedName>
    <definedName name="_xlnm.Print_Titles" localSheetId="0">снд!$14:$14</definedName>
    <definedName name="_xlnm.Print_Area" localSheetId="0">снд!$A$1:$I$608</definedName>
  </definedNames>
  <calcPr calcId="152511"/>
  <customWorkbookViews>
    <customWorkbookView name="1 - Личное представление" guid="{03BC1D99-56E3-404F-AC0E-FE8E84323C69}" mergeInterval="0" personalView="1" maximized="1" windowWidth="1020" windowHeight="603" activeSheetId="1"/>
    <customWorkbookView name="Татьяна - Личное представление" guid="{AB8DF83A-FB6E-48A4-952A-1147FB4C2AE7}" mergeInterval="0" personalView="1" maximized="1" windowWidth="1276" windowHeight="852" activeSheetId="1"/>
    <customWorkbookView name="referent - Личное представление" guid="{569C28AC-508A-42E7-9335-028897488E30}" mergeInterval="0" personalView="1" maximized="1" windowWidth="1148" windowHeight="665" activeSheetId="1"/>
  </customWorkbookViews>
</workbook>
</file>

<file path=xl/calcChain.xml><?xml version="1.0" encoding="utf-8"?>
<calcChain xmlns="http://schemas.openxmlformats.org/spreadsheetml/2006/main">
  <c r="I606" i="21" l="1"/>
  <c r="H606" i="21"/>
  <c r="G606" i="21"/>
  <c r="I601" i="21"/>
  <c r="H601" i="21"/>
  <c r="G601" i="21"/>
  <c r="G600" i="21"/>
  <c r="G599" i="21" s="1"/>
  <c r="I599" i="21"/>
  <c r="H599" i="21"/>
  <c r="I597" i="21"/>
  <c r="H597" i="21"/>
  <c r="H596" i="21" s="1"/>
  <c r="G597" i="21"/>
  <c r="G595" i="21"/>
  <c r="I594" i="21"/>
  <c r="H594" i="21"/>
  <c r="G594" i="21"/>
  <c r="I593" i="21"/>
  <c r="I592" i="21" s="1"/>
  <c r="H593" i="21"/>
  <c r="H592" i="21" s="1"/>
  <c r="G593" i="21"/>
  <c r="G592" i="21" s="1"/>
  <c r="I590" i="21"/>
  <c r="I589" i="21" s="1"/>
  <c r="H590" i="21"/>
  <c r="H589" i="21" s="1"/>
  <c r="G590" i="21"/>
  <c r="G589" i="21" s="1"/>
  <c r="I587" i="21"/>
  <c r="H587" i="21"/>
  <c r="G587" i="21"/>
  <c r="I586" i="21"/>
  <c r="H586" i="21"/>
  <c r="G586" i="21"/>
  <c r="H585" i="21"/>
  <c r="I584" i="21"/>
  <c r="I583" i="21" s="1"/>
  <c r="H584" i="21"/>
  <c r="G584" i="21"/>
  <c r="G583" i="21" s="1"/>
  <c r="H583" i="21"/>
  <c r="I580" i="21"/>
  <c r="H580" i="21"/>
  <c r="G580" i="21"/>
  <c r="G579" i="21"/>
  <c r="G578" i="21" s="1"/>
  <c r="I578" i="21"/>
  <c r="H578" i="21"/>
  <c r="G577" i="21"/>
  <c r="G576" i="21" s="1"/>
  <c r="I576" i="21"/>
  <c r="H576" i="21"/>
  <c r="I574" i="21"/>
  <c r="H574" i="21"/>
  <c r="G574" i="21"/>
  <c r="G573" i="21"/>
  <c r="I572" i="21"/>
  <c r="H572" i="21"/>
  <c r="G572" i="21"/>
  <c r="G571" i="21"/>
  <c r="I570" i="21"/>
  <c r="H570" i="21"/>
  <c r="G570" i="21"/>
  <c r="I569" i="21"/>
  <c r="H569" i="21"/>
  <c r="H567" i="21" s="1"/>
  <c r="G569" i="21"/>
  <c r="I568" i="21"/>
  <c r="I567" i="21" s="1"/>
  <c r="H568" i="21"/>
  <c r="G568" i="21"/>
  <c r="I565" i="21"/>
  <c r="H565" i="21"/>
  <c r="G565" i="21"/>
  <c r="G563" i="21"/>
  <c r="G562" i="21" s="1"/>
  <c r="I562" i="21"/>
  <c r="H562" i="21"/>
  <c r="G561" i="21"/>
  <c r="G560" i="21" s="1"/>
  <c r="I560" i="21"/>
  <c r="H560" i="21"/>
  <c r="G559" i="21"/>
  <c r="G558" i="21" s="1"/>
  <c r="I558" i="21"/>
  <c r="H558" i="21"/>
  <c r="I556" i="21"/>
  <c r="H556" i="21"/>
  <c r="G556" i="21"/>
  <c r="G555" i="21"/>
  <c r="G554" i="21" s="1"/>
  <c r="I554" i="21"/>
  <c r="H554" i="21"/>
  <c r="G553" i="21"/>
  <c r="G552" i="21" s="1"/>
  <c r="I552" i="21"/>
  <c r="H552" i="21"/>
  <c r="G551" i="21"/>
  <c r="G550" i="21" s="1"/>
  <c r="I550" i="21"/>
  <c r="H550" i="21"/>
  <c r="G548" i="21"/>
  <c r="G547" i="21" s="1"/>
  <c r="I547" i="21"/>
  <c r="H547" i="21"/>
  <c r="G546" i="21"/>
  <c r="G545" i="21" s="1"/>
  <c r="I545" i="21"/>
  <c r="H545" i="21"/>
  <c r="I544" i="21"/>
  <c r="I543" i="21" s="1"/>
  <c r="H544" i="21"/>
  <c r="H543" i="21" s="1"/>
  <c r="G544" i="21"/>
  <c r="G543" i="21" s="1"/>
  <c r="I541" i="21"/>
  <c r="H541" i="21"/>
  <c r="G541" i="21"/>
  <c r="I539" i="21"/>
  <c r="H539" i="21"/>
  <c r="G539" i="21"/>
  <c r="I537" i="21"/>
  <c r="H537" i="21"/>
  <c r="G537" i="21"/>
  <c r="G535" i="21"/>
  <c r="I534" i="21"/>
  <c r="I533" i="21" s="1"/>
  <c r="H534" i="21"/>
  <c r="H533" i="21" s="1"/>
  <c r="G534" i="21"/>
  <c r="G533" i="21" s="1"/>
  <c r="I531" i="21"/>
  <c r="H531" i="21"/>
  <c r="H530" i="21" s="1"/>
  <c r="G531" i="21"/>
  <c r="G530" i="21" s="1"/>
  <c r="I530" i="21"/>
  <c r="G529" i="21"/>
  <c r="G528" i="21" s="1"/>
  <c r="I528" i="21"/>
  <c r="H528" i="21"/>
  <c r="I527" i="21"/>
  <c r="I526" i="21" s="1"/>
  <c r="H527" i="21"/>
  <c r="H526" i="21" s="1"/>
  <c r="G527" i="21"/>
  <c r="G526" i="21" s="1"/>
  <c r="G525" i="21"/>
  <c r="G524" i="21" s="1"/>
  <c r="I524" i="21"/>
  <c r="H524" i="21"/>
  <c r="G523" i="21"/>
  <c r="G522" i="21" s="1"/>
  <c r="I522" i="21"/>
  <c r="H522" i="21"/>
  <c r="G520" i="21"/>
  <c r="G519" i="21" s="1"/>
  <c r="G518" i="21" s="1"/>
  <c r="I519" i="21"/>
  <c r="I518" i="21" s="1"/>
  <c r="H519" i="21"/>
  <c r="H518" i="21" s="1"/>
  <c r="I516" i="21"/>
  <c r="I515" i="21" s="1"/>
  <c r="I514" i="21" s="1"/>
  <c r="I513" i="21" s="1"/>
  <c r="H516" i="21"/>
  <c r="H515" i="21" s="1"/>
  <c r="H514" i="21" s="1"/>
  <c r="H513" i="21" s="1"/>
  <c r="G516" i="21"/>
  <c r="G515" i="21" s="1"/>
  <c r="G514" i="21" s="1"/>
  <c r="G513" i="21" s="1"/>
  <c r="G512" i="21"/>
  <c r="G511" i="21" s="1"/>
  <c r="G510" i="21" s="1"/>
  <c r="G509" i="21" s="1"/>
  <c r="I511" i="21"/>
  <c r="I510" i="21" s="1"/>
  <c r="I509" i="21" s="1"/>
  <c r="H511" i="21"/>
  <c r="H510" i="21" s="1"/>
  <c r="H509" i="21" s="1"/>
  <c r="G507" i="21"/>
  <c r="G506" i="21"/>
  <c r="I505" i="21"/>
  <c r="H505" i="21"/>
  <c r="G504" i="21"/>
  <c r="G503" i="21"/>
  <c r="I502" i="21"/>
  <c r="I501" i="21" s="1"/>
  <c r="H502" i="21"/>
  <c r="H501" i="21" s="1"/>
  <c r="G502" i="21"/>
  <c r="G500" i="21"/>
  <c r="G499" i="21" s="1"/>
  <c r="I499" i="21"/>
  <c r="H499" i="21"/>
  <c r="G498" i="21"/>
  <c r="G497" i="21" s="1"/>
  <c r="I497" i="21"/>
  <c r="H497" i="21"/>
  <c r="I496" i="21"/>
  <c r="H496" i="21"/>
  <c r="G496" i="21"/>
  <c r="I495" i="21"/>
  <c r="H495" i="21"/>
  <c r="G495" i="21"/>
  <c r="I494" i="21"/>
  <c r="I490" i="21"/>
  <c r="H490" i="21"/>
  <c r="G490" i="21"/>
  <c r="I488" i="21"/>
  <c r="H488" i="21"/>
  <c r="G488" i="21"/>
  <c r="I487" i="21"/>
  <c r="I486" i="21" s="1"/>
  <c r="H487" i="21"/>
  <c r="H486" i="21" s="1"/>
  <c r="G487" i="21"/>
  <c r="G486" i="21" s="1"/>
  <c r="I485" i="21"/>
  <c r="I483" i="21" s="1"/>
  <c r="H485" i="21"/>
  <c r="H483" i="21" s="1"/>
  <c r="G485" i="21"/>
  <c r="G483" i="21" s="1"/>
  <c r="G482" i="21"/>
  <c r="G481" i="21"/>
  <c r="G480" i="21" s="1"/>
  <c r="I480" i="21"/>
  <c r="H480" i="21"/>
  <c r="G479" i="21"/>
  <c r="G478" i="21" s="1"/>
  <c r="I478" i="21"/>
  <c r="H478" i="21"/>
  <c r="G476" i="21"/>
  <c r="G475" i="21"/>
  <c r="I474" i="21"/>
  <c r="H474" i="21"/>
  <c r="G474" i="21"/>
  <c r="I473" i="21"/>
  <c r="H473" i="21"/>
  <c r="G473" i="21"/>
  <c r="I472" i="21"/>
  <c r="I471" i="21" s="1"/>
  <c r="H472" i="21"/>
  <c r="G472" i="21"/>
  <c r="G470" i="21"/>
  <c r="G469" i="21"/>
  <c r="I468" i="21"/>
  <c r="H468" i="21"/>
  <c r="I467" i="21"/>
  <c r="H467" i="21"/>
  <c r="G467" i="21"/>
  <c r="I466" i="21"/>
  <c r="H466" i="21"/>
  <c r="G466" i="21"/>
  <c r="I462" i="21"/>
  <c r="H462" i="21"/>
  <c r="G462" i="21"/>
  <c r="G461" i="21"/>
  <c r="I460" i="21"/>
  <c r="I459" i="21" s="1"/>
  <c r="H460" i="21"/>
  <c r="H459" i="21" s="1"/>
  <c r="G460" i="21"/>
  <c r="G459" i="21" s="1"/>
  <c r="G458" i="21"/>
  <c r="G457" i="21"/>
  <c r="I456" i="21"/>
  <c r="H456" i="21"/>
  <c r="I454" i="21"/>
  <c r="H454" i="21"/>
  <c r="G454" i="21"/>
  <c r="G453" i="21"/>
  <c r="G452" i="21"/>
  <c r="I451" i="21"/>
  <c r="H451" i="21"/>
  <c r="I450" i="21"/>
  <c r="H450" i="21"/>
  <c r="G450" i="21"/>
  <c r="I449" i="21"/>
  <c r="H449" i="21"/>
  <c r="G449" i="21"/>
  <c r="I445" i="21"/>
  <c r="H445" i="21"/>
  <c r="G445" i="21"/>
  <c r="I444" i="21"/>
  <c r="H444" i="21"/>
  <c r="G444" i="21"/>
  <c r="G442" i="21" s="1"/>
  <c r="I443" i="21"/>
  <c r="I442" i="21" s="1"/>
  <c r="H443" i="21"/>
  <c r="G443" i="21"/>
  <c r="H442" i="21"/>
  <c r="I441" i="21"/>
  <c r="H441" i="21"/>
  <c r="G441" i="21"/>
  <c r="I440" i="21"/>
  <c r="H440" i="21"/>
  <c r="G440" i="21"/>
  <c r="I438" i="21"/>
  <c r="I436" i="21" s="1"/>
  <c r="H438" i="21"/>
  <c r="G438" i="21"/>
  <c r="I437" i="21"/>
  <c r="H437" i="21"/>
  <c r="G437" i="21"/>
  <c r="I435" i="21"/>
  <c r="H435" i="21"/>
  <c r="G435" i="21"/>
  <c r="I434" i="21"/>
  <c r="H434" i="21"/>
  <c r="G434" i="21"/>
  <c r="G433" i="21"/>
  <c r="I432" i="21"/>
  <c r="H432" i="21"/>
  <c r="G432" i="21"/>
  <c r="I431" i="21"/>
  <c r="H431" i="21"/>
  <c r="G431" i="21"/>
  <c r="G429" i="21"/>
  <c r="G428" i="21"/>
  <c r="G427" i="21" s="1"/>
  <c r="I427" i="21"/>
  <c r="H427" i="21"/>
  <c r="G426" i="21"/>
  <c r="I425" i="21"/>
  <c r="I424" i="21" s="1"/>
  <c r="H425" i="21"/>
  <c r="H424" i="21" s="1"/>
  <c r="G425" i="21"/>
  <c r="I423" i="21"/>
  <c r="H423" i="21"/>
  <c r="G423" i="21"/>
  <c r="G422" i="21"/>
  <c r="G421" i="21" s="1"/>
  <c r="I421" i="21"/>
  <c r="H421" i="21"/>
  <c r="G420" i="21"/>
  <c r="G418" i="21" s="1"/>
  <c r="I418" i="21"/>
  <c r="H418" i="21"/>
  <c r="G416" i="21"/>
  <c r="G415" i="21" s="1"/>
  <c r="I415" i="21"/>
  <c r="H415" i="21"/>
  <c r="G414" i="21"/>
  <c r="G413" i="21"/>
  <c r="G412" i="21" s="1"/>
  <c r="I412" i="21"/>
  <c r="H412" i="21"/>
  <c r="G411" i="21"/>
  <c r="I409" i="21"/>
  <c r="I407" i="21" s="1"/>
  <c r="H409" i="21"/>
  <c r="G409" i="21"/>
  <c r="G407" i="21" s="1"/>
  <c r="I408" i="21"/>
  <c r="H408" i="21"/>
  <c r="G408" i="21"/>
  <c r="I406" i="21"/>
  <c r="H406" i="21"/>
  <c r="H405" i="21" s="1"/>
  <c r="G406" i="21"/>
  <c r="I405" i="21"/>
  <c r="G405" i="21"/>
  <c r="G403" i="21"/>
  <c r="G402" i="21"/>
  <c r="I401" i="21"/>
  <c r="I400" i="21" s="1"/>
  <c r="H401" i="21"/>
  <c r="H400" i="21" s="1"/>
  <c r="G398" i="21"/>
  <c r="G397" i="21" s="1"/>
  <c r="G396" i="21" s="1"/>
  <c r="G395" i="21" s="1"/>
  <c r="I397" i="21"/>
  <c r="I396" i="21" s="1"/>
  <c r="I395" i="21" s="1"/>
  <c r="H397" i="21"/>
  <c r="H396" i="21" s="1"/>
  <c r="H395" i="21" s="1"/>
  <c r="G393" i="21"/>
  <c r="G392" i="21" s="1"/>
  <c r="G391" i="21" s="1"/>
  <c r="G390" i="21" s="1"/>
  <c r="I392" i="21"/>
  <c r="I391" i="21" s="1"/>
  <c r="I390" i="21" s="1"/>
  <c r="H392" i="21"/>
  <c r="H391" i="21" s="1"/>
  <c r="H390" i="21" s="1"/>
  <c r="G388" i="21"/>
  <c r="I387" i="21"/>
  <c r="I386" i="21" s="1"/>
  <c r="H387" i="21"/>
  <c r="H386" i="21" s="1"/>
  <c r="G387" i="21"/>
  <c r="G386" i="21" s="1"/>
  <c r="G384" i="21"/>
  <c r="I383" i="21"/>
  <c r="I382" i="21" s="1"/>
  <c r="H383" i="21"/>
  <c r="H382" i="21" s="1"/>
  <c r="H381" i="21" s="1"/>
  <c r="G383" i="21"/>
  <c r="G380" i="21"/>
  <c r="G378" i="21" s="1"/>
  <c r="I378" i="21"/>
  <c r="H378" i="21"/>
  <c r="G377" i="21"/>
  <c r="G376" i="21" s="1"/>
  <c r="I376" i="21"/>
  <c r="H376" i="21"/>
  <c r="I375" i="21"/>
  <c r="I373" i="21" s="1"/>
  <c r="H375" i="21"/>
  <c r="H373" i="21" s="1"/>
  <c r="G375" i="21"/>
  <c r="G373" i="21" s="1"/>
  <c r="I371" i="21"/>
  <c r="H371" i="21"/>
  <c r="G371" i="21"/>
  <c r="I369" i="21"/>
  <c r="H369" i="21"/>
  <c r="G369" i="21"/>
  <c r="G368" i="21"/>
  <c r="G367" i="21"/>
  <c r="I366" i="21"/>
  <c r="H366" i="21"/>
  <c r="G363" i="21"/>
  <c r="G362" i="21" s="1"/>
  <c r="I362" i="21"/>
  <c r="H362" i="21"/>
  <c r="I361" i="21"/>
  <c r="I358" i="21" s="1"/>
  <c r="H361" i="21"/>
  <c r="H358" i="21" s="1"/>
  <c r="G361" i="21"/>
  <c r="G358" i="21" s="1"/>
  <c r="G357" i="21"/>
  <c r="G356" i="21" s="1"/>
  <c r="I356" i="21"/>
  <c r="H356" i="21"/>
  <c r="I354" i="21"/>
  <c r="H354" i="21"/>
  <c r="G354" i="21"/>
  <c r="I349" i="21"/>
  <c r="H349" i="21"/>
  <c r="G349" i="21"/>
  <c r="I348" i="21"/>
  <c r="H348" i="21"/>
  <c r="H345" i="21" s="1"/>
  <c r="G348" i="21"/>
  <c r="G347" i="21"/>
  <c r="G346" i="21"/>
  <c r="I345" i="21"/>
  <c r="I343" i="21"/>
  <c r="H343" i="21"/>
  <c r="G343" i="21"/>
  <c r="I340" i="21"/>
  <c r="H340" i="21"/>
  <c r="G340" i="21"/>
  <c r="G339" i="21"/>
  <c r="G338" i="21" s="1"/>
  <c r="I338" i="21"/>
  <c r="H338" i="21"/>
  <c r="I337" i="21"/>
  <c r="H337" i="21"/>
  <c r="G337" i="21"/>
  <c r="G335" i="21" s="1"/>
  <c r="G336" i="21"/>
  <c r="I335" i="21"/>
  <c r="H335" i="21"/>
  <c r="I333" i="21"/>
  <c r="H333" i="21"/>
  <c r="G333" i="21"/>
  <c r="I332" i="21"/>
  <c r="I331" i="21" s="1"/>
  <c r="H332" i="21"/>
  <c r="G332" i="21"/>
  <c r="G331" i="21" s="1"/>
  <c r="H331" i="21"/>
  <c r="I329" i="21"/>
  <c r="H329" i="21"/>
  <c r="G329" i="21"/>
  <c r="I328" i="21"/>
  <c r="H328" i="21"/>
  <c r="H326" i="21" s="1"/>
  <c r="G328" i="21"/>
  <c r="I327" i="21"/>
  <c r="H327" i="21"/>
  <c r="G327" i="21"/>
  <c r="G323" i="21"/>
  <c r="I322" i="21"/>
  <c r="H322" i="21"/>
  <c r="G322" i="21"/>
  <c r="G321" i="21"/>
  <c r="I320" i="21"/>
  <c r="H320" i="21"/>
  <c r="H319" i="21" s="1"/>
  <c r="G320" i="21"/>
  <c r="I319" i="21"/>
  <c r="I318" i="21"/>
  <c r="H318" i="21"/>
  <c r="H317" i="21" s="1"/>
  <c r="G318" i="21"/>
  <c r="G317" i="21" s="1"/>
  <c r="I317" i="21"/>
  <c r="G316" i="21"/>
  <c r="I315" i="21"/>
  <c r="I314" i="21" s="1"/>
  <c r="H315" i="21"/>
  <c r="H314" i="21" s="1"/>
  <c r="G315" i="21"/>
  <c r="I313" i="21"/>
  <c r="H313" i="21"/>
  <c r="G313" i="21"/>
  <c r="I312" i="21"/>
  <c r="H312" i="21"/>
  <c r="G312" i="21"/>
  <c r="G310" i="21"/>
  <c r="G309" i="21"/>
  <c r="G308" i="21"/>
  <c r="I307" i="21"/>
  <c r="H307" i="21"/>
  <c r="G306" i="21"/>
  <c r="G305" i="21"/>
  <c r="I304" i="21"/>
  <c r="H304" i="21"/>
  <c r="G303" i="21"/>
  <c r="G302" i="21"/>
  <c r="G301" i="21"/>
  <c r="I300" i="21"/>
  <c r="H300" i="21"/>
  <c r="G299" i="21"/>
  <c r="G298" i="21"/>
  <c r="G297" i="21" s="1"/>
  <c r="I297" i="21"/>
  <c r="H297" i="21"/>
  <c r="G296" i="21"/>
  <c r="G295" i="21" s="1"/>
  <c r="I295" i="21"/>
  <c r="H295" i="21"/>
  <c r="I294" i="21"/>
  <c r="H294" i="21"/>
  <c r="G294" i="21"/>
  <c r="G293" i="21"/>
  <c r="I292" i="21"/>
  <c r="H292" i="21"/>
  <c r="G291" i="21"/>
  <c r="G290" i="21" s="1"/>
  <c r="I290" i="21"/>
  <c r="H290" i="21"/>
  <c r="I288" i="21"/>
  <c r="I287" i="21" s="1"/>
  <c r="H288" i="21"/>
  <c r="H287" i="21" s="1"/>
  <c r="G288" i="21"/>
  <c r="G287" i="21" s="1"/>
  <c r="G286" i="21"/>
  <c r="G285" i="21" s="1"/>
  <c r="I285" i="21"/>
  <c r="H285" i="21"/>
  <c r="I284" i="21"/>
  <c r="I283" i="21" s="1"/>
  <c r="H284" i="21"/>
  <c r="H283" i="21" s="1"/>
  <c r="G284" i="21"/>
  <c r="G283" i="21" s="1"/>
  <c r="G281" i="21"/>
  <c r="G280" i="21"/>
  <c r="I279" i="21"/>
  <c r="H279" i="21"/>
  <c r="I278" i="21"/>
  <c r="H278" i="21"/>
  <c r="G278" i="21"/>
  <c r="G277" i="21"/>
  <c r="I276" i="21"/>
  <c r="H276" i="21"/>
  <c r="I275" i="21"/>
  <c r="I273" i="21" s="1"/>
  <c r="H275" i="21"/>
  <c r="G275" i="21"/>
  <c r="I274" i="21"/>
  <c r="H274" i="21"/>
  <c r="G274" i="21"/>
  <c r="I272" i="21"/>
  <c r="H272" i="21"/>
  <c r="H270" i="21" s="1"/>
  <c r="G272" i="21"/>
  <c r="I271" i="21"/>
  <c r="H271" i="21"/>
  <c r="G271" i="21"/>
  <c r="G270" i="21" s="1"/>
  <c r="G269" i="21"/>
  <c r="I268" i="21"/>
  <c r="H268" i="21"/>
  <c r="G268" i="21"/>
  <c r="G267" i="21"/>
  <c r="I266" i="21"/>
  <c r="H266" i="21"/>
  <c r="G265" i="21"/>
  <c r="G264" i="21" s="1"/>
  <c r="I264" i="21"/>
  <c r="H264" i="21"/>
  <c r="I262" i="21"/>
  <c r="H262" i="21"/>
  <c r="G262" i="21"/>
  <c r="I261" i="21"/>
  <c r="H261" i="21"/>
  <c r="G261" i="21"/>
  <c r="I260" i="21"/>
  <c r="H260" i="21"/>
  <c r="G260" i="21"/>
  <c r="I259" i="21"/>
  <c r="H259" i="21"/>
  <c r="G259" i="21"/>
  <c r="I257" i="21"/>
  <c r="H257" i="21"/>
  <c r="G257" i="21"/>
  <c r="I256" i="21"/>
  <c r="H256" i="21"/>
  <c r="G256" i="21"/>
  <c r="I255" i="21"/>
  <c r="H255" i="21"/>
  <c r="G255" i="21"/>
  <c r="G252" i="21"/>
  <c r="I251" i="21"/>
  <c r="H251" i="21"/>
  <c r="G251" i="21"/>
  <c r="I250" i="21"/>
  <c r="I248" i="21" s="1"/>
  <c r="H250" i="21"/>
  <c r="G250" i="21"/>
  <c r="I249" i="21"/>
  <c r="H249" i="21"/>
  <c r="G249" i="21"/>
  <c r="I247" i="21"/>
  <c r="H247" i="21"/>
  <c r="G247" i="21"/>
  <c r="I246" i="21"/>
  <c r="H246" i="21"/>
  <c r="G246" i="21"/>
  <c r="I245" i="21"/>
  <c r="H245" i="21"/>
  <c r="G245" i="21"/>
  <c r="G243" i="21"/>
  <c r="G242" i="21" s="1"/>
  <c r="I242" i="21"/>
  <c r="H242" i="21"/>
  <c r="G238" i="21"/>
  <c r="G237" i="21" s="1"/>
  <c r="G236" i="21" s="1"/>
  <c r="I237" i="21"/>
  <c r="I236" i="21" s="1"/>
  <c r="H237" i="21"/>
  <c r="H236" i="21" s="1"/>
  <c r="I235" i="21"/>
  <c r="I234" i="21" s="1"/>
  <c r="H235" i="21"/>
  <c r="H234" i="21" s="1"/>
  <c r="G235" i="21"/>
  <c r="G234" i="21" s="1"/>
  <c r="I233" i="21"/>
  <c r="I232" i="21" s="1"/>
  <c r="H233" i="21"/>
  <c r="H232" i="21" s="1"/>
  <c r="G233" i="21"/>
  <c r="G232" i="21" s="1"/>
  <c r="I230" i="21"/>
  <c r="H230" i="21"/>
  <c r="G230" i="21"/>
  <c r="I229" i="21"/>
  <c r="H229" i="21"/>
  <c r="G229" i="21"/>
  <c r="G228" i="21" s="1"/>
  <c r="I224" i="21"/>
  <c r="I223" i="21" s="1"/>
  <c r="H224" i="21"/>
  <c r="H223" i="21" s="1"/>
  <c r="G224" i="21"/>
  <c r="G223" i="21"/>
  <c r="I222" i="21"/>
  <c r="H222" i="21"/>
  <c r="G222" i="21"/>
  <c r="I221" i="21"/>
  <c r="I219" i="21" s="1"/>
  <c r="H221" i="21"/>
  <c r="G221" i="21"/>
  <c r="I220" i="21"/>
  <c r="H220" i="21"/>
  <c r="H219" i="21" s="1"/>
  <c r="G220" i="21"/>
  <c r="I214" i="21"/>
  <c r="I213" i="21" s="1"/>
  <c r="H214" i="21"/>
  <c r="H213" i="21" s="1"/>
  <c r="G214" i="21"/>
  <c r="G213" i="21" s="1"/>
  <c r="I212" i="21"/>
  <c r="I211" i="21" s="1"/>
  <c r="H212" i="21"/>
  <c r="G212" i="21"/>
  <c r="G211" i="21" s="1"/>
  <c r="H211" i="21"/>
  <c r="I210" i="21"/>
  <c r="I209" i="21" s="1"/>
  <c r="I208" i="21" s="1"/>
  <c r="H210" i="21"/>
  <c r="G210" i="21"/>
  <c r="G209" i="21" s="1"/>
  <c r="H209" i="21"/>
  <c r="H208" i="21" s="1"/>
  <c r="I205" i="21"/>
  <c r="I204" i="21" s="1"/>
  <c r="I203" i="21" s="1"/>
  <c r="H205" i="21"/>
  <c r="H204" i="21" s="1"/>
  <c r="H203" i="21" s="1"/>
  <c r="G205" i="21"/>
  <c r="G204" i="21" s="1"/>
  <c r="G203" i="21" s="1"/>
  <c r="I201" i="21"/>
  <c r="H201" i="21"/>
  <c r="G201" i="21"/>
  <c r="I199" i="21"/>
  <c r="H199" i="21"/>
  <c r="G199" i="21"/>
  <c r="Q195" i="21"/>
  <c r="P195" i="21"/>
  <c r="O195" i="21"/>
  <c r="N195" i="21"/>
  <c r="M195" i="21"/>
  <c r="L195" i="21"/>
  <c r="K195" i="21"/>
  <c r="J195" i="21"/>
  <c r="I195" i="21"/>
  <c r="H195" i="21"/>
  <c r="G195" i="21"/>
  <c r="G193" i="21"/>
  <c r="I192" i="21"/>
  <c r="H192" i="21"/>
  <c r="H191" i="21" s="1"/>
  <c r="G192" i="21"/>
  <c r="I191" i="21"/>
  <c r="G190" i="21"/>
  <c r="I188" i="21"/>
  <c r="H188" i="21"/>
  <c r="G188" i="21"/>
  <c r="G187" i="21"/>
  <c r="I186" i="21"/>
  <c r="H186" i="21"/>
  <c r="G186" i="21"/>
  <c r="G185" i="21"/>
  <c r="G184" i="21"/>
  <c r="G183" i="21" s="1"/>
  <c r="I183" i="21"/>
  <c r="H183" i="21"/>
  <c r="I181" i="21"/>
  <c r="H181" i="21"/>
  <c r="G181" i="21"/>
  <c r="I179" i="21"/>
  <c r="H179" i="21"/>
  <c r="G179" i="21"/>
  <c r="G178" i="21"/>
  <c r="G177" i="21" s="1"/>
  <c r="I177" i="21"/>
  <c r="H177" i="21"/>
  <c r="G173" i="21"/>
  <c r="I172" i="21"/>
  <c r="I171" i="21" s="1"/>
  <c r="I170" i="21" s="1"/>
  <c r="H172" i="21"/>
  <c r="G172" i="21"/>
  <c r="H171" i="21"/>
  <c r="H170" i="21" s="1"/>
  <c r="I168" i="21"/>
  <c r="I167" i="21" s="1"/>
  <c r="H168" i="21"/>
  <c r="H167" i="21" s="1"/>
  <c r="G168" i="21"/>
  <c r="G167" i="21" s="1"/>
  <c r="I166" i="21"/>
  <c r="I165" i="21" s="1"/>
  <c r="H166" i="21"/>
  <c r="H165" i="21" s="1"/>
  <c r="G166" i="21"/>
  <c r="G165" i="21" s="1"/>
  <c r="G164" i="21"/>
  <c r="G163" i="21" s="1"/>
  <c r="I163" i="21"/>
  <c r="H163" i="21"/>
  <c r="I162" i="21"/>
  <c r="I161" i="21" s="1"/>
  <c r="H162" i="21"/>
  <c r="H161" i="21" s="1"/>
  <c r="G162" i="21"/>
  <c r="G161" i="21"/>
  <c r="G160" i="21"/>
  <c r="G159" i="21" s="1"/>
  <c r="I159" i="21"/>
  <c r="H159" i="21"/>
  <c r="I157" i="21"/>
  <c r="H157" i="21"/>
  <c r="G157" i="21"/>
  <c r="I153" i="21"/>
  <c r="H153" i="21"/>
  <c r="G153" i="21"/>
  <c r="I152" i="21"/>
  <c r="H152" i="21"/>
  <c r="H151" i="21" s="1"/>
  <c r="G152" i="21"/>
  <c r="G151" i="21" s="1"/>
  <c r="I151" i="21"/>
  <c r="I149" i="21"/>
  <c r="I148" i="21" s="1"/>
  <c r="H149" i="21"/>
  <c r="H148" i="21" s="1"/>
  <c r="G149" i="21"/>
  <c r="G148" i="21" s="1"/>
  <c r="I146" i="21"/>
  <c r="H146" i="21"/>
  <c r="G146" i="21"/>
  <c r="I142" i="21"/>
  <c r="I141" i="21" s="1"/>
  <c r="I140" i="21" s="1"/>
  <c r="I139" i="21" s="1"/>
  <c r="H142" i="21"/>
  <c r="H141" i="21"/>
  <c r="H140" i="21" s="1"/>
  <c r="H139" i="21" s="1"/>
  <c r="G138" i="21"/>
  <c r="G137" i="21" s="1"/>
  <c r="G136" i="21" s="1"/>
  <c r="G135" i="21" s="1"/>
  <c r="I137" i="21"/>
  <c r="I136" i="21" s="1"/>
  <c r="I135" i="21" s="1"/>
  <c r="H137" i="21"/>
  <c r="H136" i="21" s="1"/>
  <c r="H135" i="21" s="1"/>
  <c r="I133" i="21"/>
  <c r="H133" i="21"/>
  <c r="G133" i="21"/>
  <c r="I130" i="21"/>
  <c r="H130" i="21"/>
  <c r="G130" i="21"/>
  <c r="G128" i="21"/>
  <c r="I127" i="21"/>
  <c r="H127" i="21"/>
  <c r="G127" i="21"/>
  <c r="H126" i="21"/>
  <c r="G126" i="21"/>
  <c r="G125" i="21" s="1"/>
  <c r="I125" i="21"/>
  <c r="H125" i="21"/>
  <c r="I124" i="21"/>
  <c r="I123" i="21" s="1"/>
  <c r="H124" i="21"/>
  <c r="H123" i="21" s="1"/>
  <c r="G124" i="21"/>
  <c r="G123" i="21" s="1"/>
  <c r="G122" i="21"/>
  <c r="G121" i="21" s="1"/>
  <c r="I121" i="21"/>
  <c r="H121" i="21"/>
  <c r="I119" i="21"/>
  <c r="H119" i="21"/>
  <c r="G119" i="21"/>
  <c r="I118" i="21"/>
  <c r="I116" i="21" s="1"/>
  <c r="H118" i="21"/>
  <c r="H116" i="21" s="1"/>
  <c r="G118" i="21"/>
  <c r="G116" i="21" s="1"/>
  <c r="G115" i="21"/>
  <c r="G114" i="21" s="1"/>
  <c r="I114" i="21"/>
  <c r="H114" i="21"/>
  <c r="G111" i="21"/>
  <c r="I110" i="21"/>
  <c r="I109" i="21" s="1"/>
  <c r="I108" i="21" s="1"/>
  <c r="I107" i="21" s="1"/>
  <c r="H110" i="21"/>
  <c r="H109" i="21" s="1"/>
  <c r="H108" i="21" s="1"/>
  <c r="H107" i="21" s="1"/>
  <c r="G110" i="21"/>
  <c r="I105" i="21"/>
  <c r="H105" i="21"/>
  <c r="G105" i="21"/>
  <c r="I103" i="21"/>
  <c r="H103" i="21"/>
  <c r="G103" i="21"/>
  <c r="H101" i="21"/>
  <c r="G101" i="21"/>
  <c r="H100" i="21"/>
  <c r="H99" i="21" s="1"/>
  <c r="G100" i="21"/>
  <c r="I99" i="21"/>
  <c r="H98" i="21"/>
  <c r="G98" i="21"/>
  <c r="I97" i="21"/>
  <c r="I96" i="21" s="1"/>
  <c r="H97" i="21"/>
  <c r="G97" i="21"/>
  <c r="G95" i="21"/>
  <c r="G94" i="21" s="1"/>
  <c r="I92" i="21"/>
  <c r="H92" i="21"/>
  <c r="G92" i="21"/>
  <c r="G91" i="21"/>
  <c r="G90" i="21" s="1"/>
  <c r="I90" i="21"/>
  <c r="H90" i="21"/>
  <c r="G87" i="21"/>
  <c r="G86" i="21" s="1"/>
  <c r="I86" i="21"/>
  <c r="H86" i="21"/>
  <c r="I84" i="21"/>
  <c r="H84" i="21"/>
  <c r="G84" i="21"/>
  <c r="G81" i="21"/>
  <c r="G80" i="21" s="1"/>
  <c r="I80" i="21"/>
  <c r="H80" i="21"/>
  <c r="G79" i="21"/>
  <c r="G78" i="21" s="1"/>
  <c r="I78" i="21"/>
  <c r="H78" i="21"/>
  <c r="G77" i="21"/>
  <c r="G76" i="21" s="1"/>
  <c r="I76" i="21"/>
  <c r="H76" i="21"/>
  <c r="G75" i="21"/>
  <c r="I74" i="21"/>
  <c r="H74" i="21"/>
  <c r="H72" i="21" s="1"/>
  <c r="G74" i="21"/>
  <c r="I73" i="21"/>
  <c r="H73" i="21"/>
  <c r="G73" i="21"/>
  <c r="G68" i="21"/>
  <c r="G67" i="21"/>
  <c r="G66" i="21" s="1"/>
  <c r="I66" i="21"/>
  <c r="H66" i="21"/>
  <c r="I65" i="21"/>
  <c r="H65" i="21"/>
  <c r="H63" i="21" s="1"/>
  <c r="G65" i="21"/>
  <c r="I64" i="21"/>
  <c r="H64" i="21"/>
  <c r="G64" i="21"/>
  <c r="G63" i="21" s="1"/>
  <c r="I62" i="21"/>
  <c r="I61" i="21" s="1"/>
  <c r="H62" i="21"/>
  <c r="G62" i="21"/>
  <c r="G61" i="21" s="1"/>
  <c r="H61" i="21"/>
  <c r="G60" i="21"/>
  <c r="G59" i="21" s="1"/>
  <c r="I59" i="21"/>
  <c r="H59" i="21"/>
  <c r="I57" i="21"/>
  <c r="H57" i="21"/>
  <c r="G57" i="21"/>
  <c r="G56" i="21"/>
  <c r="G55" i="21" s="1"/>
  <c r="I55" i="21"/>
  <c r="H55" i="21"/>
  <c r="I54" i="21"/>
  <c r="I53" i="21" s="1"/>
  <c r="H54" i="21"/>
  <c r="H53" i="21" s="1"/>
  <c r="G54" i="21"/>
  <c r="G53" i="21" s="1"/>
  <c r="I51" i="21"/>
  <c r="H51" i="21"/>
  <c r="G51" i="21"/>
  <c r="G49" i="21"/>
  <c r="I48" i="21"/>
  <c r="I47" i="21" s="1"/>
  <c r="H48" i="21"/>
  <c r="H47" i="21" s="1"/>
  <c r="G48" i="21"/>
  <c r="G47" i="21"/>
  <c r="I46" i="21"/>
  <c r="H46" i="21"/>
  <c r="H45" i="21" s="1"/>
  <c r="G46" i="21"/>
  <c r="G45" i="21" s="1"/>
  <c r="I45" i="21"/>
  <c r="G44" i="21"/>
  <c r="G43" i="21" s="1"/>
  <c r="I43" i="21"/>
  <c r="H43" i="21"/>
  <c r="I41" i="21"/>
  <c r="I40" i="21" s="1"/>
  <c r="I39" i="21" s="1"/>
  <c r="H41" i="21"/>
  <c r="H40" i="21" s="1"/>
  <c r="H39" i="21" s="1"/>
  <c r="G41" i="21"/>
  <c r="G40" i="21" s="1"/>
  <c r="G39" i="21" s="1"/>
  <c r="I37" i="21"/>
  <c r="I36" i="21" s="1"/>
  <c r="H37" i="21"/>
  <c r="H36" i="21" s="1"/>
  <c r="G37" i="21"/>
  <c r="G36" i="21" s="1"/>
  <c r="I35" i="21"/>
  <c r="H35" i="21"/>
  <c r="G35" i="21"/>
  <c r="I34" i="21"/>
  <c r="H34" i="21"/>
  <c r="G34" i="21"/>
  <c r="I32" i="21"/>
  <c r="H32" i="21"/>
  <c r="G32" i="21"/>
  <c r="I30" i="21"/>
  <c r="H30" i="21"/>
  <c r="G30" i="21"/>
  <c r="I29" i="21"/>
  <c r="H29" i="21"/>
  <c r="G29" i="21"/>
  <c r="G27" i="21"/>
  <c r="G26" i="21"/>
  <c r="I25" i="21"/>
  <c r="H25" i="21"/>
  <c r="I24" i="21"/>
  <c r="H24" i="21"/>
  <c r="G24" i="21"/>
  <c r="I23" i="21"/>
  <c r="H23" i="21"/>
  <c r="G23" i="21"/>
  <c r="G20" i="21"/>
  <c r="I19" i="21"/>
  <c r="I18" i="21" s="1"/>
  <c r="I17" i="21" s="1"/>
  <c r="H19" i="21"/>
  <c r="H18" i="21" s="1"/>
  <c r="H17" i="21" s="1"/>
  <c r="G19" i="21"/>
  <c r="G156" i="21" l="1"/>
  <c r="G18" i="21"/>
  <c r="G17" i="21" s="1"/>
  <c r="G83" i="21"/>
  <c r="G82" i="21" s="1"/>
  <c r="G99" i="21"/>
  <c r="I244" i="21"/>
  <c r="G248" i="21"/>
  <c r="H248" i="21"/>
  <c r="I258" i="21"/>
  <c r="I253" i="21" s="1"/>
  <c r="I270" i="21"/>
  <c r="G273" i="21"/>
  <c r="I311" i="21"/>
  <c r="I326" i="21"/>
  <c r="I325" i="21" s="1"/>
  <c r="G345" i="21"/>
  <c r="I430" i="21"/>
  <c r="G439" i="21"/>
  <c r="G456" i="21"/>
  <c r="G25" i="21"/>
  <c r="I28" i="21"/>
  <c r="G219" i="21"/>
  <c r="G276" i="21"/>
  <c r="G307" i="21"/>
  <c r="G319" i="21"/>
  <c r="G366" i="21"/>
  <c r="G401" i="21"/>
  <c r="G400" i="21" s="1"/>
  <c r="G430" i="21"/>
  <c r="H448" i="21"/>
  <c r="G451" i="21"/>
  <c r="H465" i="21"/>
  <c r="G468" i="21"/>
  <c r="G494" i="21"/>
  <c r="G505" i="21"/>
  <c r="G96" i="21"/>
  <c r="G89" i="21" s="1"/>
  <c r="H228" i="21"/>
  <c r="G244" i="21"/>
  <c r="G254" i="21"/>
  <c r="H430" i="21"/>
  <c r="G436" i="21"/>
  <c r="I439" i="21"/>
  <c r="G567" i="21"/>
  <c r="G227" i="21"/>
  <c r="G226" i="21" s="1"/>
  <c r="G225" i="21" s="1"/>
  <c r="I22" i="21"/>
  <c r="I33" i="21"/>
  <c r="I21" i="21" s="1"/>
  <c r="H28" i="21"/>
  <c r="G109" i="21"/>
  <c r="G108" i="21" s="1"/>
  <c r="G107" i="21" s="1"/>
  <c r="G208" i="21"/>
  <c r="G22" i="21"/>
  <c r="H22" i="21"/>
  <c r="G33" i="21"/>
  <c r="H33" i="21"/>
  <c r="I63" i="21"/>
  <c r="I42" i="21" s="1"/>
  <c r="I72" i="21"/>
  <c r="G171" i="21"/>
  <c r="G170" i="21" s="1"/>
  <c r="G155" i="21" s="1"/>
  <c r="I228" i="21"/>
  <c r="H254" i="21"/>
  <c r="I254" i="21"/>
  <c r="G258" i="21"/>
  <c r="G253" i="21" s="1"/>
  <c r="H258" i="21"/>
  <c r="H273" i="21"/>
  <c r="H311" i="21"/>
  <c r="G326" i="21"/>
  <c r="H407" i="21"/>
  <c r="H404" i="21" s="1"/>
  <c r="H433" i="21"/>
  <c r="I433" i="21"/>
  <c r="H439" i="21"/>
  <c r="G448" i="21"/>
  <c r="G465" i="21"/>
  <c r="G471" i="21"/>
  <c r="H471" i="21"/>
  <c r="H494" i="21"/>
  <c r="G501" i="21"/>
  <c r="I585" i="21"/>
  <c r="I582" i="21" s="1"/>
  <c r="G596" i="21"/>
  <c r="G591" i="21" s="1"/>
  <c r="H96" i="21"/>
  <c r="H89" i="21" s="1"/>
  <c r="G191" i="21"/>
  <c r="G424" i="21"/>
  <c r="H436" i="21"/>
  <c r="G150" i="21"/>
  <c r="G266" i="21"/>
  <c r="G279" i="21"/>
  <c r="G292" i="21"/>
  <c r="G304" i="21"/>
  <c r="G311" i="21"/>
  <c r="G314" i="21"/>
  <c r="I536" i="21"/>
  <c r="G585" i="21"/>
  <c r="G582" i="21" s="1"/>
  <c r="G28" i="21"/>
  <c r="G300" i="21"/>
  <c r="G382" i="21"/>
  <c r="G381" i="21" s="1"/>
  <c r="I448" i="21"/>
  <c r="I465" i="21"/>
  <c r="I83" i="21"/>
  <c r="I82" i="21" s="1"/>
  <c r="I129" i="21"/>
  <c r="I71" i="21"/>
  <c r="I70" i="21" s="1"/>
  <c r="H564" i="21"/>
  <c r="G207" i="21"/>
  <c r="H218" i="21"/>
  <c r="H217" i="21" s="1"/>
  <c r="H216" i="21" s="1"/>
  <c r="I282" i="21"/>
  <c r="I365" i="21"/>
  <c r="I381" i="21"/>
  <c r="I102" i="21"/>
  <c r="G342" i="21"/>
  <c r="I353" i="21"/>
  <c r="I352" i="21" s="1"/>
  <c r="G198" i="21"/>
  <c r="G197" i="21" s="1"/>
  <c r="G174" i="21" s="1"/>
  <c r="G102" i="21"/>
  <c r="G176" i="21"/>
  <c r="G175" i="21" s="1"/>
  <c r="H198" i="21"/>
  <c r="H197" i="21" s="1"/>
  <c r="G325" i="21"/>
  <c r="G324" i="21" s="1"/>
  <c r="H353" i="21"/>
  <c r="H352" i="21" s="1"/>
  <c r="H477" i="21"/>
  <c r="H521" i="21"/>
  <c r="H517" i="21" s="1"/>
  <c r="I218" i="21"/>
  <c r="I217" i="21" s="1"/>
  <c r="I216" i="21" s="1"/>
  <c r="I404" i="21"/>
  <c r="G129" i="21"/>
  <c r="I145" i="21"/>
  <c r="I207" i="21"/>
  <c r="H591" i="21"/>
  <c r="H71" i="21"/>
  <c r="H70" i="21" s="1"/>
  <c r="H113" i="21"/>
  <c r="H365" i="21"/>
  <c r="H364" i="21" s="1"/>
  <c r="H493" i="21"/>
  <c r="H582" i="21"/>
  <c r="I477" i="21"/>
  <c r="H536" i="21"/>
  <c r="H102" i="21"/>
  <c r="H129" i="21"/>
  <c r="H150" i="21"/>
  <c r="I176" i="21"/>
  <c r="I175" i="21" s="1"/>
  <c r="I289" i="21"/>
  <c r="I342" i="21"/>
  <c r="I493" i="21"/>
  <c r="G521" i="21"/>
  <c r="G517" i="21" s="1"/>
  <c r="I113" i="21"/>
  <c r="H21" i="21"/>
  <c r="H42" i="21"/>
  <c r="H83" i="21"/>
  <c r="H82" i="21" s="1"/>
  <c r="I89" i="21"/>
  <c r="H145" i="21"/>
  <c r="H176" i="21"/>
  <c r="H175" i="21" s="1"/>
  <c r="I198" i="21"/>
  <c r="I197" i="21" s="1"/>
  <c r="H207" i="21"/>
  <c r="G218" i="21"/>
  <c r="G217" i="21" s="1"/>
  <c r="G216" i="21" s="1"/>
  <c r="I227" i="21"/>
  <c r="I226" i="21" s="1"/>
  <c r="I225" i="21" s="1"/>
  <c r="H282" i="21"/>
  <c r="H289" i="21"/>
  <c r="I521" i="21"/>
  <c r="I517" i="21" s="1"/>
  <c r="I596" i="21"/>
  <c r="I591" i="21" s="1"/>
  <c r="G42" i="21"/>
  <c r="G72" i="21"/>
  <c r="G71" i="21" s="1"/>
  <c r="G70" i="21" s="1"/>
  <c r="G145" i="21"/>
  <c r="I150" i="21"/>
  <c r="I144" i="21" s="1"/>
  <c r="I156" i="21"/>
  <c r="I155" i="21" s="1"/>
  <c r="G113" i="21"/>
  <c r="H156" i="21"/>
  <c r="H155" i="21" s="1"/>
  <c r="G282" i="21"/>
  <c r="H342" i="21"/>
  <c r="G404" i="21"/>
  <c r="G564" i="21"/>
  <c r="G365" i="21"/>
  <c r="G364" i="21" s="1"/>
  <c r="G241" i="21"/>
  <c r="H244" i="21"/>
  <c r="H241" i="21" s="1"/>
  <c r="I364" i="21"/>
  <c r="I351" i="21" s="1"/>
  <c r="G493" i="21"/>
  <c r="I564" i="21"/>
  <c r="H227" i="21"/>
  <c r="H226" i="21" s="1"/>
  <c r="H225" i="21" s="1"/>
  <c r="I241" i="21"/>
  <c r="H325" i="21"/>
  <c r="G353" i="21"/>
  <c r="G352" i="21" s="1"/>
  <c r="G477" i="21"/>
  <c r="G536" i="21"/>
  <c r="G289" i="21" l="1"/>
  <c r="G417" i="21"/>
  <c r="H417" i="21"/>
  <c r="H253" i="21"/>
  <c r="H240" i="21" s="1"/>
  <c r="G21" i="21"/>
  <c r="G112" i="21"/>
  <c r="I417" i="21"/>
  <c r="I16" i="21"/>
  <c r="G144" i="21"/>
  <c r="I532" i="21"/>
  <c r="I508" i="21" s="1"/>
  <c r="G16" i="21"/>
  <c r="I112" i="21"/>
  <c r="I240" i="21"/>
  <c r="I88" i="21"/>
  <c r="H174" i="21"/>
  <c r="G532" i="21"/>
  <c r="G508" i="21" s="1"/>
  <c r="H324" i="21"/>
  <c r="H88" i="21"/>
  <c r="I399" i="21"/>
  <c r="I394" i="21" s="1"/>
  <c r="H399" i="21"/>
  <c r="H394" i="21" s="1"/>
  <c r="G143" i="21"/>
  <c r="H16" i="21"/>
  <c r="H351" i="21"/>
  <c r="I174" i="21"/>
  <c r="H532" i="21"/>
  <c r="H508" i="21" s="1"/>
  <c r="G88" i="21"/>
  <c r="G15" i="21" s="1"/>
  <c r="I143" i="21"/>
  <c r="H144" i="21"/>
  <c r="H143" i="21" s="1"/>
  <c r="I324" i="21"/>
  <c r="H112" i="21"/>
  <c r="G351" i="21"/>
  <c r="G399" i="21"/>
  <c r="G394" i="21" s="1"/>
  <c r="G240" i="21"/>
  <c r="G239" i="21" s="1"/>
  <c r="I15" i="21" l="1"/>
  <c r="H239" i="21"/>
  <c r="H15" i="21"/>
  <c r="H603" i="21" s="1"/>
  <c r="I239" i="21"/>
  <c r="I603" i="21" s="1"/>
  <c r="G603" i="21"/>
  <c r="G607" i="21" s="1"/>
  <c r="I607" i="21" l="1"/>
  <c r="H607" i="21"/>
</calcChain>
</file>

<file path=xl/sharedStrings.xml><?xml version="1.0" encoding="utf-8"?>
<sst xmlns="http://schemas.openxmlformats.org/spreadsheetml/2006/main" count="2529" uniqueCount="434">
  <si>
    <t>Физическая культура  и спорт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</si>
  <si>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</si>
  <si>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</si>
  <si>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</si>
  <si>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Другие вопросы в области физической культуры и спорта</t>
  </si>
  <si>
    <t>Национальная безопасность и правоохранительная деятельность</t>
  </si>
  <si>
    <t>Управление культуры администрации Анжеро-Судженского городского округа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</si>
  <si>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</si>
  <si>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</si>
  <si>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</si>
  <si>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</si>
  <si>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</si>
  <si>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</si>
  <si>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</si>
  <si>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</si>
  <si>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</si>
  <si>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</si>
  <si>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</si>
  <si>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</si>
  <si>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Обслуживание государственного и муниципального долга</t>
  </si>
  <si>
    <t>11</t>
  </si>
  <si>
    <t>Резервные фонды</t>
  </si>
  <si>
    <t>12</t>
  </si>
  <si>
    <t>Другие общегосударственные вопросы</t>
  </si>
  <si>
    <t>Другие вопросы в области культуры, кинематографии</t>
  </si>
  <si>
    <t>09</t>
  </si>
  <si>
    <t>Национальная экономика</t>
  </si>
  <si>
    <t>Топливно-энергетический комплекс</t>
  </si>
  <si>
    <t>Другие вопросы в области национальной экономики</t>
  </si>
  <si>
    <t xml:space="preserve">Жилищно-коммунальное хозяйство </t>
  </si>
  <si>
    <t>05</t>
  </si>
  <si>
    <t>Жилищное хозяйство</t>
  </si>
  <si>
    <t>Коммунальное хозяйство</t>
  </si>
  <si>
    <t>Комитет по физической культуре и спорту администрации Анжеро-Судженского городского округа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</si>
  <si>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</si>
  <si>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</si>
  <si>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</si>
  <si>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</si>
  <si>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</si>
  <si>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</si>
  <si>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</si>
  <si>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</si>
  <si>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08</t>
  </si>
  <si>
    <t>Культура</t>
  </si>
  <si>
    <t>Администрация Анжеро-Судженского городского округа</t>
  </si>
  <si>
    <t>Управление образования администрации Анжеро-Судженского городского округа</t>
  </si>
  <si>
    <t>Комитет по управлению муниципальным имуществом администрации Анжеро-Судженского городского округа</t>
  </si>
  <si>
    <t>Управление жилищно-коммунального хозяйства администрации Анжеро-Судженского городского округа</t>
  </si>
  <si>
    <t>Управление социальной защиты населения администрации Анжеро-Судженского городского округа</t>
  </si>
  <si>
    <t>06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</si>
  <si>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</si>
  <si>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</si>
  <si>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</si>
  <si>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</si>
  <si>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</si>
  <si>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</si>
  <si>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</si>
  <si>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ИТОГО:</t>
  </si>
  <si>
    <t>Ведомство</t>
  </si>
  <si>
    <t>Общегосударственные вопросы</t>
  </si>
  <si>
    <t>13</t>
  </si>
  <si>
    <t>(тыс. руб.)</t>
  </si>
  <si>
    <t>Контрольно - счетная палата Анжеро- Судженского городского округа</t>
  </si>
  <si>
    <t>Начальник финансового управления города Анжеро-Судженска-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</si>
  <si>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</si>
  <si>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</si>
  <si>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</si>
  <si>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</si>
  <si>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</si>
  <si>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</si>
  <si>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400</t>
  </si>
  <si>
    <t>Иные бюджетные ассигнования</t>
  </si>
  <si>
    <t>800</t>
  </si>
  <si>
    <t>Обслуживание государственного (муниципального) долга</t>
  </si>
  <si>
    <t>700</t>
  </si>
  <si>
    <t>Закупка товаров работ и услуг для государственных (муниципальных) нужд</t>
  </si>
  <si>
    <t>Совет народных депутатов Анжеро-Судженского городского округа</t>
  </si>
  <si>
    <t>к решению Совета народных депутатов Анжеро-Судженского городского округа</t>
  </si>
  <si>
    <t>Дорожное хозяйство (дорожные фонды)</t>
  </si>
  <si>
    <t>Е.Н. Зачиняева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</si>
  <si>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</si>
  <si>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</si>
  <si>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Капитальные вложения в объекты государственной (муниципальной) собственности</t>
  </si>
  <si>
    <t xml:space="preserve">Ведомственная структура расходов бюджета муниципального образования "Анжеро-Судженский городской округ" </t>
  </si>
  <si>
    <t>Приложение 6</t>
  </si>
  <si>
    <t>05 2 00 72010</t>
  </si>
  <si>
    <t>01 4 00 79050</t>
  </si>
  <si>
    <t>01 5 00 79060</t>
  </si>
  <si>
    <t>01 5 00 71960</t>
  </si>
  <si>
    <t>04 1 00 51350</t>
  </si>
  <si>
    <t>04 3 00 51560</t>
  </si>
  <si>
    <t>08 6 00 80110</t>
  </si>
  <si>
    <t>08 6 00 70010</t>
  </si>
  <si>
    <t>08 6 00 70020</t>
  </si>
  <si>
    <t>08 6 00 70030</t>
  </si>
  <si>
    <t>08 6 00 70060</t>
  </si>
  <si>
    <t>08 6 00 70080</t>
  </si>
  <si>
    <t>08 5 00 70160</t>
  </si>
  <si>
    <t xml:space="preserve">08 5 00 70160 </t>
  </si>
  <si>
    <t>08 4 00 70280</t>
  </si>
  <si>
    <t>08 5 00 70170</t>
  </si>
  <si>
    <t>08 6 00 52700</t>
  </si>
  <si>
    <t>08 6 00 52200</t>
  </si>
  <si>
    <t>08 6 00 52800</t>
  </si>
  <si>
    <t>08 6 00 52500</t>
  </si>
  <si>
    <t>08 6 00 53800</t>
  </si>
  <si>
    <t>08 6 00 70090</t>
  </si>
  <si>
    <t>08 6 00 80050</t>
  </si>
  <si>
    <t>08 6 00 70050</t>
  </si>
  <si>
    <t>08 6 00 80010</t>
  </si>
  <si>
    <t>08 6 00 80070</t>
  </si>
  <si>
    <t>08 6 00 70070</t>
  </si>
  <si>
    <t>08 6 00 70100</t>
  </si>
  <si>
    <t>08 6 00 80080</t>
  </si>
  <si>
    <t>08 6 00 80090</t>
  </si>
  <si>
    <t>08 6 00 80040</t>
  </si>
  <si>
    <t>08 6 00 80100</t>
  </si>
  <si>
    <t>08 6 00 51370</t>
  </si>
  <si>
    <t>08 6 00 70190</t>
  </si>
  <si>
    <t>05 1 00 71830</t>
  </si>
  <si>
    <t>05 1 00 71840</t>
  </si>
  <si>
    <t>05 1 00 71820</t>
  </si>
  <si>
    <t>05 3 00 72070</t>
  </si>
  <si>
    <t>05 1 00 71800</t>
  </si>
  <si>
    <t>05 2 00 72050</t>
  </si>
  <si>
    <t>05 2 00 72040</t>
  </si>
  <si>
    <t>05 2 00 72030</t>
  </si>
  <si>
    <t>05 2 00 80120</t>
  </si>
  <si>
    <t>05 2 00 71810</t>
  </si>
  <si>
    <t>05 2 00 80130</t>
  </si>
  <si>
    <t>05 2 00 52600</t>
  </si>
  <si>
    <t>911</t>
  </si>
  <si>
    <t>05 2 00 73050</t>
  </si>
  <si>
    <t>04 1 00 R0820</t>
  </si>
  <si>
    <t>08 6 00 R0840</t>
  </si>
  <si>
    <t>04 2 00 L0200</t>
  </si>
  <si>
    <t>Закупка товаров, работ и услуг для обеспечения государственных (муниципальных) нужд</t>
  </si>
  <si>
    <t>05 1 00 71940</t>
  </si>
  <si>
    <t>05 1 00 71930</t>
  </si>
  <si>
    <t>05 2 00 72000</t>
  </si>
  <si>
    <t>05 2 00 70490</t>
  </si>
  <si>
    <t>2018 год</t>
  </si>
  <si>
    <t>2019 год</t>
  </si>
  <si>
    <t>Предоставление субсидий бюджетным, автономным учреждениям и иным некоммерческим организациям</t>
  </si>
  <si>
    <t>01 1 00 11011</t>
  </si>
  <si>
    <t>Создание и функционирование комиссий по делам несовершеннолетних и защите их прав</t>
  </si>
  <si>
    <t>Создание и функционирование административных комиссий</t>
  </si>
  <si>
    <t>01 1 00 11021</t>
  </si>
  <si>
    <t>01 1 00 11031</t>
  </si>
  <si>
    <t>Обеспечение деятельности МАУ МФЦ</t>
  </si>
  <si>
    <t>13 0 00 11171</t>
  </si>
  <si>
    <t>Осуществление функций по хранению, комплектованию, учету и использованию документов Архивного фонда Кемеровской области</t>
  </si>
  <si>
    <t>Денежные выплаты гражданам, имеющим звание "Почетный гражданин Анжеро-Судженского городского округа"</t>
  </si>
  <si>
    <t>01 5 00 94041</t>
  </si>
  <si>
    <t>Развитие архивного дела на территории Анжеро-Судженского городского округа</t>
  </si>
  <si>
    <t>01 4 00 11401</t>
  </si>
  <si>
    <t>03 3 00 11151</t>
  </si>
  <si>
    <t>Охрана общественного порядка при проведении всех общественно-политических, культурно-массовых, религиозных и спортивных мероприятий на территории городского округа; предотвращение актов насилия и терроризма в отношении детей в общеобразовательных учреждениях, на отдыхе в загородных лагерях во время летних каникул; на водных объектах; оказание помощи отделу военного комиссариата во время призыва</t>
  </si>
  <si>
    <t>Охрана общественного порядка при проведении всех общественно-политических, культурно-массовых, религиозных и спортивных мероприятий на территории городского округа; охрана общественного порядка на водных объектах</t>
  </si>
  <si>
    <t>03 3 00 12161</t>
  </si>
  <si>
    <t>03 1 00 11002</t>
  </si>
  <si>
    <t>Создание территориального компонента Общероссийской комплексной системы информирования и оповещения населения в чрезвычайных ситуациях</t>
  </si>
  <si>
    <t>Развитие ЕДДС Анжеро-Судженского городского округа</t>
  </si>
  <si>
    <t>03 1 00 14002</t>
  </si>
  <si>
    <t>03 2 00 11701</t>
  </si>
  <si>
    <t>Обеспечение первичных мер пожарной безопасности с массовым пребыванием людей</t>
  </si>
  <si>
    <t>Противопожарное обустройство населенных пунктов</t>
  </si>
  <si>
    <t>03 2 00 12701</t>
  </si>
  <si>
    <t>Материальное стимулирование деятельности добровольных пожарных</t>
  </si>
  <si>
    <t>03 2 00 13701</t>
  </si>
  <si>
    <t>14 0 00 12801</t>
  </si>
  <si>
    <t>Содействие формированию положительного имиджа предпринимательской деятельности</t>
  </si>
  <si>
    <t>Кредитно-финансовая и имущественная поддержка субъектов малого и среднего предпринимательства</t>
  </si>
  <si>
    <t>Реализация программ местного развития и обеспечение занятости для шахтерских городов и поселков</t>
  </si>
  <si>
    <t>04 1 00 11501</t>
  </si>
  <si>
    <t>04 4 00 11201</t>
  </si>
  <si>
    <t>Строительство</t>
  </si>
  <si>
    <t>04 4 00 12201</t>
  </si>
  <si>
    <t>Проектные работы</t>
  </si>
  <si>
    <t>05 1 00 16071</t>
  </si>
  <si>
    <t>Развитие молодежной политики в Анжеро-Судженском городском округе</t>
  </si>
  <si>
    <t>Кадровое обеспечение - молодой специалист</t>
  </si>
  <si>
    <t>08 7 00 11005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</si>
  <si>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</si>
  <si>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</si>
  <si>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</si>
  <si>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</si>
  <si>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</si>
  <si>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01 5 00 15011</t>
  </si>
  <si>
    <t>Поддержка молодых семей и семей бюджетников</t>
  </si>
  <si>
    <t>12 0 00 11004</t>
  </si>
  <si>
    <t>Процентные платежи по муниципальному долгу Анжеро-Судженского городского округа</t>
  </si>
  <si>
    <t>Организация круглогодичного отдыха, оздоровления и занятости обучающихся</t>
  </si>
  <si>
    <t>05 1 00 15231</t>
  </si>
  <si>
    <t>05 1 00 13011</t>
  </si>
  <si>
    <t>05 1 00 15521</t>
  </si>
  <si>
    <t>09 0 00 11013</t>
  </si>
  <si>
    <t>Повышение доступности и качества спортивно-оздоровительных услуг</t>
  </si>
  <si>
    <t>09 0 00 14011</t>
  </si>
  <si>
    <t>Вовлечение детей и подростков в сферу физической культуры и спорта путем занятости молодежи в вечернее время спортивно-массовыми мероприятиями</t>
  </si>
  <si>
    <t>09 0 00 13012</t>
  </si>
  <si>
    <t>Создание условий для развития физической культуры и массового спорта в городском округе</t>
  </si>
  <si>
    <t>09 0 00 11042</t>
  </si>
  <si>
    <t>02 0 00 13001</t>
  </si>
  <si>
    <t>Техническая инвентаризация и паспортизация объектов муниципальной собственности</t>
  </si>
  <si>
    <t>Независимая оценка объектов муниципальной собственности</t>
  </si>
  <si>
    <t>02 0 00 14001</t>
  </si>
  <si>
    <t>Проведение капитальных ремонтов объектов инженерной инфраструктуры, находящихся в муниципальной собственности</t>
  </si>
  <si>
    <t>02 0 00 15001</t>
  </si>
  <si>
    <t>Содержание муниципального имущества</t>
  </si>
  <si>
    <t>02 0 00 16001</t>
  </si>
  <si>
    <t>02 0 00 17002</t>
  </si>
  <si>
    <t>Размещение информации в СМИ</t>
  </si>
  <si>
    <t>Создание и ликвидация муниципальных предприятий</t>
  </si>
  <si>
    <t>02 0 00 18001</t>
  </si>
  <si>
    <t>Обеспечение эффективности в сфере управления муниципальным имуществом</t>
  </si>
  <si>
    <t>02 0 00 19001</t>
  </si>
  <si>
    <t>02 0 00 11001</t>
  </si>
  <si>
    <t>Формирование и оформление границ земельных участков</t>
  </si>
  <si>
    <t>Оформление и выполнение работ по подготовке проектов межевания застроенных территорий и установлению границ под многоквартирными жилыми домами</t>
  </si>
  <si>
    <t>02 0 00 12001</t>
  </si>
  <si>
    <t>Капитальный ремонт общего имущества многоквартирных домов, находящихся в муниципальной собственности</t>
  </si>
  <si>
    <t>04 5 00 13003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</si>
  <si>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</si>
  <si>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99 0 00 24001</t>
  </si>
  <si>
    <t>Центральный аппарат</t>
  </si>
  <si>
    <t>Председатель Контрольно-счетной палаты</t>
  </si>
  <si>
    <t>99 0 00 20131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</si>
  <si>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</si>
  <si>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</si>
  <si>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99 0 00 20111</t>
  </si>
  <si>
    <t>99 0 00 20121</t>
  </si>
  <si>
    <t>01 5 00 16131</t>
  </si>
  <si>
    <t>Поздравления и памятные подарки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</si>
  <si>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</si>
  <si>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</si>
  <si>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</si>
  <si>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Развитие единого образовательного пространства, повышение качества образовательных результатов</t>
  </si>
  <si>
    <t>05 1 00 11211</t>
  </si>
  <si>
    <t>05 1 00 11231</t>
  </si>
  <si>
    <t>05 1 00 12221</t>
  </si>
  <si>
    <t>Обеспечение деятельности образовательных учреждений для детей с ограниченными возможностями здоровья, детей-сирот и детей, оставшихся без попечения родителей, включая реализацию образовательных программ дошкольного и общего образования</t>
  </si>
  <si>
    <t>Адресная социальная поддержка участников образовательного процесса</t>
  </si>
  <si>
    <t>05 1 00 11202</t>
  </si>
  <si>
    <t>05 1 00 12051</t>
  </si>
  <si>
    <t>05 1 00 12021</t>
  </si>
  <si>
    <t>05 1 00 13211</t>
  </si>
  <si>
    <t>05 1 00 17011</t>
  </si>
  <si>
    <t>05 1 00 18221</t>
  </si>
  <si>
    <t>Развитие кадрового потенциала муниципальной системы образования</t>
  </si>
  <si>
    <t>Организация и осуществление деятельности по опеке и попечительству</t>
  </si>
  <si>
    <t>05 3 00 11041</t>
  </si>
  <si>
    <t>05 3 00 11351</t>
  </si>
  <si>
    <t>05 3 00 11521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</si>
  <si>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</si>
  <si>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</si>
  <si>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</si>
  <si>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Предоставление бесплатного проезда отдельным категориям обучающихся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</si>
  <si>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</si>
  <si>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</si>
  <si>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</si>
  <si>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</si>
  <si>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06 0 00 11402</t>
  </si>
  <si>
    <t>Обеспечение деятельности учреждений клубного типа</t>
  </si>
  <si>
    <t>06 0 00 12411</t>
  </si>
  <si>
    <t>Развитие музейного дела</t>
  </si>
  <si>
    <t>06 0 00 13421</t>
  </si>
  <si>
    <t>Развитие библиотечного дела</t>
  </si>
  <si>
    <t>06 0 00 14041</t>
  </si>
  <si>
    <t>06 0 00 14521</t>
  </si>
  <si>
    <t>Реализация мер в области государственной молодежной политики</t>
  </si>
  <si>
    <t>Выплата пенсии за выслугу лет в соответствии с Решением Анжеро-Судженского городского Совета народных депутатов от 26.11.2009г №396 "О пенсиях за выслугу лет лицам, замещавшим муниципальные должности, и должности муниципальной службы муниципального образования "Анжеро-Судженский городской округ""</t>
  </si>
  <si>
    <t>08 2 00 91001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</si>
  <si>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</si>
  <si>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</si>
  <si>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Затраты на содержание муниципальных учреждений социального обслуживания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</si>
  <si>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</si>
  <si>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Осуществление полномочия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</si>
  <si>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</si>
  <si>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</si>
  <si>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Предоставление гражданам субсидий на оплату жилого помещения и коммунальных услуг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</si>
  <si>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</si>
  <si>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>Дополнительная мера социальной поддержки семей, имеющих детей, в соответствии с Законом Кемеровской области от 25 апреля 2011 года № 51-ОЗ "О дополнительной мере социальной поддержки семей, имеющих детей"</t>
  </si>
  <si>
    <t>Социальная поддержка граждан, достигших возраста 70 лет, в соответствии с Законом Кемеровской области от 10 июня 2005 года № 74-ОЗ "О социальной поддержке граждан, достигших возраста 70 лет"</t>
  </si>
  <si>
    <t>Денежная выплата отдельным категориям граждан в соответствии с Законом Кемеровской области от 12 декабря 2006 года № 156-ОЗ "О денежной выплате отдельным категориям граждан"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</si>
  <si>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"О погребении и похоронном деле в Кемеровской области"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</si>
  <si>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</si>
  <si>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</si>
  <si>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Адресная помощь</t>
  </si>
  <si>
    <t>08 1 00 11403</t>
  </si>
  <si>
    <t>Поддержка общественных организаций</t>
  </si>
  <si>
    <t>08 1 00 12401</t>
  </si>
  <si>
    <t>Социальная поддержка и социальное обслуживание населения в части содержания органов местного самоуправления</t>
  </si>
  <si>
    <t>Резервный фонд</t>
  </si>
  <si>
    <t>Исполнение судебных актов</t>
  </si>
  <si>
    <t>01 5 00 13071</t>
  </si>
  <si>
    <t>01 5 00 17001</t>
  </si>
  <si>
    <t>10 3 00 14101</t>
  </si>
  <si>
    <t>11 1 00 11121</t>
  </si>
  <si>
    <t>Расходы по содержанию автомобильных дорог и инженерных сооружений на них</t>
  </si>
  <si>
    <t>11 2 00 11111</t>
  </si>
  <si>
    <t>Освещение автодорог местного значения и текущее содержание линий дорожного освещения</t>
  </si>
  <si>
    <t>11 7 00 11112</t>
  </si>
  <si>
    <t>Повышение безопасности дорожного движения, КРИСы, Безопасный город</t>
  </si>
  <si>
    <t>04 5 00 12202</t>
  </si>
  <si>
    <t>10 1 00 11301</t>
  </si>
  <si>
    <t>Капитальный ремонт муниципальных сетей и котельного оборудования</t>
  </si>
  <si>
    <t>10 1 00 13301</t>
  </si>
  <si>
    <t>Актуализация схемы теплоснабжения</t>
  </si>
  <si>
    <t>10 1 00 15301</t>
  </si>
  <si>
    <t>Проверка сметной документации, технадзор</t>
  </si>
  <si>
    <t>10 3 00 11203</t>
  </si>
  <si>
    <t>Возмещение недополученных экономически обоснованных затрат ресурсоснабжающим организациям и затрат, возникших в результате  приведения размера платы граждан за услуги теплоснабжения в соответствии с установленным предельным индексом</t>
  </si>
  <si>
    <t>10 3 00 11302</t>
  </si>
  <si>
    <t>Возмещение недополученных экономически обоснованных затрат ресурсоснабжающим организациям и затрат, возникших в результате  приведения размера платы граждан за услуги водоснабжения, водоотведения в соответствии с установленным предельным индексом</t>
  </si>
  <si>
    <t>10 3 00 12402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</si>
  <si>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</si>
  <si>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11 2 00 12111</t>
  </si>
  <si>
    <t>Стоимость электроэнергии</t>
  </si>
  <si>
    <t>Организация работ по озеленению парков, скверов, аллей, улично-дорожной сети</t>
  </si>
  <si>
    <t>11 3 00 11131</t>
  </si>
  <si>
    <t>11 4 00 11141</t>
  </si>
  <si>
    <t>Текущее содержание и очистка кладбищ</t>
  </si>
  <si>
    <t>11 5 00 11152</t>
  </si>
  <si>
    <t>Прочие мероприятия по объектам внешнего благоустройства, направленные на охрану окружающей среды и отдых населения</t>
  </si>
  <si>
    <t>10 2 00 11901</t>
  </si>
  <si>
    <t>Организация и осуществление деятельности по снижению рисков и смягчению последствий аварийных ситуаций на объектах ЖКХ и социальной сферы</t>
  </si>
  <si>
    <t>10 4 00 11043</t>
  </si>
  <si>
    <t>Осуществление функций по реализации вопросов местного значения в сфере жилищно-коммунального хозяйства</t>
  </si>
  <si>
    <t>11 6 00 11902</t>
  </si>
  <si>
    <t>Организация мероприятий по обеспечению надлежащего состояния уровня благоустройства территории Анжеро-Судженского городского округа</t>
  </si>
  <si>
    <t>Поддержка пенсионеров и инвалидов</t>
  </si>
  <si>
    <t>08 1 00 13401</t>
  </si>
  <si>
    <t>08 1 00 14401</t>
  </si>
  <si>
    <t>Возмещение затрат по содержанию специализированного муниципального жилого фонда</t>
  </si>
  <si>
    <t>08 1 00 15401</t>
  </si>
  <si>
    <t>Возмещение затрат по организации холодного водоснабжения путем подвоза питьевой воды населению города, проживающего в жилых домах, не подключенных к централизованной системе холодного водоснабжения и не возможностью проведения его, по причине отдаленности от сетей централизованного водоснабжения</t>
  </si>
  <si>
    <t>10 1 00 12301</t>
  </si>
  <si>
    <t>Теплоснабжение восточного жилого района г.Анжеро-Судженска (строительство теплотрассы)</t>
  </si>
  <si>
    <t>05 2 00 11012</t>
  </si>
  <si>
    <t>Дополнительное образование детей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</si>
  <si>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</si>
  <si>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"О мерах социальной поддержки отдельных категорий приемных родителей"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</si>
  <si>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"О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предприятиях"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</si>
  <si>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</si>
  <si>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Пособие на ребенка в соответствии с Законом Кемеровской области от 18 ноября 2004 года № 75-ОЗ "О размере, порядке назначения и выплаты пособия на ребенка"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</si>
  <si>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</si>
  <si>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</si>
  <si>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Мероприятия подпрограммы "Обеспечение жильем молодых семей" федеральной целевой программы "Жилище" на 2015 - 2020 годы</t>
  </si>
  <si>
    <t>08 5 00 11051</t>
  </si>
  <si>
    <t>Обеспечение жильем социально незащищенных категорий граждан, установленных законодательством Кемеровской области и Федеральными законами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</si>
  <si>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"О государственной социальной помощи малоимущим семьям и малоимущим одиноко проживающим гражданам"</t>
  </si>
  <si>
    <t>Капитальный ремонт муниципального жилищного фонда, в т.ч. отдельных муниципальных квартир</t>
  </si>
  <si>
    <t>Повышение эффективности деятельности органа местного самоуправления</t>
  </si>
  <si>
    <t>Обеспечение доступности дошкольного, общего и дополнительного образования детей, повышение качества образовательных результатов, включая образовательные программы дошкольного общего и дополнительного образования</t>
  </si>
  <si>
    <t>Организация круглогодичного отдыха, оздоровления и занятости обучающихся, закаливание беременных</t>
  </si>
  <si>
    <t>Развитие физической культуры и детско-юношеского спорта в Анжеро-Судженском городском округе</t>
  </si>
  <si>
    <t>Поддержка талантливых детей и молодежи, обеспечение условий для их личностной самореализации и профессионального самоопределения, успешной социализации в обществе</t>
  </si>
  <si>
    <t>Социальная поддержка участников образовательного процесса</t>
  </si>
  <si>
    <t>Обеспечение деятельности прочих организаций в сфере образования Анжеро-Судженского городского округа</t>
  </si>
  <si>
    <t>Развитие управления в сфере культуры</t>
  </si>
  <si>
    <t>04 1 00 71660</t>
  </si>
  <si>
    <t>Обеспечение жильем социальных категорий граждан, установленных законодательством Кемеровской области</t>
  </si>
  <si>
    <t>10 1 00 72540</t>
  </si>
  <si>
    <t>04 1 00 71850</t>
  </si>
  <si>
    <t>14 0 00 L5270</t>
  </si>
  <si>
    <t>10 1 00 18301</t>
  </si>
  <si>
    <t>ПИР котельной по ул. Прокопьевская, сети теплоснабжения</t>
  </si>
  <si>
    <t>Осуществление спортивной подготовки на территории городского округа</t>
  </si>
  <si>
    <t>09 0 00 15232</t>
  </si>
  <si>
    <t xml:space="preserve">Социальная поддержка работников образовательных организаций и участников образовательного процесса 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</si>
  <si>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</si>
  <si>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Социальная поддержка работников образовательных организаций и участников образовательного процесса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</si>
  <si>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</t>
  </si>
  <si>
    <t>2020 год</t>
  </si>
  <si>
    <t>на 2018 год и на плановый период 2019 и 2020 годов</t>
  </si>
  <si>
    <t>Возмещение затрат, возникших в результате применения регулируемых цен при реализации угля на коммунально-бытовые нужды населению</t>
  </si>
  <si>
    <t>Условно утвержденные расходы</t>
  </si>
  <si>
    <t>99</t>
  </si>
  <si>
    <t>99 0 00 99999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</si>
  <si>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</si>
  <si>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</si>
  <si>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10 5 00 71140</t>
  </si>
  <si>
    <t>Содержание и обустройство сибиреязвенных захоронений и скотомогильников (биотермических ям)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</si>
  <si>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</si>
  <si>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06 0 00 70420</t>
  </si>
  <si>
    <t>04 1 00 51760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</si>
  <si>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</si>
  <si>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08 6 00 70840</t>
  </si>
  <si>
    <t>Проведение обследования ветхого и аварийного муниципального жилого фонда, снос ветхого жилья</t>
  </si>
  <si>
    <t>04 3 00 14151</t>
  </si>
  <si>
    <t>Строительство и реконструкция котельных и сетей теплоснабжения с пименением  энергоэффективных технологий, материалов и оборудования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</si>
  <si>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</si>
  <si>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08 6 00 55730</t>
  </si>
  <si>
    <t>04 3 00 11181</t>
  </si>
  <si>
    <t>06 0 00 70480</t>
  </si>
  <si>
    <t>Этнокультурное развитие наций и народностей Кемеровской области</t>
  </si>
  <si>
    <t>Разработка схемы водоснабжения и водоотведения</t>
  </si>
  <si>
    <t>10 1 00 17301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</si>
  <si>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</si>
  <si>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11 1 00 72690</t>
  </si>
  <si>
    <t>04 2 00 L4970</t>
  </si>
  <si>
    <t>Реализация мероприятий по обеспечению жильем молодых семей</t>
  </si>
  <si>
    <t>11 1 00 S2690</t>
  </si>
  <si>
    <t>от ________________2018г. № ________</t>
  </si>
  <si>
    <t xml:space="preserve">от  21.12.2017 № 95 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</si>
  <si>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</si>
  <si>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 xml:space="preserve">15 0 00 L5550 </t>
  </si>
  <si>
    <t>Капитальный ремонт ул. Ленина</t>
  </si>
  <si>
    <t>11 8 00 11182</t>
  </si>
  <si>
    <t xml:space="preserve">Капитальный ремонт объектов систем водоснабжения и водоотведения </t>
  </si>
  <si>
    <t>10 1 00 72470</t>
  </si>
  <si>
    <t>10 1 00 S2470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</si>
  <si>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</si>
  <si>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13 0 00 72110</t>
  </si>
  <si>
    <t>99 0 00 51200</t>
  </si>
  <si>
    <t>13 0 00 S2110</t>
  </si>
  <si>
    <t>08 3 00 13271</t>
  </si>
  <si>
    <t>Создание в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</t>
  </si>
  <si>
    <t>Переселение граждан из аварийного жилищного фонда</t>
  </si>
  <si>
    <t>04 3 00 12151</t>
  </si>
  <si>
    <t>Переселение граждан из аварийных многоквартирных жилых домов в рамках реализации региональной адресной программы в соответствии с 185-ФЗ</t>
  </si>
  <si>
    <t>Обеспечение деятельности строительного контроля в сфере проектирования, строительства, реконструкции и всех видов ремонта. Выполнение функции Заказчика</t>
  </si>
  <si>
    <t>04 4 00 13201</t>
  </si>
  <si>
    <t>10 1 00 19301</t>
  </si>
  <si>
    <t>Техническое обследование сетей и объектов водоотведения, разработка ДПР</t>
  </si>
  <si>
    <t>15 0 00 11007</t>
  </si>
  <si>
    <t>15 0 0011007</t>
  </si>
  <si>
    <t>Благоустройство дворовых территорий Анжеро-Судженского городского округа</t>
  </si>
  <si>
    <t>10 1 00 11060</t>
  </si>
  <si>
    <t>Погашение кредиторской задолженности за техническое обслуживание объектов инженерной инфраструктуры</t>
  </si>
  <si>
    <t>Предотвращение банкротства муниципальных предприятий</t>
  </si>
  <si>
    <t>02 0 00 11008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</si>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</sst>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sz val="10"/>
      <color indexed="8"/>
      <name val="Arial"/>
      <family val="2"/>
      <charset val="204"/>
    </font>
    <font>
      <sz val="6"/>
      <name val="Arial CYR"/>
      <family val="2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i/>
      <sz val="10"/>
      <name val="Arial Cyr"/>
      <family val="2"/>
      <charset val="204"/>
    </font>
    <font>
      <b/>
      <sz val="11"/>
      <name val="Arial Cyr"/>
      <charset val="204"/>
    </font>
    <font>
      <b/>
      <u/>
      <sz val="10"/>
      <name val="Arial"/>
      <family val="2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49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0" xfId="0" applyFont="1" applyFill="1" applyAlignment="1">
      <alignment horizontal="center" wrapText="1"/>
    </xf>
    <xf numFmtId="0" fontId="14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wrapText="1"/>
    </xf>
    <xf numFmtId="49" fontId="17" fillId="2" borderId="1" xfId="0" applyNumberFormat="1" applyFont="1" applyFill="1" applyBorder="1" applyAlignment="1">
      <alignment horizontal="center" wrapText="1"/>
    </xf>
    <xf numFmtId="164" fontId="17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textRotation="90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textRotation="90" wrapText="1"/>
    </xf>
    <xf numFmtId="0" fontId="11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1" fillId="0" borderId="1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6" fillId="0" borderId="1" xfId="0" applyFont="1" applyFill="1" applyBorder="1" applyAlignment="1">
      <alignment horizontal="right" wrapText="1"/>
    </xf>
    <xf numFmtId="0" fontId="11" fillId="0" borderId="1" xfId="0" applyNumberFormat="1" applyFont="1" applyFill="1" applyBorder="1" applyAlignment="1">
      <alignment vertical="top" wrapText="1"/>
    </xf>
    <xf numFmtId="0" fontId="15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164" fontId="1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 wrapText="1"/>
    </xf>
    <xf numFmtId="49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49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 wrapText="1"/>
    </xf>
    <xf numFmtId="49" fontId="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14" fillId="3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horizontal="right" wrapText="1"/>
    </xf>
    <xf numFmtId="49" fontId="15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center"/>
    </xf>
    <xf numFmtId="0" fontId="15" fillId="3" borderId="0" xfId="0" applyFont="1" applyFill="1" applyAlignment="1">
      <alignment wrapText="1"/>
    </xf>
    <xf numFmtId="0" fontId="14" fillId="3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2" fillId="3" borderId="0" xfId="0" applyFont="1" applyFill="1" applyAlignment="1">
      <alignment wrapText="1"/>
    </xf>
    <xf numFmtId="0" fontId="16" fillId="3" borderId="0" xfId="0" applyFont="1" applyFill="1" applyAlignment="1">
      <alignment wrapText="1"/>
    </xf>
    <xf numFmtId="0" fontId="7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18" fillId="3" borderId="1" xfId="0" applyNumberFormat="1" applyFont="1" applyFill="1" applyBorder="1" applyAlignment="1">
      <alignment horizontal="right" wrapText="1"/>
    </xf>
    <xf numFmtId="49" fontId="18" fillId="3" borderId="1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wrapText="1"/>
    </xf>
    <xf numFmtId="0" fontId="15" fillId="3" borderId="0" xfId="0" applyFont="1" applyFill="1" applyAlignment="1">
      <alignment horizontal="center" wrapText="1"/>
    </xf>
    <xf numFmtId="49" fontId="0" fillId="3" borderId="1" xfId="0" applyNumberFormat="1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right" wrapText="1"/>
    </xf>
    <xf numFmtId="0" fontId="0" fillId="3" borderId="0" xfId="0" applyFont="1" applyFill="1" applyAlignment="1">
      <alignment horizontal="center" wrapText="1"/>
    </xf>
    <xf numFmtId="0" fontId="12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49" fontId="0" fillId="3" borderId="1" xfId="0" applyNumberFormat="1" applyFill="1" applyBorder="1" applyAlignment="1">
      <alignment horizontal="center" wrapText="1"/>
    </xf>
    <xf numFmtId="164" fontId="0" fillId="3" borderId="0" xfId="0" applyNumberFormat="1" applyFont="1" applyFill="1" applyAlignment="1">
      <alignment horizontal="center" wrapText="1"/>
    </xf>
    <xf numFmtId="165" fontId="0" fillId="3" borderId="0" xfId="0" applyNumberFormat="1" applyFont="1" applyFill="1" applyAlignment="1">
      <alignment horizontal="center" wrapText="1"/>
    </xf>
    <xf numFmtId="0" fontId="0" fillId="4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2" fontId="15" fillId="3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right"/>
    </xf>
    <xf numFmtId="0" fontId="5" fillId="4" borderId="0" xfId="0" applyFont="1" applyFill="1" applyAlignment="1">
      <alignment wrapText="1"/>
    </xf>
    <xf numFmtId="164" fontId="2" fillId="4" borderId="1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2" fillId="4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5" fillId="0" borderId="0" xfId="0" applyFont="1" applyFill="1" applyAlignment="1">
      <alignment horizontal="left" wrapText="1"/>
    </xf>
    <xf numFmtId="49" fontId="11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" fontId="3" fillId="0" borderId="2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49" fontId="10" fillId="0" borderId="4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 wrapText="1"/>
    </xf>
    <xf numFmtId="0" fontId="19" fillId="0" borderId="0" xfId="0" applyFont="1" applyFill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1" fontId="19" fillId="0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4"/>
  <sheetViews>
    <sheetView tabSelected="1" topLeftCell="A601" workbookViewId="0">
      <selection activeCell="E616" sqref="E616"/>
    </sheetView>
  </sheetViews>
  <sheetFormatPr defaultColWidth="9.140625" defaultRowHeight="12.75" x14ac:dyDescent="0.2"/>
  <cols>
    <col min="1" max="1" width="53.5703125" style="21" customWidth="1"/>
    <col min="2" max="2" width="6.28515625" style="21" customWidth="1"/>
    <col min="3" max="3" width="4.85546875" style="109" customWidth="1"/>
    <col min="4" max="4" width="6.140625" style="109" customWidth="1"/>
    <col min="5" max="5" width="15.42578125" style="109" customWidth="1"/>
    <col min="6" max="6" width="5.85546875" style="109" customWidth="1"/>
    <col min="7" max="7" width="16.7109375" style="109" customWidth="1"/>
    <col min="8" max="9" width="14.28515625" style="109" customWidth="1"/>
    <col min="10" max="10" width="0.28515625" style="71" hidden="1" customWidth="1"/>
    <col min="11" max="17" width="9.140625" style="71" hidden="1" customWidth="1"/>
    <col min="18" max="16384" width="9.140625" style="21"/>
  </cols>
  <sheetData>
    <row r="1" spans="1:17" ht="15.75" x14ac:dyDescent="0.25">
      <c r="A1" s="131" t="s">
        <v>433</v>
      </c>
      <c r="B1" s="131"/>
      <c r="C1" s="131"/>
      <c r="D1" s="131"/>
      <c r="E1" s="131"/>
      <c r="F1" s="131"/>
      <c r="G1" s="131"/>
      <c r="H1" s="131"/>
      <c r="I1" s="131"/>
    </row>
    <row r="2" spans="1:17" ht="15.75" x14ac:dyDescent="0.25">
      <c r="A2" s="131" t="s">
        <v>77</v>
      </c>
      <c r="B2" s="131"/>
      <c r="C2" s="131"/>
      <c r="D2" s="131"/>
      <c r="E2" s="131"/>
      <c r="F2" s="131"/>
      <c r="G2" s="131"/>
      <c r="H2" s="131"/>
      <c r="I2" s="131"/>
    </row>
    <row r="3" spans="1:17" ht="15.75" x14ac:dyDescent="0.25">
      <c r="A3" s="131" t="s">
        <v>404</v>
      </c>
      <c r="B3" s="131"/>
      <c r="C3" s="131"/>
      <c r="D3" s="131"/>
      <c r="E3" s="131"/>
      <c r="F3" s="131"/>
      <c r="G3" s="131"/>
      <c r="H3" s="131"/>
      <c r="I3" s="131"/>
    </row>
    <row r="5" spans="1:17" ht="12.75" customHeight="1" x14ac:dyDescent="0.2">
      <c r="A5" s="130" t="s">
        <v>84</v>
      </c>
      <c r="B5" s="130"/>
      <c r="C5" s="130"/>
      <c r="D5" s="130"/>
      <c r="E5" s="130"/>
      <c r="F5" s="130"/>
      <c r="G5" s="130"/>
      <c r="H5" s="130"/>
      <c r="I5" s="130"/>
    </row>
    <row r="6" spans="1:17" ht="12.75" customHeight="1" x14ac:dyDescent="0.2">
      <c r="A6" s="130" t="s">
        <v>77</v>
      </c>
      <c r="B6" s="130"/>
      <c r="C6" s="130"/>
      <c r="D6" s="130"/>
      <c r="E6" s="130"/>
      <c r="F6" s="130"/>
      <c r="G6" s="130"/>
      <c r="H6" s="130"/>
      <c r="I6" s="130"/>
    </row>
    <row r="7" spans="1:17" ht="12.75" customHeight="1" x14ac:dyDescent="0.2">
      <c r="A7" s="130" t="s">
        <v>405</v>
      </c>
      <c r="B7" s="130"/>
      <c r="C7" s="130"/>
      <c r="D7" s="130"/>
      <c r="E7" s="130"/>
      <c r="F7" s="130"/>
      <c r="G7" s="130"/>
      <c r="H7" s="130"/>
      <c r="I7" s="130"/>
    </row>
    <row r="8" spans="1:17" ht="12.75" customHeight="1" x14ac:dyDescent="0.2">
      <c r="I8" s="110"/>
    </row>
    <row r="9" spans="1:17" s="112" customFormat="1" ht="18.75" x14ac:dyDescent="0.3">
      <c r="A9" s="134" t="s">
        <v>83</v>
      </c>
      <c r="B9" s="134"/>
      <c r="C9" s="134"/>
      <c r="D9" s="134"/>
      <c r="E9" s="134"/>
      <c r="F9" s="134"/>
      <c r="G9" s="134"/>
      <c r="H9" s="134"/>
      <c r="I9" s="134"/>
      <c r="J9" s="99"/>
      <c r="K9" s="99"/>
      <c r="L9" s="99"/>
      <c r="M9" s="99"/>
      <c r="N9" s="99"/>
      <c r="O9" s="99"/>
      <c r="P9" s="99"/>
      <c r="Q9" s="99"/>
    </row>
    <row r="10" spans="1:17" s="112" customFormat="1" ht="18.75" x14ac:dyDescent="0.3">
      <c r="A10" s="135" t="s">
        <v>375</v>
      </c>
      <c r="B10" s="135"/>
      <c r="C10" s="135"/>
      <c r="D10" s="135"/>
      <c r="E10" s="135"/>
      <c r="F10" s="135"/>
      <c r="G10" s="135"/>
      <c r="H10" s="135"/>
      <c r="I10" s="135"/>
      <c r="J10" s="99"/>
      <c r="K10" s="99"/>
      <c r="L10" s="99"/>
      <c r="M10" s="99"/>
      <c r="N10" s="99"/>
      <c r="O10" s="99"/>
      <c r="P10" s="99"/>
      <c r="Q10" s="99"/>
    </row>
    <row r="11" spans="1:17" s="111" customFormat="1" ht="13.5" thickBot="1" x14ac:dyDescent="0.25">
      <c r="A11" s="136"/>
      <c r="B11" s="136"/>
      <c r="C11" s="136"/>
      <c r="D11" s="136"/>
      <c r="E11" s="136"/>
      <c r="F11" s="136"/>
      <c r="G11" s="136"/>
      <c r="I11" s="124" t="s">
        <v>61</v>
      </c>
      <c r="J11" s="100"/>
      <c r="K11" s="100"/>
      <c r="L11" s="100"/>
      <c r="M11" s="100"/>
      <c r="N11" s="100"/>
      <c r="O11" s="100"/>
      <c r="P11" s="100"/>
      <c r="Q11" s="100"/>
    </row>
    <row r="12" spans="1:17" ht="13.5" customHeight="1" x14ac:dyDescent="0.2">
      <c r="A12" s="137"/>
      <c r="B12" s="139" t="s">
        <v>58</v>
      </c>
      <c r="C12" s="139" t="s">
        <v>7</v>
      </c>
      <c r="D12" s="139" t="s">
        <v>8</v>
      </c>
      <c r="E12" s="139" t="s">
        <v>9</v>
      </c>
      <c r="F12" s="139" t="s">
        <v>10</v>
      </c>
      <c r="G12" s="132" t="s">
        <v>141</v>
      </c>
      <c r="H12" s="132" t="s">
        <v>142</v>
      </c>
      <c r="I12" s="132" t="s">
        <v>374</v>
      </c>
    </row>
    <row r="13" spans="1:17" x14ac:dyDescent="0.2">
      <c r="A13" s="138"/>
      <c r="B13" s="140"/>
      <c r="C13" s="140"/>
      <c r="D13" s="140"/>
      <c r="E13" s="140"/>
      <c r="F13" s="140"/>
      <c r="G13" s="133"/>
      <c r="H13" s="133"/>
      <c r="I13" s="133"/>
    </row>
    <row r="14" spans="1:17" s="141" customFormat="1" ht="11.25" x14ac:dyDescent="0.2">
      <c r="A14" s="142">
        <v>1</v>
      </c>
      <c r="B14" s="142">
        <v>2</v>
      </c>
      <c r="C14" s="142">
        <v>3</v>
      </c>
      <c r="D14" s="142">
        <v>4</v>
      </c>
      <c r="E14" s="142">
        <v>5</v>
      </c>
      <c r="F14" s="142">
        <v>6</v>
      </c>
      <c r="G14" s="143">
        <v>7</v>
      </c>
      <c r="H14" s="143">
        <v>8</v>
      </c>
      <c r="I14" s="143">
        <v>9</v>
      </c>
    </row>
    <row r="15" spans="1:17" s="10" customFormat="1" ht="18" customHeight="1" x14ac:dyDescent="0.2">
      <c r="A15" s="36" t="s">
        <v>44</v>
      </c>
      <c r="B15" s="37">
        <v>900</v>
      </c>
      <c r="C15" s="38"/>
      <c r="D15" s="38"/>
      <c r="E15" s="38"/>
      <c r="F15" s="48"/>
      <c r="G15" s="39">
        <f>G16+G70+G88+G107+G112+G135+G82+G139</f>
        <v>453288.51085000002</v>
      </c>
      <c r="H15" s="39">
        <f>H16+H70+H88+H107+H112+H135+H82+H139</f>
        <v>335954.10000000003</v>
      </c>
      <c r="I15" s="39">
        <f>I16+I70+I88+I107+I112+I135+I82+I139</f>
        <v>320918</v>
      </c>
    </row>
    <row r="16" spans="1:17" s="128" customFormat="1" x14ac:dyDescent="0.2">
      <c r="A16" s="125" t="s">
        <v>59</v>
      </c>
      <c r="B16" s="42">
        <v>900</v>
      </c>
      <c r="C16" s="1" t="s">
        <v>11</v>
      </c>
      <c r="D16" s="126"/>
      <c r="E16" s="126"/>
      <c r="F16" s="127"/>
      <c r="G16" s="2">
        <f>G17+G21+G42+G39+G36</f>
        <v>131226.41933</v>
      </c>
      <c r="H16" s="2">
        <f t="shared" ref="H16:I16" si="0">H17+H21+H42+H39+H36</f>
        <v>85535.1</v>
      </c>
      <c r="I16" s="2">
        <f t="shared" si="0"/>
        <v>85535.1</v>
      </c>
      <c r="J16" s="122"/>
      <c r="K16" s="122"/>
      <c r="L16" s="122"/>
      <c r="M16" s="122"/>
      <c r="N16" s="122"/>
      <c r="O16" s="122"/>
      <c r="P16" s="122"/>
      <c r="Q16" s="122"/>
    </row>
    <row r="17" spans="1:17" s="9" customFormat="1" ht="38.25" x14ac:dyDescent="0.2">
      <c r="A17" s="11" t="s">
        <v>12</v>
      </c>
      <c r="B17" s="14">
        <v>900</v>
      </c>
      <c r="C17" s="8" t="s">
        <v>11</v>
      </c>
      <c r="D17" s="8" t="s">
        <v>13</v>
      </c>
      <c r="E17" s="8"/>
      <c r="F17" s="8"/>
      <c r="G17" s="4">
        <f t="shared" ref="G17:I17" si="1">G18</f>
        <v>2002.6</v>
      </c>
      <c r="H17" s="4">
        <f t="shared" si="1"/>
        <v>1527</v>
      </c>
      <c r="I17" s="4">
        <f t="shared" si="1"/>
        <v>1527</v>
      </c>
      <c r="J17" s="106"/>
      <c r="K17" s="106"/>
      <c r="L17" s="106"/>
      <c r="M17" s="106"/>
      <c r="N17" s="106"/>
      <c r="O17" s="106"/>
      <c r="P17" s="106"/>
      <c r="Q17" s="106"/>
    </row>
    <row r="18" spans="1:17" ht="25.5" x14ac:dyDescent="0.2">
      <c r="A18" s="18" t="s">
        <v>353</v>
      </c>
      <c r="B18" s="22">
        <v>900</v>
      </c>
      <c r="C18" s="19" t="s">
        <v>11</v>
      </c>
      <c r="D18" s="19" t="s">
        <v>13</v>
      </c>
      <c r="E18" s="19" t="s">
        <v>144</v>
      </c>
      <c r="F18" s="19"/>
      <c r="G18" s="20">
        <f>G20+G19</f>
        <v>2002.6</v>
      </c>
      <c r="H18" s="20">
        <f t="shared" ref="H18:I18" si="2">H20+H19</f>
        <v>1527</v>
      </c>
      <c r="I18" s="20">
        <f t="shared" si="2"/>
        <v>1527</v>
      </c>
      <c r="J18" s="104"/>
      <c r="K18" s="104"/>
      <c r="L18" s="104"/>
      <c r="M18" s="104"/>
      <c r="N18" s="104"/>
      <c r="O18" s="104"/>
      <c r="P18" s="104"/>
      <c r="Q18" s="104"/>
    </row>
    <row r="19" spans="1:17" s="26" customFormat="1" ht="51.75" customHeight="1" x14ac:dyDescent="0.2">
      <c r="A19" s="30" t="s">
        <v>65</v>
      </c>
      <c r="B19" s="32">
        <v>900</v>
      </c>
      <c r="C19" s="24" t="s">
        <v>11</v>
      </c>
      <c r="D19" s="24" t="s">
        <v>13</v>
      </c>
      <c r="E19" s="24" t="s">
        <v>144</v>
      </c>
      <c r="F19" s="27" t="s">
        <v>66</v>
      </c>
      <c r="G19" s="25">
        <f>1132.8+50+342.1+2.1+25+25+184.6+35+40+116</f>
        <v>1952.6</v>
      </c>
      <c r="H19" s="25">
        <f>1132.8+50+342.1+2.1</f>
        <v>1527</v>
      </c>
      <c r="I19" s="25">
        <f>1132.8+50+342.1+2.1</f>
        <v>1527</v>
      </c>
      <c r="J19" s="105"/>
      <c r="K19" s="105"/>
      <c r="L19" s="105"/>
      <c r="M19" s="105"/>
      <c r="N19" s="105"/>
      <c r="O19" s="105"/>
      <c r="P19" s="105"/>
      <c r="Q19" s="105"/>
    </row>
    <row r="20" spans="1:17" s="26" customFormat="1" ht="25.5" x14ac:dyDescent="0.2">
      <c r="A20" s="23" t="s">
        <v>136</v>
      </c>
      <c r="B20" s="32">
        <v>900</v>
      </c>
      <c r="C20" s="24" t="s">
        <v>11</v>
      </c>
      <c r="D20" s="24" t="s">
        <v>13</v>
      </c>
      <c r="E20" s="24" t="s">
        <v>144</v>
      </c>
      <c r="F20" s="27" t="s">
        <v>67</v>
      </c>
      <c r="G20" s="25">
        <f>75-25</f>
        <v>50</v>
      </c>
      <c r="H20" s="25">
        <v>0</v>
      </c>
      <c r="I20" s="25">
        <v>0</v>
      </c>
    </row>
    <row r="21" spans="1:17" s="9" customFormat="1" ht="51" x14ac:dyDescent="0.2">
      <c r="A21" s="11" t="s">
        <v>16</v>
      </c>
      <c r="B21" s="14">
        <v>900</v>
      </c>
      <c r="C21" s="8" t="s">
        <v>11</v>
      </c>
      <c r="D21" s="8" t="s">
        <v>17</v>
      </c>
      <c r="E21" s="8"/>
      <c r="F21" s="8"/>
      <c r="G21" s="4">
        <f>G22+G25+G28+G33</f>
        <v>63229</v>
      </c>
      <c r="H21" s="4">
        <f>H22+H25+H28+H33</f>
        <v>48184.500000000007</v>
      </c>
      <c r="I21" s="4">
        <f>I22+I25+I28+I33</f>
        <v>48184.500000000007</v>
      </c>
      <c r="J21" s="106"/>
      <c r="K21" s="106"/>
      <c r="L21" s="106"/>
      <c r="M21" s="106"/>
      <c r="N21" s="106"/>
      <c r="O21" s="106"/>
      <c r="P21" s="106"/>
      <c r="Q21" s="106"/>
    </row>
    <row r="22" spans="1:17" ht="25.5" x14ac:dyDescent="0.2">
      <c r="A22" s="18" t="s">
        <v>145</v>
      </c>
      <c r="B22" s="22">
        <v>900</v>
      </c>
      <c r="C22" s="19" t="s">
        <v>11</v>
      </c>
      <c r="D22" s="19" t="s">
        <v>17</v>
      </c>
      <c r="E22" s="19" t="s">
        <v>88</v>
      </c>
      <c r="F22" s="19"/>
      <c r="G22" s="20">
        <f>G23+G24</f>
        <v>386.9</v>
      </c>
      <c r="H22" s="20">
        <f>H23+H24</f>
        <v>347</v>
      </c>
      <c r="I22" s="20">
        <f>I23+I24</f>
        <v>347</v>
      </c>
      <c r="J22" s="21"/>
      <c r="K22" s="21"/>
      <c r="L22" s="21"/>
      <c r="M22" s="21"/>
      <c r="N22" s="21"/>
      <c r="O22" s="21"/>
      <c r="P22" s="21"/>
      <c r="Q22" s="21"/>
    </row>
    <row r="23" spans="1:17" s="26" customFormat="1" ht="52.5" customHeight="1" x14ac:dyDescent="0.2">
      <c r="A23" s="23" t="s">
        <v>65</v>
      </c>
      <c r="B23" s="31">
        <v>900</v>
      </c>
      <c r="C23" s="24" t="s">
        <v>11</v>
      </c>
      <c r="D23" s="24" t="s">
        <v>17</v>
      </c>
      <c r="E23" s="24" t="s">
        <v>88</v>
      </c>
      <c r="F23" s="27" t="s">
        <v>66</v>
      </c>
      <c r="G23" s="25">
        <f>242.6+73.3+3+39.9</f>
        <v>358.79999999999995</v>
      </c>
      <c r="H23" s="25">
        <f>242.6+73.3+3</f>
        <v>318.89999999999998</v>
      </c>
      <c r="I23" s="25">
        <f>242.6+73.3+3</f>
        <v>318.89999999999998</v>
      </c>
    </row>
    <row r="24" spans="1:17" s="26" customFormat="1" ht="25.5" x14ac:dyDescent="0.2">
      <c r="A24" s="23" t="s">
        <v>136</v>
      </c>
      <c r="B24" s="31">
        <v>900</v>
      </c>
      <c r="C24" s="24" t="s">
        <v>11</v>
      </c>
      <c r="D24" s="24" t="s">
        <v>17</v>
      </c>
      <c r="E24" s="24" t="s">
        <v>88</v>
      </c>
      <c r="F24" s="27" t="s">
        <v>67</v>
      </c>
      <c r="G24" s="25">
        <f>13+15.1</f>
        <v>28.1</v>
      </c>
      <c r="H24" s="25">
        <f>13+15.1</f>
        <v>28.1</v>
      </c>
      <c r="I24" s="25">
        <f>13+15.1</f>
        <v>28.1</v>
      </c>
    </row>
    <row r="25" spans="1:17" s="71" customFormat="1" ht="15" customHeight="1" x14ac:dyDescent="0.2">
      <c r="A25" s="67" t="s">
        <v>146</v>
      </c>
      <c r="B25" s="68">
        <v>900</v>
      </c>
      <c r="C25" s="69" t="s">
        <v>11</v>
      </c>
      <c r="D25" s="69" t="s">
        <v>17</v>
      </c>
      <c r="E25" s="69" t="s">
        <v>87</v>
      </c>
      <c r="F25" s="69"/>
      <c r="G25" s="70">
        <f>G26+G27</f>
        <v>115</v>
      </c>
      <c r="H25" s="70">
        <f t="shared" ref="H25:I25" si="3">H26+H27</f>
        <v>115</v>
      </c>
      <c r="I25" s="70">
        <f t="shared" si="3"/>
        <v>115</v>
      </c>
    </row>
    <row r="26" spans="1:17" s="76" customFormat="1" ht="51.75" customHeight="1" x14ac:dyDescent="0.2">
      <c r="A26" s="77" t="s">
        <v>65</v>
      </c>
      <c r="B26" s="78">
        <v>900</v>
      </c>
      <c r="C26" s="74" t="s">
        <v>11</v>
      </c>
      <c r="D26" s="74" t="s">
        <v>17</v>
      </c>
      <c r="E26" s="74" t="s">
        <v>87</v>
      </c>
      <c r="F26" s="75" t="s">
        <v>66</v>
      </c>
      <c r="G26" s="58">
        <f>82.7+25+5.33964</f>
        <v>113.03964000000001</v>
      </c>
      <c r="H26" s="58">
        <v>107.7</v>
      </c>
      <c r="I26" s="58">
        <v>107.7</v>
      </c>
    </row>
    <row r="27" spans="1:17" s="76" customFormat="1" ht="25.5" x14ac:dyDescent="0.2">
      <c r="A27" s="77" t="s">
        <v>136</v>
      </c>
      <c r="B27" s="78">
        <v>900</v>
      </c>
      <c r="C27" s="74" t="s">
        <v>11</v>
      </c>
      <c r="D27" s="74" t="s">
        <v>17</v>
      </c>
      <c r="E27" s="74" t="s">
        <v>87</v>
      </c>
      <c r="F27" s="75" t="s">
        <v>67</v>
      </c>
      <c r="G27" s="58">
        <f>7.3-5.33964</f>
        <v>1.9603599999999997</v>
      </c>
      <c r="H27" s="58">
        <v>7.3</v>
      </c>
      <c r="I27" s="58">
        <v>7.3</v>
      </c>
    </row>
    <row r="28" spans="1:17" ht="25.5" x14ac:dyDescent="0.2">
      <c r="A28" s="18" t="s">
        <v>353</v>
      </c>
      <c r="B28" s="22">
        <v>900</v>
      </c>
      <c r="C28" s="19" t="s">
        <v>11</v>
      </c>
      <c r="D28" s="19" t="s">
        <v>17</v>
      </c>
      <c r="E28" s="19" t="s">
        <v>147</v>
      </c>
      <c r="F28" s="19"/>
      <c r="G28" s="20">
        <f>SUM(G29:G32)</f>
        <v>57351.5</v>
      </c>
      <c r="H28" s="20">
        <f t="shared" ref="H28:I28" si="4">SUM(H29:H32)</f>
        <v>44448.400000000009</v>
      </c>
      <c r="I28" s="20">
        <f t="shared" si="4"/>
        <v>44448.400000000009</v>
      </c>
      <c r="J28" s="104"/>
      <c r="K28" s="104"/>
      <c r="L28" s="104"/>
      <c r="M28" s="104"/>
      <c r="N28" s="104"/>
      <c r="O28" s="104"/>
      <c r="P28" s="104"/>
      <c r="Q28" s="104"/>
    </row>
    <row r="29" spans="1:17" s="26" customFormat="1" ht="51" customHeight="1" x14ac:dyDescent="0.2">
      <c r="A29" s="30" t="s">
        <v>65</v>
      </c>
      <c r="B29" s="32">
        <v>900</v>
      </c>
      <c r="C29" s="24" t="s">
        <v>11</v>
      </c>
      <c r="D29" s="24" t="s">
        <v>17</v>
      </c>
      <c r="E29" s="24" t="s">
        <v>147</v>
      </c>
      <c r="F29" s="27" t="s">
        <v>66</v>
      </c>
      <c r="G29" s="25">
        <f>24727.4+7467.7+70+321.6+30+4064.6+55-3+25+38.9+4.1-116</f>
        <v>36685.300000000003</v>
      </c>
      <c r="H29" s="25">
        <f>24727.4+7467.7+70+321.6</f>
        <v>32586.7</v>
      </c>
      <c r="I29" s="25">
        <f>24727.4+7467.7+70+321.6</f>
        <v>32586.7</v>
      </c>
      <c r="J29" s="105"/>
      <c r="K29" s="105"/>
      <c r="L29" s="105"/>
      <c r="M29" s="105"/>
      <c r="N29" s="105"/>
      <c r="O29" s="105"/>
      <c r="P29" s="105"/>
      <c r="Q29" s="105"/>
    </row>
    <row r="30" spans="1:17" s="26" customFormat="1" ht="25.5" x14ac:dyDescent="0.2">
      <c r="A30" s="28" t="s">
        <v>75</v>
      </c>
      <c r="B30" s="32">
        <v>900</v>
      </c>
      <c r="C30" s="24" t="s">
        <v>11</v>
      </c>
      <c r="D30" s="24" t="s">
        <v>17</v>
      </c>
      <c r="E30" s="24" t="s">
        <v>147</v>
      </c>
      <c r="F30" s="27" t="s">
        <v>67</v>
      </c>
      <c r="G30" s="25">
        <f>800+980.8+300+100+50+30+2191.3+50+20+4+300+2752+8000+3409.3+10+100+500-75+250-55.1-101.2-5600-25+1794.9+3+1616.8-2.2-234+158.5-50-419+520-25+272-7.4+319.7+1795.9+378+116</f>
        <v>20228.300000000003</v>
      </c>
      <c r="H30" s="25">
        <f>800+980.8+300+100+50+30+2191.3+50+20+4+300+2752+3409.3+10+100+500</f>
        <v>11597.400000000001</v>
      </c>
      <c r="I30" s="25">
        <f>800+980.8+300+100+50+30+2191.3+50+20+4+300+2752+3409.3+10+100+500</f>
        <v>11597.400000000001</v>
      </c>
      <c r="J30" s="105"/>
      <c r="K30" s="105"/>
      <c r="L30" s="105"/>
      <c r="M30" s="105"/>
      <c r="N30" s="105"/>
      <c r="O30" s="105"/>
      <c r="P30" s="105"/>
      <c r="Q30" s="105"/>
    </row>
    <row r="31" spans="1:17" s="76" customFormat="1" x14ac:dyDescent="0.2">
      <c r="A31" s="79" t="s">
        <v>68</v>
      </c>
      <c r="B31" s="78">
        <v>900</v>
      </c>
      <c r="C31" s="74" t="s">
        <v>11</v>
      </c>
      <c r="D31" s="74" t="s">
        <v>17</v>
      </c>
      <c r="E31" s="74" t="s">
        <v>147</v>
      </c>
      <c r="F31" s="74" t="s">
        <v>69</v>
      </c>
      <c r="G31" s="58">
        <v>2.2000000000000002</v>
      </c>
      <c r="H31" s="58">
        <v>0</v>
      </c>
      <c r="I31" s="58">
        <v>0</v>
      </c>
    </row>
    <row r="32" spans="1:17" s="26" customFormat="1" x14ac:dyDescent="0.2">
      <c r="A32" s="28" t="s">
        <v>71</v>
      </c>
      <c r="B32" s="31">
        <v>900</v>
      </c>
      <c r="C32" s="24" t="s">
        <v>11</v>
      </c>
      <c r="D32" s="24" t="s">
        <v>17</v>
      </c>
      <c r="E32" s="24" t="s">
        <v>147</v>
      </c>
      <c r="F32" s="24" t="s">
        <v>72</v>
      </c>
      <c r="G32" s="25">
        <f>10+154.3+50+50+5+140+19+7.4</f>
        <v>435.7</v>
      </c>
      <c r="H32" s="25">
        <f>10+154.3+50+50</f>
        <v>264.3</v>
      </c>
      <c r="I32" s="25">
        <f>10+154.3+50+50</f>
        <v>264.3</v>
      </c>
      <c r="J32" s="105"/>
      <c r="K32" s="105"/>
      <c r="L32" s="105"/>
      <c r="M32" s="105"/>
      <c r="N32" s="105"/>
      <c r="O32" s="105"/>
      <c r="P32" s="105"/>
      <c r="Q32" s="105"/>
    </row>
    <row r="33" spans="1:17" s="71" customFormat="1" ht="25.5" x14ac:dyDescent="0.2">
      <c r="A33" s="67" t="s">
        <v>353</v>
      </c>
      <c r="B33" s="68">
        <v>900</v>
      </c>
      <c r="C33" s="69" t="s">
        <v>11</v>
      </c>
      <c r="D33" s="69" t="s">
        <v>17</v>
      </c>
      <c r="E33" s="69" t="s">
        <v>148</v>
      </c>
      <c r="F33" s="69"/>
      <c r="G33" s="70">
        <f>G34+G35</f>
        <v>5375.6</v>
      </c>
      <c r="H33" s="70">
        <f>H34+H35</f>
        <v>3274.1</v>
      </c>
      <c r="I33" s="70">
        <f>I34+I35</f>
        <v>3274.1</v>
      </c>
    </row>
    <row r="34" spans="1:17" s="26" customFormat="1" ht="52.5" customHeight="1" x14ac:dyDescent="0.2">
      <c r="A34" s="30" t="s">
        <v>65</v>
      </c>
      <c r="B34" s="32">
        <v>900</v>
      </c>
      <c r="C34" s="24" t="s">
        <v>11</v>
      </c>
      <c r="D34" s="24" t="s">
        <v>17</v>
      </c>
      <c r="E34" s="19" t="s">
        <v>148</v>
      </c>
      <c r="F34" s="27" t="s">
        <v>66</v>
      </c>
      <c r="G34" s="25">
        <f>2378.7+718.4+29.8+1827.4</f>
        <v>4954.3</v>
      </c>
      <c r="H34" s="25">
        <f>2378.7+718.4+29.8</f>
        <v>3126.9</v>
      </c>
      <c r="I34" s="25">
        <f>2378.7+718.4+29.8</f>
        <v>3126.9</v>
      </c>
    </row>
    <row r="35" spans="1:17" s="76" customFormat="1" ht="25.5" x14ac:dyDescent="0.2">
      <c r="A35" s="79" t="s">
        <v>75</v>
      </c>
      <c r="B35" s="73">
        <v>900</v>
      </c>
      <c r="C35" s="74" t="s">
        <v>11</v>
      </c>
      <c r="D35" s="74" t="s">
        <v>17</v>
      </c>
      <c r="E35" s="69" t="s">
        <v>148</v>
      </c>
      <c r="F35" s="75" t="s">
        <v>67</v>
      </c>
      <c r="G35" s="58">
        <f>20+5+1+10+111.2+0.1+20+37+54+50+113</f>
        <v>421.29999999999995</v>
      </c>
      <c r="H35" s="58">
        <f>20+5+1+10+111.2</f>
        <v>147.19999999999999</v>
      </c>
      <c r="I35" s="58">
        <f>20+5+1+10+111.2</f>
        <v>147.19999999999999</v>
      </c>
    </row>
    <row r="36" spans="1:17" s="9" customFormat="1" x14ac:dyDescent="0.2">
      <c r="A36" s="11" t="s">
        <v>380</v>
      </c>
      <c r="B36" s="14">
        <v>900</v>
      </c>
      <c r="C36" s="8" t="s">
        <v>11</v>
      </c>
      <c r="D36" s="8" t="s">
        <v>30</v>
      </c>
      <c r="E36" s="8"/>
      <c r="F36" s="8"/>
      <c r="G36" s="4">
        <f>G37</f>
        <v>196.3</v>
      </c>
      <c r="H36" s="4">
        <f t="shared" ref="H36:I37" si="5">H37</f>
        <v>0</v>
      </c>
      <c r="I36" s="4">
        <f t="shared" si="5"/>
        <v>0</v>
      </c>
    </row>
    <row r="37" spans="1:17" ht="38.25" customHeight="1" x14ac:dyDescent="0.2">
      <c r="A37" s="18" t="s">
        <v>381</v>
      </c>
      <c r="B37" s="22">
        <v>900</v>
      </c>
      <c r="C37" s="19" t="s">
        <v>11</v>
      </c>
      <c r="D37" s="19" t="s">
        <v>30</v>
      </c>
      <c r="E37" s="19" t="s">
        <v>415</v>
      </c>
      <c r="F37" s="19"/>
      <c r="G37" s="20">
        <f>G38</f>
        <v>196.3</v>
      </c>
      <c r="H37" s="20">
        <f t="shared" si="5"/>
        <v>0</v>
      </c>
      <c r="I37" s="20">
        <f t="shared" si="5"/>
        <v>0</v>
      </c>
      <c r="J37" s="21"/>
      <c r="K37" s="21"/>
      <c r="L37" s="21"/>
      <c r="M37" s="21"/>
      <c r="N37" s="21"/>
      <c r="O37" s="21"/>
      <c r="P37" s="21"/>
      <c r="Q37" s="21"/>
    </row>
    <row r="38" spans="1:17" s="26" customFormat="1" ht="25.5" x14ac:dyDescent="0.2">
      <c r="A38" s="23" t="s">
        <v>136</v>
      </c>
      <c r="B38" s="31">
        <v>900</v>
      </c>
      <c r="C38" s="24" t="s">
        <v>11</v>
      </c>
      <c r="D38" s="24" t="s">
        <v>30</v>
      </c>
      <c r="E38" s="24" t="s">
        <v>415</v>
      </c>
      <c r="F38" s="27" t="s">
        <v>67</v>
      </c>
      <c r="G38" s="25">
        <v>196.3</v>
      </c>
      <c r="H38" s="25">
        <v>0</v>
      </c>
      <c r="I38" s="25">
        <v>0</v>
      </c>
    </row>
    <row r="39" spans="1:17" s="9" customFormat="1" x14ac:dyDescent="0.2">
      <c r="A39" s="11" t="s">
        <v>21</v>
      </c>
      <c r="B39" s="14">
        <v>900</v>
      </c>
      <c r="C39" s="8" t="s">
        <v>11</v>
      </c>
      <c r="D39" s="8" t="s">
        <v>20</v>
      </c>
      <c r="E39" s="8"/>
      <c r="F39" s="8"/>
      <c r="G39" s="4">
        <f t="shared" ref="G39:I40" si="6">G40</f>
        <v>8128.0193299999992</v>
      </c>
      <c r="H39" s="4">
        <f t="shared" si="6"/>
        <v>1204.0999999999999</v>
      </c>
      <c r="I39" s="4">
        <f t="shared" si="6"/>
        <v>1204.0999999999999</v>
      </c>
      <c r="J39" s="106"/>
      <c r="K39" s="106"/>
      <c r="L39" s="106"/>
      <c r="M39" s="106"/>
      <c r="N39" s="106"/>
      <c r="O39" s="106"/>
      <c r="P39" s="106"/>
      <c r="Q39" s="106"/>
    </row>
    <row r="40" spans="1:17" s="7" customFormat="1" x14ac:dyDescent="0.2">
      <c r="A40" s="18" t="s">
        <v>293</v>
      </c>
      <c r="B40" s="113">
        <v>900</v>
      </c>
      <c r="C40" s="114" t="s">
        <v>11</v>
      </c>
      <c r="D40" s="114" t="s">
        <v>20</v>
      </c>
      <c r="E40" s="19" t="s">
        <v>295</v>
      </c>
      <c r="F40" s="19"/>
      <c r="G40" s="20">
        <f t="shared" si="6"/>
        <v>8128.0193299999992</v>
      </c>
      <c r="H40" s="20">
        <f t="shared" si="6"/>
        <v>1204.0999999999999</v>
      </c>
      <c r="I40" s="20">
        <f t="shared" si="6"/>
        <v>1204.0999999999999</v>
      </c>
      <c r="J40" s="107"/>
      <c r="K40" s="107"/>
      <c r="L40" s="107"/>
      <c r="M40" s="107"/>
      <c r="N40" s="107"/>
      <c r="O40" s="107"/>
      <c r="P40" s="107"/>
      <c r="Q40" s="107"/>
    </row>
    <row r="41" spans="1:17" s="26" customFormat="1" x14ac:dyDescent="0.2">
      <c r="A41" s="28" t="s">
        <v>71</v>
      </c>
      <c r="B41" s="31">
        <v>900</v>
      </c>
      <c r="C41" s="24" t="s">
        <v>11</v>
      </c>
      <c r="D41" s="24" t="s">
        <v>20</v>
      </c>
      <c r="E41" s="24" t="s">
        <v>295</v>
      </c>
      <c r="F41" s="24" t="s">
        <v>72</v>
      </c>
      <c r="G41" s="25">
        <f>1024.8+179.3-99.3+3000+846.4-555.6-1507+416.2-263.9+6.2+0.01933+4948.3+132.6</f>
        <v>8128.0193299999992</v>
      </c>
      <c r="H41" s="25">
        <f>1024.8+179.3</f>
        <v>1204.0999999999999</v>
      </c>
      <c r="I41" s="25">
        <f>1024.8+179.3</f>
        <v>1204.0999999999999</v>
      </c>
      <c r="J41" s="105"/>
      <c r="K41" s="105"/>
      <c r="L41" s="105"/>
      <c r="M41" s="105"/>
      <c r="N41" s="105"/>
      <c r="O41" s="105"/>
      <c r="P41" s="105"/>
      <c r="Q41" s="105"/>
    </row>
    <row r="42" spans="1:17" s="66" customFormat="1" x14ac:dyDescent="0.2">
      <c r="A42" s="62" t="s">
        <v>23</v>
      </c>
      <c r="B42" s="63">
        <v>900</v>
      </c>
      <c r="C42" s="64" t="s">
        <v>11</v>
      </c>
      <c r="D42" s="64" t="s">
        <v>60</v>
      </c>
      <c r="E42" s="64"/>
      <c r="F42" s="64"/>
      <c r="G42" s="65">
        <f>G47+G57+G59+G63+G66+G53+G55+G61+G43+G45+G49+G51+S42+G68</f>
        <v>57670.5</v>
      </c>
      <c r="H42" s="65">
        <f t="shared" ref="H42:I42" si="7">H47+H57+H59+H63+H66+H53+H55+H61+H43+H45+H49+H51+T42+H68</f>
        <v>34619.5</v>
      </c>
      <c r="I42" s="65">
        <f t="shared" si="7"/>
        <v>34619.5</v>
      </c>
    </row>
    <row r="43" spans="1:17" s="71" customFormat="1" x14ac:dyDescent="0.2">
      <c r="A43" s="67" t="s">
        <v>233</v>
      </c>
      <c r="B43" s="68">
        <v>900</v>
      </c>
      <c r="C43" s="69" t="s">
        <v>11</v>
      </c>
      <c r="D43" s="69" t="s">
        <v>60</v>
      </c>
      <c r="E43" s="69" t="s">
        <v>232</v>
      </c>
      <c r="F43" s="69"/>
      <c r="G43" s="70">
        <f>G44</f>
        <v>5580.9000000000005</v>
      </c>
      <c r="H43" s="70">
        <f>H44</f>
        <v>3092.6</v>
      </c>
      <c r="I43" s="70">
        <f>I44</f>
        <v>3092.6</v>
      </c>
    </row>
    <row r="44" spans="1:17" s="76" customFormat="1" x14ac:dyDescent="0.2">
      <c r="A44" s="79" t="s">
        <v>68</v>
      </c>
      <c r="B44" s="78">
        <v>900</v>
      </c>
      <c r="C44" s="74" t="s">
        <v>11</v>
      </c>
      <c r="D44" s="74" t="s">
        <v>60</v>
      </c>
      <c r="E44" s="74" t="s">
        <v>232</v>
      </c>
      <c r="F44" s="74" t="s">
        <v>69</v>
      </c>
      <c r="G44" s="58">
        <f>3092.6+1451.2-10-20+50+186.5+180.6+400+250</f>
        <v>5580.9000000000005</v>
      </c>
      <c r="H44" s="58">
        <v>3092.6</v>
      </c>
      <c r="I44" s="58">
        <v>3092.6</v>
      </c>
    </row>
    <row r="45" spans="1:17" x14ac:dyDescent="0.2">
      <c r="A45" s="18" t="s">
        <v>294</v>
      </c>
      <c r="B45" s="22">
        <v>900</v>
      </c>
      <c r="C45" s="19" t="s">
        <v>11</v>
      </c>
      <c r="D45" s="19" t="s">
        <v>60</v>
      </c>
      <c r="E45" s="19" t="s">
        <v>296</v>
      </c>
      <c r="F45" s="19"/>
      <c r="G45" s="20">
        <f>G46</f>
        <v>1579.6</v>
      </c>
      <c r="H45" s="20">
        <f>H46</f>
        <v>1709.5</v>
      </c>
      <c r="I45" s="20">
        <f>I46</f>
        <v>1709.5</v>
      </c>
      <c r="J45" s="21"/>
      <c r="K45" s="21"/>
      <c r="L45" s="21"/>
      <c r="M45" s="21"/>
      <c r="N45" s="21"/>
      <c r="O45" s="21"/>
      <c r="P45" s="21"/>
      <c r="Q45" s="21"/>
    </row>
    <row r="46" spans="1:17" s="26" customFormat="1" x14ac:dyDescent="0.2">
      <c r="A46" s="28" t="s">
        <v>71</v>
      </c>
      <c r="B46" s="31">
        <v>900</v>
      </c>
      <c r="C46" s="24" t="s">
        <v>11</v>
      </c>
      <c r="D46" s="24" t="s">
        <v>60</v>
      </c>
      <c r="E46" s="24" t="s">
        <v>296</v>
      </c>
      <c r="F46" s="24" t="s">
        <v>72</v>
      </c>
      <c r="G46" s="25">
        <f>1838.9-129.4-129.9</f>
        <v>1579.6</v>
      </c>
      <c r="H46" s="25">
        <f>1838.9-129.4</f>
        <v>1709.5</v>
      </c>
      <c r="I46" s="25">
        <f>1838.9-129.4</f>
        <v>1709.5</v>
      </c>
    </row>
    <row r="47" spans="1:17" s="71" customFormat="1" x14ac:dyDescent="0.2">
      <c r="A47" s="67" t="s">
        <v>149</v>
      </c>
      <c r="B47" s="68">
        <v>900</v>
      </c>
      <c r="C47" s="69" t="s">
        <v>11</v>
      </c>
      <c r="D47" s="69" t="s">
        <v>60</v>
      </c>
      <c r="E47" s="69" t="s">
        <v>150</v>
      </c>
      <c r="F47" s="69"/>
      <c r="G47" s="70">
        <f>G48</f>
        <v>21525.800000000003</v>
      </c>
      <c r="H47" s="70">
        <f>H48</f>
        <v>17922.900000000001</v>
      </c>
      <c r="I47" s="70">
        <f>I48</f>
        <v>17922.900000000001</v>
      </c>
    </row>
    <row r="48" spans="1:17" s="76" customFormat="1" ht="25.5" x14ac:dyDescent="0.2">
      <c r="A48" s="79" t="s">
        <v>143</v>
      </c>
      <c r="B48" s="78">
        <v>900</v>
      </c>
      <c r="C48" s="74" t="s">
        <v>11</v>
      </c>
      <c r="D48" s="74" t="s">
        <v>60</v>
      </c>
      <c r="E48" s="74" t="s">
        <v>150</v>
      </c>
      <c r="F48" s="74" t="s">
        <v>64</v>
      </c>
      <c r="G48" s="58">
        <f>17545.9+213+25+139+1904.8+1332.2-35.1+236.2-60+224.8</f>
        <v>21525.800000000003</v>
      </c>
      <c r="H48" s="58">
        <f>17545.9+213+25+139</f>
        <v>17922.900000000001</v>
      </c>
      <c r="I48" s="58">
        <f>17545.9+213+25+139</f>
        <v>17922.900000000001</v>
      </c>
    </row>
    <row r="49" spans="1:9" s="26" customFormat="1" ht="38.25" x14ac:dyDescent="0.2">
      <c r="A49" s="18" t="s">
        <v>413</v>
      </c>
      <c r="B49" s="31">
        <v>900</v>
      </c>
      <c r="C49" s="24" t="s">
        <v>11</v>
      </c>
      <c r="D49" s="24" t="s">
        <v>60</v>
      </c>
      <c r="E49" s="24" t="s">
        <v>414</v>
      </c>
      <c r="F49" s="24"/>
      <c r="G49" s="25">
        <f>G50</f>
        <v>600</v>
      </c>
      <c r="H49" s="25"/>
      <c r="I49" s="25"/>
    </row>
    <row r="50" spans="1:9" s="26" customFormat="1" ht="25.5" x14ac:dyDescent="0.2">
      <c r="A50" s="28" t="s">
        <v>143</v>
      </c>
      <c r="B50" s="31">
        <v>900</v>
      </c>
      <c r="C50" s="24" t="s">
        <v>11</v>
      </c>
      <c r="D50" s="24" t="s">
        <v>60</v>
      </c>
      <c r="E50" s="24" t="s">
        <v>414</v>
      </c>
      <c r="F50" s="24" t="s">
        <v>64</v>
      </c>
      <c r="G50" s="25">
        <v>600</v>
      </c>
      <c r="H50" s="25"/>
      <c r="I50" s="25"/>
    </row>
    <row r="51" spans="1:9" s="71" customFormat="1" ht="38.25" x14ac:dyDescent="0.2">
      <c r="A51" s="67" t="s">
        <v>413</v>
      </c>
      <c r="B51" s="68">
        <v>900</v>
      </c>
      <c r="C51" s="69" t="s">
        <v>11</v>
      </c>
      <c r="D51" s="69" t="s">
        <v>60</v>
      </c>
      <c r="E51" s="69" t="s">
        <v>416</v>
      </c>
      <c r="F51" s="69"/>
      <c r="G51" s="70">
        <f>G52</f>
        <v>60</v>
      </c>
      <c r="H51" s="70">
        <f>H52</f>
        <v>0</v>
      </c>
      <c r="I51" s="70">
        <f>I52</f>
        <v>0</v>
      </c>
    </row>
    <row r="52" spans="1:9" s="76" customFormat="1" ht="25.5" x14ac:dyDescent="0.2">
      <c r="A52" s="79" t="s">
        <v>143</v>
      </c>
      <c r="B52" s="78">
        <v>900</v>
      </c>
      <c r="C52" s="74" t="s">
        <v>11</v>
      </c>
      <c r="D52" s="74" t="s">
        <v>60</v>
      </c>
      <c r="E52" s="74" t="s">
        <v>416</v>
      </c>
      <c r="F52" s="74" t="s">
        <v>64</v>
      </c>
      <c r="G52" s="58">
        <v>60</v>
      </c>
      <c r="H52" s="58">
        <v>0</v>
      </c>
      <c r="I52" s="58">
        <v>0</v>
      </c>
    </row>
    <row r="53" spans="1:9" s="71" customFormat="1" ht="25.5" x14ac:dyDescent="0.2">
      <c r="A53" s="81" t="s">
        <v>165</v>
      </c>
      <c r="B53" s="81">
        <v>900</v>
      </c>
      <c r="C53" s="69" t="s">
        <v>11</v>
      </c>
      <c r="D53" s="69" t="s">
        <v>60</v>
      </c>
      <c r="E53" s="69" t="s">
        <v>164</v>
      </c>
      <c r="F53" s="82"/>
      <c r="G53" s="83">
        <f>G54</f>
        <v>69.2</v>
      </c>
      <c r="H53" s="83">
        <f>H54</f>
        <v>25.799999999999997</v>
      </c>
      <c r="I53" s="83">
        <f>I54</f>
        <v>25.799999999999997</v>
      </c>
    </row>
    <row r="54" spans="1:9" s="71" customFormat="1" ht="25.5" x14ac:dyDescent="0.2">
      <c r="A54" s="79" t="s">
        <v>143</v>
      </c>
      <c r="B54" s="79">
        <v>900</v>
      </c>
      <c r="C54" s="74" t="s">
        <v>11</v>
      </c>
      <c r="D54" s="74" t="s">
        <v>60</v>
      </c>
      <c r="E54" s="74" t="s">
        <v>164</v>
      </c>
      <c r="F54" s="74" t="s">
        <v>64</v>
      </c>
      <c r="G54" s="58">
        <f>10.2+15.6+35.1+8.3</f>
        <v>69.2</v>
      </c>
      <c r="H54" s="58">
        <f>10.2+15.6</f>
        <v>25.799999999999997</v>
      </c>
      <c r="I54" s="58">
        <f>10.2+15.6</f>
        <v>25.799999999999997</v>
      </c>
    </row>
    <row r="55" spans="1:9" s="21" customFormat="1" x14ac:dyDescent="0.2">
      <c r="A55" s="18" t="s">
        <v>176</v>
      </c>
      <c r="B55" s="22">
        <v>900</v>
      </c>
      <c r="C55" s="19" t="s">
        <v>11</v>
      </c>
      <c r="D55" s="19" t="s">
        <v>60</v>
      </c>
      <c r="E55" s="19" t="s">
        <v>175</v>
      </c>
      <c r="F55" s="19"/>
      <c r="G55" s="20">
        <f>G56</f>
        <v>13130.8</v>
      </c>
      <c r="H55" s="20">
        <f>H56</f>
        <v>0</v>
      </c>
      <c r="I55" s="20">
        <f>I56</f>
        <v>0</v>
      </c>
    </row>
    <row r="56" spans="1:9" s="76" customFormat="1" ht="25.5" x14ac:dyDescent="0.2">
      <c r="A56" s="79" t="s">
        <v>82</v>
      </c>
      <c r="B56" s="78">
        <v>900</v>
      </c>
      <c r="C56" s="74" t="s">
        <v>11</v>
      </c>
      <c r="D56" s="74" t="s">
        <v>60</v>
      </c>
      <c r="E56" s="74" t="s">
        <v>175</v>
      </c>
      <c r="F56" s="74" t="s">
        <v>70</v>
      </c>
      <c r="G56" s="58">
        <f>13130.8</f>
        <v>13130.8</v>
      </c>
      <c r="H56" s="58"/>
      <c r="I56" s="58"/>
    </row>
    <row r="57" spans="1:9" s="21" customFormat="1" ht="38.25" x14ac:dyDescent="0.2">
      <c r="A57" s="18" t="s">
        <v>151</v>
      </c>
      <c r="B57" s="22">
        <v>900</v>
      </c>
      <c r="C57" s="19" t="s">
        <v>11</v>
      </c>
      <c r="D57" s="19" t="s">
        <v>60</v>
      </c>
      <c r="E57" s="19" t="s">
        <v>86</v>
      </c>
      <c r="F57" s="19"/>
      <c r="G57" s="20">
        <f>G58</f>
        <v>120</v>
      </c>
      <c r="H57" s="20">
        <f>H58</f>
        <v>120</v>
      </c>
      <c r="I57" s="20">
        <f>I58</f>
        <v>120</v>
      </c>
    </row>
    <row r="58" spans="1:9" s="26" customFormat="1" ht="25.5" x14ac:dyDescent="0.2">
      <c r="A58" s="28" t="s">
        <v>143</v>
      </c>
      <c r="B58" s="31">
        <v>900</v>
      </c>
      <c r="C58" s="24" t="s">
        <v>11</v>
      </c>
      <c r="D58" s="24" t="s">
        <v>60</v>
      </c>
      <c r="E58" s="24" t="s">
        <v>86</v>
      </c>
      <c r="F58" s="24" t="s">
        <v>64</v>
      </c>
      <c r="G58" s="25">
        <v>120</v>
      </c>
      <c r="H58" s="25">
        <v>120</v>
      </c>
      <c r="I58" s="25">
        <v>120</v>
      </c>
    </row>
    <row r="59" spans="1:9" s="71" customFormat="1" ht="30.75" customHeight="1" x14ac:dyDescent="0.2">
      <c r="A59" s="81" t="s">
        <v>152</v>
      </c>
      <c r="B59" s="84">
        <v>900</v>
      </c>
      <c r="C59" s="69" t="s">
        <v>11</v>
      </c>
      <c r="D59" s="69" t="s">
        <v>60</v>
      </c>
      <c r="E59" s="69" t="s">
        <v>153</v>
      </c>
      <c r="F59" s="69"/>
      <c r="G59" s="70">
        <f>G60</f>
        <v>965.6</v>
      </c>
      <c r="H59" s="70">
        <f>H60</f>
        <v>828</v>
      </c>
      <c r="I59" s="70">
        <f>I60</f>
        <v>828</v>
      </c>
    </row>
    <row r="60" spans="1:9" s="76" customFormat="1" x14ac:dyDescent="0.2">
      <c r="A60" s="79" t="s">
        <v>68</v>
      </c>
      <c r="B60" s="78">
        <v>900</v>
      </c>
      <c r="C60" s="74" t="s">
        <v>11</v>
      </c>
      <c r="D60" s="74" t="s">
        <v>60</v>
      </c>
      <c r="E60" s="74" t="s">
        <v>153</v>
      </c>
      <c r="F60" s="74" t="s">
        <v>69</v>
      </c>
      <c r="G60" s="58">
        <f>828+137.6</f>
        <v>965.6</v>
      </c>
      <c r="H60" s="58">
        <v>828</v>
      </c>
      <c r="I60" s="58">
        <v>828</v>
      </c>
    </row>
    <row r="61" spans="1:9" s="87" customFormat="1" ht="25.5" x14ac:dyDescent="0.2">
      <c r="A61" s="85" t="s">
        <v>154</v>
      </c>
      <c r="B61" s="86">
        <v>900</v>
      </c>
      <c r="C61" s="69" t="s">
        <v>11</v>
      </c>
      <c r="D61" s="69" t="s">
        <v>60</v>
      </c>
      <c r="E61" s="82" t="s">
        <v>155</v>
      </c>
      <c r="F61" s="82"/>
      <c r="G61" s="83">
        <f>G62</f>
        <v>5231.1000000000004</v>
      </c>
      <c r="H61" s="83">
        <f>H62</f>
        <v>3594.8</v>
      </c>
      <c r="I61" s="83">
        <f>I62</f>
        <v>3594.8</v>
      </c>
    </row>
    <row r="62" spans="1:9" s="88" customFormat="1" ht="25.5" x14ac:dyDescent="0.2">
      <c r="A62" s="79" t="s">
        <v>143</v>
      </c>
      <c r="B62" s="78">
        <v>900</v>
      </c>
      <c r="C62" s="74" t="s">
        <v>11</v>
      </c>
      <c r="D62" s="74" t="s">
        <v>60</v>
      </c>
      <c r="E62" s="74" t="s">
        <v>155</v>
      </c>
      <c r="F62" s="74" t="s">
        <v>64</v>
      </c>
      <c r="G62" s="58">
        <f>3565.9+28.9+1162.1+140.8+245.1-8.3+96.6</f>
        <v>5231.1000000000004</v>
      </c>
      <c r="H62" s="58">
        <f>3565.9+28.9</f>
        <v>3594.8</v>
      </c>
      <c r="I62" s="58">
        <f>3565.9+28.9</f>
        <v>3594.8</v>
      </c>
    </row>
    <row r="63" spans="1:9" s="21" customFormat="1" ht="102" x14ac:dyDescent="0.2">
      <c r="A63" s="46" t="s">
        <v>157</v>
      </c>
      <c r="B63" s="22">
        <v>900</v>
      </c>
      <c r="C63" s="19" t="s">
        <v>11</v>
      </c>
      <c r="D63" s="19" t="s">
        <v>60</v>
      </c>
      <c r="E63" s="19" t="s">
        <v>156</v>
      </c>
      <c r="F63" s="19"/>
      <c r="G63" s="20">
        <f>G64+G65</f>
        <v>8023.1</v>
      </c>
      <c r="H63" s="20">
        <f>H64+H65</f>
        <v>7091.5</v>
      </c>
      <c r="I63" s="20">
        <f>I64+I65</f>
        <v>7091.5</v>
      </c>
    </row>
    <row r="64" spans="1:9" s="26" customFormat="1" ht="53.25" customHeight="1" x14ac:dyDescent="0.2">
      <c r="A64" s="23" t="s">
        <v>65</v>
      </c>
      <c r="B64" s="31">
        <v>900</v>
      </c>
      <c r="C64" s="24" t="s">
        <v>11</v>
      </c>
      <c r="D64" s="24" t="s">
        <v>60</v>
      </c>
      <c r="E64" s="24" t="s">
        <v>156</v>
      </c>
      <c r="F64" s="27" t="s">
        <v>66</v>
      </c>
      <c r="G64" s="25">
        <f>5361+1619+67.1+880.9</f>
        <v>7928</v>
      </c>
      <c r="H64" s="25">
        <f>5361+1619+67.1</f>
        <v>7047.1</v>
      </c>
      <c r="I64" s="25">
        <f>5361+1619+67.1</f>
        <v>7047.1</v>
      </c>
    </row>
    <row r="65" spans="1:17" s="76" customFormat="1" ht="25.5" x14ac:dyDescent="0.2">
      <c r="A65" s="79" t="s">
        <v>75</v>
      </c>
      <c r="B65" s="78">
        <v>900</v>
      </c>
      <c r="C65" s="74" t="s">
        <v>11</v>
      </c>
      <c r="D65" s="74" t="s">
        <v>60</v>
      </c>
      <c r="E65" s="74" t="s">
        <v>156</v>
      </c>
      <c r="F65" s="75" t="s">
        <v>67</v>
      </c>
      <c r="G65" s="58">
        <f>34.1+8.3+2+45.7+5</f>
        <v>95.100000000000009</v>
      </c>
      <c r="H65" s="58">
        <f>34.1+8.3+2</f>
        <v>44.400000000000006</v>
      </c>
      <c r="I65" s="58">
        <f>34.1+8.3+2</f>
        <v>44.400000000000006</v>
      </c>
    </row>
    <row r="66" spans="1:17" s="76" customFormat="1" ht="63.75" x14ac:dyDescent="0.2">
      <c r="A66" s="89" t="s">
        <v>158</v>
      </c>
      <c r="B66" s="89">
        <v>900</v>
      </c>
      <c r="C66" s="69" t="s">
        <v>11</v>
      </c>
      <c r="D66" s="69" t="s">
        <v>60</v>
      </c>
      <c r="E66" s="69" t="s">
        <v>159</v>
      </c>
      <c r="F66" s="69"/>
      <c r="G66" s="70">
        <f>G67</f>
        <v>228.8</v>
      </c>
      <c r="H66" s="70">
        <f>H67</f>
        <v>234.4</v>
      </c>
      <c r="I66" s="70">
        <f>I67</f>
        <v>234.4</v>
      </c>
    </row>
    <row r="67" spans="1:17" s="71" customFormat="1" ht="25.5" x14ac:dyDescent="0.2">
      <c r="A67" s="79" t="s">
        <v>75</v>
      </c>
      <c r="B67" s="77">
        <v>900</v>
      </c>
      <c r="C67" s="74" t="s">
        <v>11</v>
      </c>
      <c r="D67" s="74" t="s">
        <v>60</v>
      </c>
      <c r="E67" s="74" t="s">
        <v>159</v>
      </c>
      <c r="F67" s="75" t="s">
        <v>67</v>
      </c>
      <c r="G67" s="58">
        <f>234.4-5.6</f>
        <v>228.8</v>
      </c>
      <c r="H67" s="58">
        <v>234.4</v>
      </c>
      <c r="I67" s="58">
        <v>234.4</v>
      </c>
    </row>
    <row r="68" spans="1:17" s="71" customFormat="1" ht="38.25" x14ac:dyDescent="0.2">
      <c r="A68" s="67" t="s">
        <v>422</v>
      </c>
      <c r="B68" s="77">
        <v>900</v>
      </c>
      <c r="C68" s="74" t="s">
        <v>11</v>
      </c>
      <c r="D68" s="74" t="s">
        <v>60</v>
      </c>
      <c r="E68" s="74" t="s">
        <v>423</v>
      </c>
      <c r="F68" s="75"/>
      <c r="G68" s="58">
        <f>G69</f>
        <v>555.6</v>
      </c>
      <c r="H68" s="58"/>
      <c r="I68" s="58"/>
    </row>
    <row r="69" spans="1:17" ht="25.5" x14ac:dyDescent="0.2">
      <c r="A69" s="28" t="s">
        <v>143</v>
      </c>
      <c r="B69" s="23">
        <v>900</v>
      </c>
      <c r="C69" s="24" t="s">
        <v>11</v>
      </c>
      <c r="D69" s="24" t="s">
        <v>60</v>
      </c>
      <c r="E69" s="24" t="s">
        <v>423</v>
      </c>
      <c r="F69" s="27" t="s">
        <v>64</v>
      </c>
      <c r="G69" s="25">
        <v>555.6</v>
      </c>
      <c r="H69" s="25"/>
      <c r="I69" s="25"/>
      <c r="J69" s="104"/>
      <c r="K69" s="104"/>
      <c r="L69" s="104"/>
      <c r="M69" s="104"/>
      <c r="N69" s="104"/>
      <c r="O69" s="104"/>
      <c r="P69" s="104"/>
      <c r="Q69" s="104"/>
    </row>
    <row r="70" spans="1:17" s="3" customFormat="1" ht="25.5" x14ac:dyDescent="0.2">
      <c r="A70" s="13" t="s">
        <v>5</v>
      </c>
      <c r="B70" s="42">
        <v>900</v>
      </c>
      <c r="C70" s="1" t="s">
        <v>15</v>
      </c>
      <c r="D70" s="1"/>
      <c r="E70" s="1"/>
      <c r="F70" s="1"/>
      <c r="G70" s="2">
        <f>G71</f>
        <v>5017.5999999999995</v>
      </c>
      <c r="H70" s="2">
        <f>H71</f>
        <v>4021.2000000000003</v>
      </c>
      <c r="I70" s="2">
        <f>I71</f>
        <v>4021.2000000000003</v>
      </c>
      <c r="J70" s="120"/>
      <c r="K70" s="120"/>
      <c r="L70" s="120"/>
      <c r="M70" s="120"/>
      <c r="N70" s="120"/>
      <c r="O70" s="120"/>
      <c r="P70" s="120"/>
      <c r="Q70" s="120"/>
    </row>
    <row r="71" spans="1:17" s="9" customFormat="1" ht="38.25" x14ac:dyDescent="0.2">
      <c r="A71" s="11" t="s">
        <v>80</v>
      </c>
      <c r="B71" s="14">
        <v>900</v>
      </c>
      <c r="C71" s="8" t="s">
        <v>15</v>
      </c>
      <c r="D71" s="8" t="s">
        <v>25</v>
      </c>
      <c r="E71" s="8"/>
      <c r="F71" s="8"/>
      <c r="G71" s="4">
        <f>G72+G76+G78+G80</f>
        <v>5017.5999999999995</v>
      </c>
      <c r="H71" s="4">
        <f>H72+H76+H78+H80</f>
        <v>4021.2000000000003</v>
      </c>
      <c r="I71" s="4">
        <f>I72+I76+I78+I80</f>
        <v>4021.2000000000003</v>
      </c>
      <c r="J71" s="106"/>
      <c r="K71" s="106"/>
      <c r="L71" s="106"/>
      <c r="M71" s="106"/>
      <c r="N71" s="106"/>
      <c r="O71" s="106"/>
      <c r="P71" s="106"/>
      <c r="Q71" s="106"/>
    </row>
    <row r="72" spans="1:17" ht="38.25" x14ac:dyDescent="0.2">
      <c r="A72" s="46" t="s">
        <v>161</v>
      </c>
      <c r="B72" s="44">
        <v>900</v>
      </c>
      <c r="C72" s="19" t="s">
        <v>15</v>
      </c>
      <c r="D72" s="19" t="s">
        <v>25</v>
      </c>
      <c r="E72" s="19" t="s">
        <v>160</v>
      </c>
      <c r="F72" s="19"/>
      <c r="G72" s="20">
        <f>G73+G74+G75</f>
        <v>4876.5</v>
      </c>
      <c r="H72" s="20">
        <f>H73+H74+H75</f>
        <v>3906.3</v>
      </c>
      <c r="I72" s="20">
        <f>I73+I74+I75</f>
        <v>3906.3</v>
      </c>
      <c r="J72" s="104"/>
      <c r="K72" s="104"/>
      <c r="L72" s="104"/>
      <c r="M72" s="104"/>
      <c r="N72" s="104"/>
      <c r="O72" s="104"/>
      <c r="P72" s="104"/>
      <c r="Q72" s="104"/>
    </row>
    <row r="73" spans="1:17" s="26" customFormat="1" ht="51" customHeight="1" x14ac:dyDescent="0.2">
      <c r="A73" s="30" t="s">
        <v>65</v>
      </c>
      <c r="B73" s="32">
        <v>900</v>
      </c>
      <c r="C73" s="24" t="s">
        <v>15</v>
      </c>
      <c r="D73" s="24" t="s">
        <v>25</v>
      </c>
      <c r="E73" s="24" t="s">
        <v>160</v>
      </c>
      <c r="F73" s="27" t="s">
        <v>66</v>
      </c>
      <c r="G73" s="25">
        <f>3261.1+31.4+411.6</f>
        <v>3704.1</v>
      </c>
      <c r="H73" s="25">
        <f>3261.1+31.4</f>
        <v>3292.5</v>
      </c>
      <c r="I73" s="25">
        <f>3261.1+31.4</f>
        <v>3292.5</v>
      </c>
    </row>
    <row r="74" spans="1:17" s="76" customFormat="1" ht="25.5" x14ac:dyDescent="0.2">
      <c r="A74" s="79" t="s">
        <v>75</v>
      </c>
      <c r="B74" s="73">
        <v>900</v>
      </c>
      <c r="C74" s="74" t="s">
        <v>15</v>
      </c>
      <c r="D74" s="74" t="s">
        <v>25</v>
      </c>
      <c r="E74" s="74" t="s">
        <v>160</v>
      </c>
      <c r="F74" s="75" t="s">
        <v>67</v>
      </c>
      <c r="G74" s="58">
        <f>170.8+45+148.6+30+209-20.3+543.4+19.1+15</f>
        <v>1160.5999999999999</v>
      </c>
      <c r="H74" s="58">
        <f>170.8+45+148.6+30+209</f>
        <v>603.4</v>
      </c>
      <c r="I74" s="58">
        <f>170.8+45+148.6+30+209</f>
        <v>603.4</v>
      </c>
    </row>
    <row r="75" spans="1:17" s="26" customFormat="1" x14ac:dyDescent="0.2">
      <c r="A75" s="28" t="s">
        <v>71</v>
      </c>
      <c r="B75" s="31">
        <v>900</v>
      </c>
      <c r="C75" s="24" t="s">
        <v>15</v>
      </c>
      <c r="D75" s="24" t="s">
        <v>25</v>
      </c>
      <c r="E75" s="24" t="s">
        <v>160</v>
      </c>
      <c r="F75" s="24" t="s">
        <v>72</v>
      </c>
      <c r="G75" s="25">
        <f>10.4+7.6-6.2</f>
        <v>11.8</v>
      </c>
      <c r="H75" s="25">
        <v>10.4</v>
      </c>
      <c r="I75" s="25">
        <v>10.4</v>
      </c>
      <c r="J75" s="105"/>
      <c r="K75" s="105"/>
      <c r="L75" s="105"/>
      <c r="M75" s="105"/>
      <c r="N75" s="105"/>
      <c r="O75" s="105"/>
      <c r="P75" s="105"/>
      <c r="Q75" s="105"/>
    </row>
    <row r="76" spans="1:17" s="12" customFormat="1" ht="25.5" x14ac:dyDescent="0.2">
      <c r="A76" s="17" t="s">
        <v>165</v>
      </c>
      <c r="B76" s="43">
        <v>900</v>
      </c>
      <c r="C76" s="19" t="s">
        <v>15</v>
      </c>
      <c r="D76" s="19" t="s">
        <v>25</v>
      </c>
      <c r="E76" s="19" t="s">
        <v>164</v>
      </c>
      <c r="F76" s="5"/>
      <c r="G76" s="6">
        <f>G77</f>
        <v>26</v>
      </c>
      <c r="H76" s="6">
        <f>H77</f>
        <v>1</v>
      </c>
      <c r="I76" s="6">
        <f>I77</f>
        <v>1</v>
      </c>
    </row>
    <row r="77" spans="1:17" s="76" customFormat="1" ht="25.5" x14ac:dyDescent="0.2">
      <c r="A77" s="79" t="s">
        <v>75</v>
      </c>
      <c r="B77" s="73">
        <v>900</v>
      </c>
      <c r="C77" s="74" t="s">
        <v>15</v>
      </c>
      <c r="D77" s="74" t="s">
        <v>25</v>
      </c>
      <c r="E77" s="74" t="s">
        <v>164</v>
      </c>
      <c r="F77" s="75" t="s">
        <v>67</v>
      </c>
      <c r="G77" s="58">
        <f>1+40-15</f>
        <v>26</v>
      </c>
      <c r="H77" s="58">
        <v>1</v>
      </c>
      <c r="I77" s="58">
        <v>1</v>
      </c>
    </row>
    <row r="78" spans="1:17" s="87" customFormat="1" x14ac:dyDescent="0.2">
      <c r="A78" s="81" t="s">
        <v>166</v>
      </c>
      <c r="B78" s="84">
        <v>900</v>
      </c>
      <c r="C78" s="69" t="s">
        <v>15</v>
      </c>
      <c r="D78" s="69" t="s">
        <v>25</v>
      </c>
      <c r="E78" s="69" t="s">
        <v>167</v>
      </c>
      <c r="F78" s="82"/>
      <c r="G78" s="83">
        <f>G79</f>
        <v>80.900000000000006</v>
      </c>
      <c r="H78" s="83">
        <f>H79</f>
        <v>80.900000000000006</v>
      </c>
      <c r="I78" s="83">
        <f>I79</f>
        <v>80.900000000000006</v>
      </c>
    </row>
    <row r="79" spans="1:17" s="76" customFormat="1" ht="25.5" x14ac:dyDescent="0.2">
      <c r="A79" s="79" t="s">
        <v>75</v>
      </c>
      <c r="B79" s="73">
        <v>900</v>
      </c>
      <c r="C79" s="74" t="s">
        <v>15</v>
      </c>
      <c r="D79" s="74" t="s">
        <v>25</v>
      </c>
      <c r="E79" s="74" t="s">
        <v>167</v>
      </c>
      <c r="F79" s="75" t="s">
        <v>67</v>
      </c>
      <c r="G79" s="58">
        <f>80.9+19.1-19.1</f>
        <v>80.900000000000006</v>
      </c>
      <c r="H79" s="58">
        <v>80.900000000000006</v>
      </c>
      <c r="I79" s="58">
        <v>80.900000000000006</v>
      </c>
    </row>
    <row r="80" spans="1:17" s="12" customFormat="1" ht="25.5" x14ac:dyDescent="0.2">
      <c r="A80" s="17" t="s">
        <v>168</v>
      </c>
      <c r="B80" s="43">
        <v>900</v>
      </c>
      <c r="C80" s="19" t="s">
        <v>15</v>
      </c>
      <c r="D80" s="19" t="s">
        <v>25</v>
      </c>
      <c r="E80" s="19" t="s">
        <v>169</v>
      </c>
      <c r="F80" s="5"/>
      <c r="G80" s="6">
        <f>G81</f>
        <v>34.200000000000003</v>
      </c>
      <c r="H80" s="6">
        <f>H81</f>
        <v>33</v>
      </c>
      <c r="I80" s="6">
        <f>I81</f>
        <v>33</v>
      </c>
    </row>
    <row r="81" spans="1:17" s="26" customFormat="1" x14ac:dyDescent="0.2">
      <c r="A81" s="28" t="s">
        <v>68</v>
      </c>
      <c r="B81" s="32">
        <v>900</v>
      </c>
      <c r="C81" s="24" t="s">
        <v>15</v>
      </c>
      <c r="D81" s="24" t="s">
        <v>25</v>
      </c>
      <c r="E81" s="19" t="s">
        <v>169</v>
      </c>
      <c r="F81" s="27" t="s">
        <v>69</v>
      </c>
      <c r="G81" s="25">
        <f>33+1.2</f>
        <v>34.200000000000003</v>
      </c>
      <c r="H81" s="25">
        <v>33</v>
      </c>
      <c r="I81" s="25">
        <v>33</v>
      </c>
    </row>
    <row r="82" spans="1:17" s="91" customFormat="1" x14ac:dyDescent="0.2">
      <c r="A82" s="90" t="s">
        <v>26</v>
      </c>
      <c r="B82" s="92">
        <v>900</v>
      </c>
      <c r="C82" s="60" t="s">
        <v>17</v>
      </c>
      <c r="D82" s="60"/>
      <c r="E82" s="60"/>
      <c r="F82" s="93"/>
      <c r="G82" s="61">
        <f>G83</f>
        <v>75</v>
      </c>
      <c r="H82" s="61">
        <f t="shared" ref="H82:I82" si="8">H83</f>
        <v>670.9</v>
      </c>
      <c r="I82" s="61">
        <f t="shared" si="8"/>
        <v>670.9</v>
      </c>
    </row>
    <row r="83" spans="1:17" s="66" customFormat="1" x14ac:dyDescent="0.2">
      <c r="A83" s="62" t="s">
        <v>28</v>
      </c>
      <c r="B83" s="63">
        <v>900</v>
      </c>
      <c r="C83" s="64" t="s">
        <v>17</v>
      </c>
      <c r="D83" s="64" t="s">
        <v>22</v>
      </c>
      <c r="E83" s="64"/>
      <c r="F83" s="64"/>
      <c r="G83" s="65">
        <f>G84+G86</f>
        <v>75</v>
      </c>
      <c r="H83" s="65">
        <f t="shared" ref="H83:I83" si="9">H84+H86</f>
        <v>670.9</v>
      </c>
      <c r="I83" s="65">
        <f t="shared" si="9"/>
        <v>670.9</v>
      </c>
    </row>
    <row r="84" spans="1:17" ht="25.5" x14ac:dyDescent="0.2">
      <c r="A84" s="18" t="s">
        <v>171</v>
      </c>
      <c r="B84" s="22">
        <v>900</v>
      </c>
      <c r="C84" s="19" t="s">
        <v>17</v>
      </c>
      <c r="D84" s="19" t="s">
        <v>22</v>
      </c>
      <c r="E84" s="19" t="s">
        <v>170</v>
      </c>
      <c r="F84" s="19"/>
      <c r="G84" s="20">
        <f>G85</f>
        <v>75</v>
      </c>
      <c r="H84" s="20">
        <f>H85</f>
        <v>75</v>
      </c>
      <c r="I84" s="20">
        <f>I85</f>
        <v>75</v>
      </c>
      <c r="J84" s="21"/>
      <c r="K84" s="21"/>
      <c r="L84" s="21"/>
      <c r="M84" s="21"/>
      <c r="N84" s="21"/>
      <c r="O84" s="21"/>
      <c r="P84" s="21"/>
      <c r="Q84" s="21"/>
    </row>
    <row r="85" spans="1:17" s="26" customFormat="1" ht="25.5" x14ac:dyDescent="0.2">
      <c r="A85" s="28" t="s">
        <v>75</v>
      </c>
      <c r="B85" s="31">
        <v>900</v>
      </c>
      <c r="C85" s="24" t="s">
        <v>17</v>
      </c>
      <c r="D85" s="24" t="s">
        <v>22</v>
      </c>
      <c r="E85" s="24" t="s">
        <v>170</v>
      </c>
      <c r="F85" s="24" t="s">
        <v>67</v>
      </c>
      <c r="G85" s="25">
        <v>75</v>
      </c>
      <c r="H85" s="25">
        <v>75</v>
      </c>
      <c r="I85" s="25">
        <v>75</v>
      </c>
    </row>
    <row r="86" spans="1:17" s="71" customFormat="1" ht="25.5" x14ac:dyDescent="0.2">
      <c r="A86" s="67" t="s">
        <v>172</v>
      </c>
      <c r="B86" s="81">
        <v>900</v>
      </c>
      <c r="C86" s="69" t="s">
        <v>17</v>
      </c>
      <c r="D86" s="69" t="s">
        <v>22</v>
      </c>
      <c r="E86" s="69" t="s">
        <v>365</v>
      </c>
      <c r="F86" s="69"/>
      <c r="G86" s="70">
        <f>G87</f>
        <v>0</v>
      </c>
      <c r="H86" s="70">
        <f>H87</f>
        <v>595.9</v>
      </c>
      <c r="I86" s="70">
        <f>I87</f>
        <v>595.9</v>
      </c>
    </row>
    <row r="87" spans="1:17" s="76" customFormat="1" x14ac:dyDescent="0.2">
      <c r="A87" s="79" t="s">
        <v>71</v>
      </c>
      <c r="B87" s="77">
        <v>900</v>
      </c>
      <c r="C87" s="74" t="s">
        <v>17</v>
      </c>
      <c r="D87" s="74" t="s">
        <v>22</v>
      </c>
      <c r="E87" s="74" t="s">
        <v>365</v>
      </c>
      <c r="F87" s="75" t="s">
        <v>72</v>
      </c>
      <c r="G87" s="58">
        <f>595.9-595.9</f>
        <v>0</v>
      </c>
      <c r="H87" s="58">
        <v>595.9</v>
      </c>
      <c r="I87" s="58">
        <v>595.9</v>
      </c>
    </row>
    <row r="88" spans="1:17" s="3" customFormat="1" x14ac:dyDescent="0.2">
      <c r="A88" s="13" t="s">
        <v>29</v>
      </c>
      <c r="B88" s="42">
        <v>900</v>
      </c>
      <c r="C88" s="1" t="s">
        <v>30</v>
      </c>
      <c r="D88" s="1"/>
      <c r="E88" s="1"/>
      <c r="F88" s="1"/>
      <c r="G88" s="2">
        <f>G89+G102</f>
        <v>31935.8</v>
      </c>
      <c r="H88" s="2">
        <f t="shared" ref="H88:I88" si="10">H89+H102</f>
        <v>1965.5</v>
      </c>
      <c r="I88" s="2">
        <f t="shared" si="10"/>
        <v>32091.3</v>
      </c>
      <c r="J88" s="120"/>
      <c r="K88" s="120"/>
      <c r="L88" s="120"/>
      <c r="M88" s="120"/>
      <c r="N88" s="120"/>
      <c r="O88" s="120"/>
      <c r="P88" s="120"/>
      <c r="Q88" s="120"/>
    </row>
    <row r="89" spans="1:17" s="9" customFormat="1" x14ac:dyDescent="0.2">
      <c r="A89" s="11" t="s">
        <v>31</v>
      </c>
      <c r="B89" s="14">
        <v>900</v>
      </c>
      <c r="C89" s="8" t="s">
        <v>30</v>
      </c>
      <c r="D89" s="8" t="s">
        <v>11</v>
      </c>
      <c r="E89" s="8"/>
      <c r="F89" s="8"/>
      <c r="G89" s="4">
        <f>G96+G99+G92+G90+G94</f>
        <v>31835.8</v>
      </c>
      <c r="H89" s="4">
        <f t="shared" ref="H89:I89" si="11">H96+H99+H92+H90</f>
        <v>1965.5</v>
      </c>
      <c r="I89" s="4">
        <f t="shared" si="11"/>
        <v>32091.3</v>
      </c>
      <c r="J89" s="106"/>
      <c r="K89" s="106"/>
      <c r="L89" s="106"/>
      <c r="M89" s="106"/>
      <c r="N89" s="106"/>
      <c r="O89" s="106"/>
      <c r="P89" s="106"/>
      <c r="Q89" s="106"/>
    </row>
    <row r="90" spans="1:17" ht="25.5" x14ac:dyDescent="0.2">
      <c r="A90" s="18" t="s">
        <v>389</v>
      </c>
      <c r="B90" s="18">
        <v>900</v>
      </c>
      <c r="C90" s="19" t="s">
        <v>30</v>
      </c>
      <c r="D90" s="19" t="s">
        <v>11</v>
      </c>
      <c r="E90" s="19" t="s">
        <v>390</v>
      </c>
      <c r="F90" s="19"/>
      <c r="G90" s="20">
        <f>G91</f>
        <v>567.20000000000005</v>
      </c>
      <c r="H90" s="20">
        <f>H91</f>
        <v>0</v>
      </c>
      <c r="I90" s="20">
        <f>I91</f>
        <v>0</v>
      </c>
      <c r="J90" s="104"/>
      <c r="K90" s="104"/>
      <c r="L90" s="104"/>
      <c r="M90" s="104"/>
      <c r="N90" s="104"/>
      <c r="O90" s="104"/>
      <c r="P90" s="104"/>
      <c r="Q90" s="104"/>
    </row>
    <row r="91" spans="1:17" s="26" customFormat="1" ht="25.5" x14ac:dyDescent="0.2">
      <c r="A91" s="28" t="s">
        <v>75</v>
      </c>
      <c r="B91" s="28">
        <v>900</v>
      </c>
      <c r="C91" s="24" t="s">
        <v>30</v>
      </c>
      <c r="D91" s="24" t="s">
        <v>11</v>
      </c>
      <c r="E91" s="24" t="s">
        <v>390</v>
      </c>
      <c r="F91" s="27" t="s">
        <v>67</v>
      </c>
      <c r="G91" s="25">
        <f>200+977+500+500-1609.8</f>
        <v>567.20000000000005</v>
      </c>
      <c r="H91" s="25">
        <v>0</v>
      </c>
      <c r="I91" s="25">
        <v>0</v>
      </c>
      <c r="J91" s="105"/>
      <c r="K91" s="105"/>
      <c r="L91" s="105"/>
      <c r="M91" s="105"/>
      <c r="N91" s="105"/>
      <c r="O91" s="105"/>
      <c r="P91" s="105"/>
      <c r="Q91" s="105"/>
    </row>
    <row r="92" spans="1:17" ht="38.25" x14ac:dyDescent="0.2">
      <c r="A92" s="18" t="s">
        <v>421</v>
      </c>
      <c r="B92" s="18">
        <v>900</v>
      </c>
      <c r="C92" s="19" t="s">
        <v>30</v>
      </c>
      <c r="D92" s="19" t="s">
        <v>11</v>
      </c>
      <c r="E92" s="19" t="s">
        <v>394</v>
      </c>
      <c r="F92" s="19"/>
      <c r="G92" s="20">
        <f>G93</f>
        <v>100</v>
      </c>
      <c r="H92" s="20">
        <f>H93</f>
        <v>0</v>
      </c>
      <c r="I92" s="20">
        <f>I93</f>
        <v>0</v>
      </c>
      <c r="J92" s="21"/>
      <c r="K92" s="21"/>
      <c r="L92" s="21"/>
      <c r="M92" s="21"/>
      <c r="N92" s="21"/>
      <c r="O92" s="21"/>
      <c r="P92" s="21"/>
      <c r="Q92" s="21"/>
    </row>
    <row r="93" spans="1:17" s="26" customFormat="1" x14ac:dyDescent="0.2">
      <c r="A93" s="28" t="s">
        <v>71</v>
      </c>
      <c r="B93" s="28">
        <v>900</v>
      </c>
      <c r="C93" s="24" t="s">
        <v>30</v>
      </c>
      <c r="D93" s="24" t="s">
        <v>11</v>
      </c>
      <c r="E93" s="24" t="s">
        <v>394</v>
      </c>
      <c r="F93" s="27" t="s">
        <v>72</v>
      </c>
      <c r="G93" s="25">
        <v>100</v>
      </c>
      <c r="H93" s="25">
        <v>0</v>
      </c>
      <c r="I93" s="25">
        <v>0</v>
      </c>
    </row>
    <row r="94" spans="1:17" x14ac:dyDescent="0.2">
      <c r="A94" s="18" t="s">
        <v>419</v>
      </c>
      <c r="B94" s="18">
        <v>900</v>
      </c>
      <c r="C94" s="19" t="s">
        <v>30</v>
      </c>
      <c r="D94" s="19" t="s">
        <v>11</v>
      </c>
      <c r="E94" s="19" t="s">
        <v>420</v>
      </c>
      <c r="F94" s="129"/>
      <c r="G94" s="20">
        <f>G95</f>
        <v>0</v>
      </c>
      <c r="H94" s="20"/>
      <c r="I94" s="20"/>
      <c r="J94" s="104"/>
      <c r="K94" s="104"/>
      <c r="L94" s="104"/>
      <c r="M94" s="104"/>
      <c r="N94" s="104"/>
      <c r="O94" s="104"/>
      <c r="P94" s="104"/>
      <c r="Q94" s="104"/>
    </row>
    <row r="95" spans="1:17" s="26" customFormat="1" ht="25.5" x14ac:dyDescent="0.2">
      <c r="A95" s="28" t="s">
        <v>82</v>
      </c>
      <c r="B95" s="28">
        <v>900</v>
      </c>
      <c r="C95" s="24" t="s">
        <v>30</v>
      </c>
      <c r="D95" s="24" t="s">
        <v>11</v>
      </c>
      <c r="E95" s="24" t="s">
        <v>420</v>
      </c>
      <c r="F95" s="27" t="s">
        <v>70</v>
      </c>
      <c r="G95" s="25">
        <f>37000-37000</f>
        <v>0</v>
      </c>
      <c r="H95" s="25"/>
      <c r="I95" s="25"/>
      <c r="J95" s="105"/>
      <c r="K95" s="105"/>
      <c r="L95" s="105"/>
      <c r="M95" s="105"/>
      <c r="N95" s="105"/>
      <c r="O95" s="105"/>
      <c r="P95" s="105"/>
      <c r="Q95" s="105"/>
    </row>
    <row r="96" spans="1:17" x14ac:dyDescent="0.2">
      <c r="A96" s="18" t="s">
        <v>176</v>
      </c>
      <c r="B96" s="22">
        <v>900</v>
      </c>
      <c r="C96" s="19" t="s">
        <v>30</v>
      </c>
      <c r="D96" s="19" t="s">
        <v>11</v>
      </c>
      <c r="E96" s="19" t="s">
        <v>175</v>
      </c>
      <c r="F96" s="19"/>
      <c r="G96" s="20">
        <f>G97+G98</f>
        <v>22429.9</v>
      </c>
      <c r="H96" s="20">
        <f t="shared" ref="H96:I96" si="12">H97+H98</f>
        <v>1213.3</v>
      </c>
      <c r="I96" s="20">
        <f t="shared" si="12"/>
        <v>15919</v>
      </c>
      <c r="J96" s="104"/>
      <c r="K96" s="104"/>
      <c r="L96" s="104"/>
      <c r="M96" s="104"/>
      <c r="N96" s="104"/>
      <c r="O96" s="104"/>
      <c r="P96" s="104"/>
      <c r="Q96" s="104"/>
    </row>
    <row r="97" spans="1:17" s="26" customFormat="1" ht="25.5" x14ac:dyDescent="0.2">
      <c r="A97" s="28" t="s">
        <v>75</v>
      </c>
      <c r="B97" s="32">
        <v>900</v>
      </c>
      <c r="C97" s="24" t="s">
        <v>30</v>
      </c>
      <c r="D97" s="24" t="s">
        <v>11</v>
      </c>
      <c r="E97" s="24" t="s">
        <v>175</v>
      </c>
      <c r="F97" s="27" t="s">
        <v>67</v>
      </c>
      <c r="G97" s="25">
        <f>380.9+16815.6-977-4519.5+1563.1+2800-0.02583</f>
        <v>16063.07417</v>
      </c>
      <c r="H97" s="25">
        <f>20.5+1192.8</f>
        <v>1213.3</v>
      </c>
      <c r="I97" s="25">
        <f>134.1+11880.2</f>
        <v>12014.300000000001</v>
      </c>
      <c r="J97" s="105"/>
      <c r="K97" s="105"/>
      <c r="L97" s="105"/>
      <c r="M97" s="105"/>
      <c r="N97" s="105"/>
      <c r="O97" s="105"/>
      <c r="P97" s="105"/>
      <c r="Q97" s="105"/>
    </row>
    <row r="98" spans="1:17" s="26" customFormat="1" ht="23.25" customHeight="1" x14ac:dyDescent="0.2">
      <c r="A98" s="28" t="s">
        <v>82</v>
      </c>
      <c r="B98" s="31">
        <v>900</v>
      </c>
      <c r="C98" s="24" t="s">
        <v>30</v>
      </c>
      <c r="D98" s="24" t="s">
        <v>11</v>
      </c>
      <c r="E98" s="24" t="s">
        <v>175</v>
      </c>
      <c r="F98" s="24" t="s">
        <v>70</v>
      </c>
      <c r="G98" s="25">
        <f>6393.9-200-811.3-88.7+875.6+339.5-142.2+0.02583</f>
        <v>6366.8258299999998</v>
      </c>
      <c r="H98" s="25">
        <f>468.1-468.1</f>
        <v>0</v>
      </c>
      <c r="I98" s="25">
        <v>3904.7</v>
      </c>
      <c r="J98" s="105"/>
      <c r="K98" s="105"/>
      <c r="L98" s="105"/>
      <c r="M98" s="105"/>
      <c r="N98" s="105"/>
      <c r="O98" s="105"/>
      <c r="P98" s="105"/>
      <c r="Q98" s="105"/>
    </row>
    <row r="99" spans="1:17" x14ac:dyDescent="0.2">
      <c r="A99" s="18" t="s">
        <v>178</v>
      </c>
      <c r="B99" s="22">
        <v>900</v>
      </c>
      <c r="C99" s="19" t="s">
        <v>30</v>
      </c>
      <c r="D99" s="19" t="s">
        <v>11</v>
      </c>
      <c r="E99" s="24" t="s">
        <v>177</v>
      </c>
      <c r="F99" s="19"/>
      <c r="G99" s="20">
        <f>G101+G100</f>
        <v>8738.6999999999989</v>
      </c>
      <c r="H99" s="20">
        <f t="shared" ref="H99:I99" si="13">H101+H100</f>
        <v>752.19999999999993</v>
      </c>
      <c r="I99" s="20">
        <f t="shared" si="13"/>
        <v>16172.3</v>
      </c>
      <c r="J99" s="104"/>
      <c r="K99" s="104"/>
      <c r="L99" s="104"/>
      <c r="M99" s="104"/>
      <c r="N99" s="104"/>
      <c r="O99" s="104"/>
      <c r="P99" s="104"/>
      <c r="Q99" s="104"/>
    </row>
    <row r="100" spans="1:17" s="26" customFormat="1" ht="25.5" x14ac:dyDescent="0.2">
      <c r="A100" s="28" t="s">
        <v>75</v>
      </c>
      <c r="B100" s="22">
        <v>900</v>
      </c>
      <c r="C100" s="19" t="s">
        <v>30</v>
      </c>
      <c r="D100" s="19" t="s">
        <v>11</v>
      </c>
      <c r="E100" s="24" t="s">
        <v>177</v>
      </c>
      <c r="F100" s="24" t="s">
        <v>67</v>
      </c>
      <c r="G100" s="25">
        <f>19742.5-100-1758.7-16900+118+500+44.7+4900+86.6-48</f>
        <v>6585.0999999999995</v>
      </c>
      <c r="H100" s="25">
        <f>1313.1-560.9</f>
        <v>752.19999999999993</v>
      </c>
      <c r="I100" s="25">
        <v>10187.9</v>
      </c>
      <c r="J100" s="105"/>
      <c r="K100" s="105"/>
      <c r="L100" s="105"/>
      <c r="M100" s="105"/>
      <c r="N100" s="105"/>
      <c r="O100" s="105"/>
      <c r="P100" s="105"/>
      <c r="Q100" s="105"/>
    </row>
    <row r="101" spans="1:17" s="26" customFormat="1" ht="25.5" x14ac:dyDescent="0.2">
      <c r="A101" s="28" t="s">
        <v>82</v>
      </c>
      <c r="B101" s="22">
        <v>900</v>
      </c>
      <c r="C101" s="19" t="s">
        <v>30</v>
      </c>
      <c r="D101" s="19" t="s">
        <v>11</v>
      </c>
      <c r="E101" s="24" t="s">
        <v>177</v>
      </c>
      <c r="F101" s="24" t="s">
        <v>70</v>
      </c>
      <c r="G101" s="25">
        <f>6400+6200-5700-118-500-875.6-44.7-1563.1-339.5-86.6-1218.9</f>
        <v>2153.6</v>
      </c>
      <c r="H101" s="25">
        <f>568.1-568.1</f>
        <v>0</v>
      </c>
      <c r="I101" s="25">
        <v>5984.4</v>
      </c>
      <c r="J101" s="105"/>
      <c r="K101" s="105"/>
      <c r="L101" s="105"/>
      <c r="M101" s="105"/>
      <c r="N101" s="105"/>
      <c r="O101" s="105"/>
      <c r="P101" s="105"/>
      <c r="Q101" s="105"/>
    </row>
    <row r="102" spans="1:17" s="9" customFormat="1" x14ac:dyDescent="0.2">
      <c r="A102" s="11" t="s">
        <v>32</v>
      </c>
      <c r="B102" s="14">
        <v>900</v>
      </c>
      <c r="C102" s="8" t="s">
        <v>30</v>
      </c>
      <c r="D102" s="8" t="s">
        <v>13</v>
      </c>
      <c r="E102" s="8"/>
      <c r="F102" s="8"/>
      <c r="G102" s="4">
        <f>G103+G105</f>
        <v>100</v>
      </c>
      <c r="H102" s="4">
        <f t="shared" ref="H102:I102" si="14">H103+H105</f>
        <v>0</v>
      </c>
      <c r="I102" s="4">
        <f t="shared" si="14"/>
        <v>0</v>
      </c>
    </row>
    <row r="103" spans="1:17" s="7" customFormat="1" ht="25.5" x14ac:dyDescent="0.2">
      <c r="A103" s="17" t="s">
        <v>306</v>
      </c>
      <c r="B103" s="43">
        <v>900</v>
      </c>
      <c r="C103" s="19" t="s">
        <v>30</v>
      </c>
      <c r="D103" s="19" t="s">
        <v>13</v>
      </c>
      <c r="E103" s="19" t="s">
        <v>305</v>
      </c>
      <c r="F103" s="19"/>
      <c r="G103" s="20">
        <f>G104</f>
        <v>50</v>
      </c>
      <c r="H103" s="20">
        <f t="shared" ref="H103:I103" si="15">H104</f>
        <v>0</v>
      </c>
      <c r="I103" s="20">
        <f t="shared" si="15"/>
        <v>0</v>
      </c>
    </row>
    <row r="104" spans="1:17" s="7" customFormat="1" x14ac:dyDescent="0.2">
      <c r="A104" s="28" t="s">
        <v>71</v>
      </c>
      <c r="B104" s="31">
        <v>900</v>
      </c>
      <c r="C104" s="24" t="s">
        <v>30</v>
      </c>
      <c r="D104" s="24" t="s">
        <v>13</v>
      </c>
      <c r="E104" s="24" t="s">
        <v>305</v>
      </c>
      <c r="F104" s="24" t="s">
        <v>72</v>
      </c>
      <c r="G104" s="25">
        <v>50</v>
      </c>
      <c r="H104" s="25">
        <v>0</v>
      </c>
      <c r="I104" s="25">
        <v>0</v>
      </c>
    </row>
    <row r="105" spans="1:17" s="7" customFormat="1" x14ac:dyDescent="0.2">
      <c r="A105" s="17" t="s">
        <v>397</v>
      </c>
      <c r="B105" s="43">
        <v>900</v>
      </c>
      <c r="C105" s="19" t="s">
        <v>30</v>
      </c>
      <c r="D105" s="19" t="s">
        <v>13</v>
      </c>
      <c r="E105" s="19" t="s">
        <v>398</v>
      </c>
      <c r="F105" s="19"/>
      <c r="G105" s="20">
        <f>G106</f>
        <v>50</v>
      </c>
      <c r="H105" s="20">
        <f t="shared" ref="H105:I105" si="16">H106</f>
        <v>0</v>
      </c>
      <c r="I105" s="20">
        <f t="shared" si="16"/>
        <v>0</v>
      </c>
    </row>
    <row r="106" spans="1:17" s="7" customFormat="1" x14ac:dyDescent="0.2">
      <c r="A106" s="28" t="s">
        <v>71</v>
      </c>
      <c r="B106" s="31">
        <v>900</v>
      </c>
      <c r="C106" s="24" t="s">
        <v>30</v>
      </c>
      <c r="D106" s="24" t="s">
        <v>13</v>
      </c>
      <c r="E106" s="24" t="s">
        <v>398</v>
      </c>
      <c r="F106" s="24" t="s">
        <v>72</v>
      </c>
      <c r="G106" s="25">
        <v>50</v>
      </c>
      <c r="H106" s="25">
        <v>0</v>
      </c>
      <c r="I106" s="25">
        <v>0</v>
      </c>
    </row>
    <row r="107" spans="1:17" s="3" customFormat="1" x14ac:dyDescent="0.2">
      <c r="A107" s="13" t="s">
        <v>36</v>
      </c>
      <c r="B107" s="42">
        <v>900</v>
      </c>
      <c r="C107" s="1" t="s">
        <v>18</v>
      </c>
      <c r="D107" s="1"/>
      <c r="E107" s="1"/>
      <c r="F107" s="1"/>
      <c r="G107" s="2">
        <f t="shared" ref="G107:I108" si="17">G108</f>
        <v>148.69999999999999</v>
      </c>
      <c r="H107" s="2">
        <f t="shared" si="17"/>
        <v>148.69999999999999</v>
      </c>
      <c r="I107" s="2">
        <f t="shared" si="17"/>
        <v>148.69999999999999</v>
      </c>
    </row>
    <row r="108" spans="1:17" s="9" customFormat="1" x14ac:dyDescent="0.2">
      <c r="A108" s="11" t="s">
        <v>39</v>
      </c>
      <c r="B108" s="14">
        <v>900</v>
      </c>
      <c r="C108" s="8" t="s">
        <v>18</v>
      </c>
      <c r="D108" s="8" t="s">
        <v>18</v>
      </c>
      <c r="E108" s="8"/>
      <c r="F108" s="8"/>
      <c r="G108" s="4">
        <f t="shared" si="17"/>
        <v>148.69999999999999</v>
      </c>
      <c r="H108" s="4">
        <f t="shared" si="17"/>
        <v>148.69999999999999</v>
      </c>
      <c r="I108" s="4">
        <f t="shared" si="17"/>
        <v>148.69999999999999</v>
      </c>
    </row>
    <row r="109" spans="1:17" ht="25.5" x14ac:dyDescent="0.2">
      <c r="A109" s="18" t="s">
        <v>180</v>
      </c>
      <c r="B109" s="22">
        <v>900</v>
      </c>
      <c r="C109" s="19" t="s">
        <v>18</v>
      </c>
      <c r="D109" s="19" t="s">
        <v>18</v>
      </c>
      <c r="E109" s="19" t="s">
        <v>179</v>
      </c>
      <c r="F109" s="19"/>
      <c r="G109" s="20">
        <f>G110+G111</f>
        <v>148.69999999999999</v>
      </c>
      <c r="H109" s="20">
        <f>H110+H111</f>
        <v>148.69999999999999</v>
      </c>
      <c r="I109" s="20">
        <f>I110+I111</f>
        <v>148.69999999999999</v>
      </c>
      <c r="J109" s="21"/>
      <c r="K109" s="21"/>
      <c r="L109" s="21"/>
      <c r="M109" s="21"/>
      <c r="N109" s="21"/>
      <c r="O109" s="21"/>
      <c r="P109" s="21"/>
      <c r="Q109" s="21"/>
    </row>
    <row r="110" spans="1:17" s="26" customFormat="1" ht="25.5" x14ac:dyDescent="0.2">
      <c r="A110" s="28" t="s">
        <v>75</v>
      </c>
      <c r="B110" s="31">
        <v>900</v>
      </c>
      <c r="C110" s="24" t="s">
        <v>18</v>
      </c>
      <c r="D110" s="24" t="s">
        <v>18</v>
      </c>
      <c r="E110" s="24" t="s">
        <v>179</v>
      </c>
      <c r="F110" s="27" t="s">
        <v>67</v>
      </c>
      <c r="G110" s="25">
        <f>20+45+24+23+25.2</f>
        <v>137.19999999999999</v>
      </c>
      <c r="H110" s="25">
        <f>20+45+24+23</f>
        <v>112</v>
      </c>
      <c r="I110" s="25">
        <f>20+45+24+23</f>
        <v>112</v>
      </c>
    </row>
    <row r="111" spans="1:17" s="26" customFormat="1" x14ac:dyDescent="0.2">
      <c r="A111" s="28" t="s">
        <v>68</v>
      </c>
      <c r="B111" s="31">
        <v>900</v>
      </c>
      <c r="C111" s="24" t="s">
        <v>18</v>
      </c>
      <c r="D111" s="24" t="s">
        <v>18</v>
      </c>
      <c r="E111" s="24" t="s">
        <v>179</v>
      </c>
      <c r="F111" s="27" t="s">
        <v>69</v>
      </c>
      <c r="G111" s="25">
        <f>36.7-25.2</f>
        <v>11.500000000000004</v>
      </c>
      <c r="H111" s="25">
        <v>36.700000000000003</v>
      </c>
      <c r="I111" s="25">
        <v>36.700000000000003</v>
      </c>
    </row>
    <row r="112" spans="1:17" s="3" customFormat="1" x14ac:dyDescent="0.2">
      <c r="A112" s="13" t="s">
        <v>51</v>
      </c>
      <c r="B112" s="42">
        <v>900</v>
      </c>
      <c r="C112" s="1" t="s">
        <v>50</v>
      </c>
      <c r="D112" s="1"/>
      <c r="E112" s="1"/>
      <c r="F112" s="1"/>
      <c r="G112" s="2">
        <f>G113+G129</f>
        <v>280661.69151999999</v>
      </c>
      <c r="H112" s="2">
        <f>H113+H129</f>
        <v>220712.2</v>
      </c>
      <c r="I112" s="2">
        <f>I113+I129</f>
        <v>154614.9</v>
      </c>
      <c r="J112" s="120"/>
      <c r="K112" s="120"/>
      <c r="L112" s="120"/>
      <c r="M112" s="120"/>
      <c r="N112" s="120"/>
      <c r="O112" s="120"/>
      <c r="P112" s="120"/>
      <c r="Q112" s="120"/>
    </row>
    <row r="113" spans="1:17" s="9" customFormat="1" x14ac:dyDescent="0.2">
      <c r="A113" s="11" t="s">
        <v>54</v>
      </c>
      <c r="B113" s="14">
        <v>900</v>
      </c>
      <c r="C113" s="8" t="s">
        <v>50</v>
      </c>
      <c r="D113" s="8" t="s">
        <v>15</v>
      </c>
      <c r="E113" s="8"/>
      <c r="F113" s="8"/>
      <c r="G113" s="4">
        <f>G116+G125+G114+G121+G127+G119</f>
        <v>278788.09152000002</v>
      </c>
      <c r="H113" s="4">
        <f>H116+H125+H114+H121+H127+H119</f>
        <v>220597.30000000002</v>
      </c>
      <c r="I113" s="4">
        <f>I116+I125+I114+I121+I127+I119</f>
        <v>154500</v>
      </c>
      <c r="J113" s="106"/>
      <c r="K113" s="106"/>
      <c r="L113" s="106"/>
      <c r="M113" s="106"/>
      <c r="N113" s="106"/>
      <c r="O113" s="106"/>
      <c r="P113" s="106"/>
      <c r="Q113" s="106"/>
    </row>
    <row r="114" spans="1:17" ht="52.5" customHeight="1" x14ac:dyDescent="0.2">
      <c r="A114" s="18" t="s">
        <v>387</v>
      </c>
      <c r="B114" s="18">
        <v>900</v>
      </c>
      <c r="C114" s="19" t="s">
        <v>50</v>
      </c>
      <c r="D114" s="19" t="s">
        <v>15</v>
      </c>
      <c r="E114" s="19" t="s">
        <v>386</v>
      </c>
      <c r="F114" s="19"/>
      <c r="G114" s="20">
        <f>G115</f>
        <v>595.09599999999989</v>
      </c>
      <c r="H114" s="20">
        <f>H115</f>
        <v>0</v>
      </c>
      <c r="I114" s="20">
        <f>I115</f>
        <v>1190.0999999999999</v>
      </c>
      <c r="J114" s="21"/>
      <c r="K114" s="21"/>
      <c r="L114" s="21"/>
      <c r="M114" s="21"/>
      <c r="N114" s="21"/>
      <c r="O114" s="21"/>
      <c r="P114" s="21"/>
      <c r="Q114" s="21"/>
    </row>
    <row r="115" spans="1:17" ht="25.5" x14ac:dyDescent="0.2">
      <c r="A115" s="28" t="s">
        <v>82</v>
      </c>
      <c r="B115" s="28">
        <v>900</v>
      </c>
      <c r="C115" s="24" t="s">
        <v>50</v>
      </c>
      <c r="D115" s="24" t="s">
        <v>15</v>
      </c>
      <c r="E115" s="24" t="s">
        <v>386</v>
      </c>
      <c r="F115" s="24" t="s">
        <v>70</v>
      </c>
      <c r="G115" s="25">
        <f>1190.1-595.004</f>
        <v>595.09599999999989</v>
      </c>
      <c r="H115" s="25">
        <v>0</v>
      </c>
      <c r="I115" s="25">
        <v>1190.0999999999999</v>
      </c>
      <c r="J115" s="21"/>
      <c r="K115" s="21"/>
      <c r="L115" s="21"/>
      <c r="M115" s="21"/>
      <c r="N115" s="21"/>
      <c r="O115" s="21"/>
      <c r="P115" s="21"/>
      <c r="Q115" s="21"/>
    </row>
    <row r="116" spans="1:17" ht="63.75" x14ac:dyDescent="0.2">
      <c r="A116" s="18" t="s">
        <v>183</v>
      </c>
      <c r="B116" s="22">
        <v>900</v>
      </c>
      <c r="C116" s="19" t="s">
        <v>50</v>
      </c>
      <c r="D116" s="19" t="s">
        <v>15</v>
      </c>
      <c r="E116" s="19" t="s">
        <v>89</v>
      </c>
      <c r="F116" s="19"/>
      <c r="G116" s="20">
        <f>G118+G117</f>
        <v>2380.11</v>
      </c>
      <c r="H116" s="20">
        <f>H118</f>
        <v>3570.2000000000003</v>
      </c>
      <c r="I116" s="20">
        <f>I118</f>
        <v>2380.1</v>
      </c>
      <c r="J116" s="21"/>
      <c r="K116" s="21"/>
      <c r="L116" s="21"/>
      <c r="M116" s="21"/>
      <c r="N116" s="21"/>
      <c r="O116" s="21"/>
      <c r="P116" s="21"/>
      <c r="Q116" s="21"/>
    </row>
    <row r="117" spans="1:17" x14ac:dyDescent="0.2">
      <c r="A117" s="55" t="s">
        <v>68</v>
      </c>
      <c r="B117" s="28">
        <v>900</v>
      </c>
      <c r="C117" s="24" t="s">
        <v>50</v>
      </c>
      <c r="D117" s="24" t="s">
        <v>15</v>
      </c>
      <c r="E117" s="24" t="s">
        <v>89</v>
      </c>
      <c r="F117" s="24" t="s">
        <v>69</v>
      </c>
      <c r="G117" s="20">
        <v>2380.11</v>
      </c>
      <c r="H117" s="20"/>
      <c r="I117" s="20"/>
      <c r="J117" s="21"/>
      <c r="K117" s="21"/>
      <c r="L117" s="21"/>
      <c r="M117" s="21"/>
      <c r="N117" s="21"/>
      <c r="O117" s="21"/>
      <c r="P117" s="21"/>
      <c r="Q117" s="21"/>
    </row>
    <row r="118" spans="1:17" s="26" customFormat="1" ht="25.5" x14ac:dyDescent="0.2">
      <c r="A118" s="28" t="s">
        <v>82</v>
      </c>
      <c r="B118" s="28">
        <v>900</v>
      </c>
      <c r="C118" s="24" t="s">
        <v>50</v>
      </c>
      <c r="D118" s="24" t="s">
        <v>15</v>
      </c>
      <c r="E118" s="24" t="s">
        <v>89</v>
      </c>
      <c r="F118" s="24" t="s">
        <v>70</v>
      </c>
      <c r="G118" s="25">
        <f>1485.2+894.9+0.01-2380.11</f>
        <v>0</v>
      </c>
      <c r="H118" s="25">
        <f>3578.4-8.2</f>
        <v>3570.2000000000003</v>
      </c>
      <c r="I118" s="25">
        <f>3746.1-1366</f>
        <v>2380.1</v>
      </c>
    </row>
    <row r="119" spans="1:17" ht="25.5" x14ac:dyDescent="0.2">
      <c r="A119" s="18" t="s">
        <v>362</v>
      </c>
      <c r="B119" s="22">
        <v>900</v>
      </c>
      <c r="C119" s="19" t="s">
        <v>50</v>
      </c>
      <c r="D119" s="19" t="s">
        <v>15</v>
      </c>
      <c r="E119" s="19" t="s">
        <v>361</v>
      </c>
      <c r="F119" s="19"/>
      <c r="G119" s="20">
        <f>G120</f>
        <v>10990.7</v>
      </c>
      <c r="H119" s="20">
        <f>H120</f>
        <v>0</v>
      </c>
      <c r="I119" s="20">
        <f>I120</f>
        <v>0</v>
      </c>
      <c r="J119" s="21"/>
      <c r="K119" s="21"/>
      <c r="L119" s="21"/>
      <c r="M119" s="21"/>
      <c r="N119" s="21"/>
      <c r="O119" s="21"/>
      <c r="P119" s="21"/>
      <c r="Q119" s="21"/>
    </row>
    <row r="120" spans="1:17" s="26" customFormat="1" ht="25.5" x14ac:dyDescent="0.2">
      <c r="A120" s="28" t="s">
        <v>82</v>
      </c>
      <c r="B120" s="28">
        <v>900</v>
      </c>
      <c r="C120" s="24" t="s">
        <v>50</v>
      </c>
      <c r="D120" s="24" t="s">
        <v>15</v>
      </c>
      <c r="E120" s="24" t="s">
        <v>361</v>
      </c>
      <c r="F120" s="24" t="s">
        <v>70</v>
      </c>
      <c r="G120" s="25">
        <v>10990.7</v>
      </c>
      <c r="H120" s="25">
        <v>0</v>
      </c>
      <c r="I120" s="25">
        <v>0</v>
      </c>
    </row>
    <row r="121" spans="1:17" ht="38.25" x14ac:dyDescent="0.2">
      <c r="A121" s="18" t="s">
        <v>350</v>
      </c>
      <c r="B121" s="22">
        <v>900</v>
      </c>
      <c r="C121" s="19" t="s">
        <v>50</v>
      </c>
      <c r="D121" s="19" t="s">
        <v>15</v>
      </c>
      <c r="E121" s="19" t="s">
        <v>174</v>
      </c>
      <c r="F121" s="19"/>
      <c r="G121" s="20">
        <f>G122</f>
        <v>780.9</v>
      </c>
      <c r="H121" s="20">
        <f>H122</f>
        <v>203.7</v>
      </c>
      <c r="I121" s="20">
        <f>I122</f>
        <v>435.9</v>
      </c>
      <c r="J121" s="104"/>
      <c r="K121" s="104"/>
      <c r="L121" s="104"/>
      <c r="M121" s="104"/>
      <c r="N121" s="104"/>
      <c r="O121" s="104"/>
      <c r="P121" s="104"/>
      <c r="Q121" s="104"/>
    </row>
    <row r="122" spans="1:17" s="26" customFormat="1" ht="25.5" x14ac:dyDescent="0.2">
      <c r="A122" s="28" t="s">
        <v>82</v>
      </c>
      <c r="B122" s="31">
        <v>900</v>
      </c>
      <c r="C122" s="24" t="s">
        <v>50</v>
      </c>
      <c r="D122" s="24" t="s">
        <v>15</v>
      </c>
      <c r="E122" s="24" t="s">
        <v>174</v>
      </c>
      <c r="F122" s="24" t="s">
        <v>70</v>
      </c>
      <c r="G122" s="25">
        <f>940-159.1</f>
        <v>780.9</v>
      </c>
      <c r="H122" s="25">
        <v>203.7</v>
      </c>
      <c r="I122" s="25">
        <v>435.9</v>
      </c>
      <c r="J122" s="105"/>
      <c r="K122" s="105"/>
      <c r="L122" s="105"/>
      <c r="M122" s="105"/>
      <c r="N122" s="105"/>
      <c r="O122" s="105"/>
      <c r="P122" s="105"/>
      <c r="Q122" s="105"/>
    </row>
    <row r="123" spans="1:17" ht="38.25" x14ac:dyDescent="0.2">
      <c r="A123" s="18" t="s">
        <v>348</v>
      </c>
      <c r="B123" s="22">
        <v>900</v>
      </c>
      <c r="C123" s="19" t="s">
        <v>50</v>
      </c>
      <c r="D123" s="19" t="s">
        <v>15</v>
      </c>
      <c r="E123" s="19" t="s">
        <v>135</v>
      </c>
      <c r="F123" s="19"/>
      <c r="G123" s="20">
        <f>G124</f>
        <v>0</v>
      </c>
      <c r="H123" s="20">
        <f>H124</f>
        <v>0</v>
      </c>
      <c r="I123" s="20">
        <f>I124</f>
        <v>0</v>
      </c>
      <c r="J123" s="21"/>
      <c r="K123" s="21"/>
      <c r="L123" s="21"/>
      <c r="M123" s="21"/>
      <c r="N123" s="21"/>
      <c r="O123" s="21"/>
      <c r="P123" s="21"/>
      <c r="Q123" s="21"/>
    </row>
    <row r="124" spans="1:17" s="26" customFormat="1" x14ac:dyDescent="0.2">
      <c r="A124" s="55" t="s">
        <v>68</v>
      </c>
      <c r="B124" s="31">
        <v>900</v>
      </c>
      <c r="C124" s="24" t="s">
        <v>50</v>
      </c>
      <c r="D124" s="24" t="s">
        <v>15</v>
      </c>
      <c r="E124" s="24" t="s">
        <v>135</v>
      </c>
      <c r="F124" s="29">
        <v>300</v>
      </c>
      <c r="G124" s="25">
        <f>1941.1-1941.1</f>
        <v>0</v>
      </c>
      <c r="H124" s="25">
        <f>369.2-369.2</f>
        <v>0</v>
      </c>
      <c r="I124" s="25">
        <f>1005.4-1005.4</f>
        <v>0</v>
      </c>
    </row>
    <row r="125" spans="1:17" ht="25.5" x14ac:dyDescent="0.2">
      <c r="A125" s="18" t="s">
        <v>402</v>
      </c>
      <c r="B125" s="22">
        <v>900</v>
      </c>
      <c r="C125" s="19" t="s">
        <v>50</v>
      </c>
      <c r="D125" s="19" t="s">
        <v>15</v>
      </c>
      <c r="E125" s="19" t="s">
        <v>401</v>
      </c>
      <c r="F125" s="19"/>
      <c r="G125" s="20">
        <f>G126</f>
        <v>5041.2855199999995</v>
      </c>
      <c r="H125" s="20">
        <f>H126</f>
        <v>1966.3</v>
      </c>
      <c r="I125" s="20">
        <f>I126</f>
        <v>1005.4</v>
      </c>
      <c r="J125" s="104"/>
      <c r="K125" s="104"/>
      <c r="L125" s="104"/>
      <c r="M125" s="104"/>
      <c r="N125" s="104"/>
      <c r="O125" s="104"/>
      <c r="P125" s="104"/>
      <c r="Q125" s="104"/>
    </row>
    <row r="126" spans="1:17" s="26" customFormat="1" x14ac:dyDescent="0.2">
      <c r="A126" s="55" t="s">
        <v>68</v>
      </c>
      <c r="B126" s="31">
        <v>900</v>
      </c>
      <c r="C126" s="24" t="s">
        <v>50</v>
      </c>
      <c r="D126" s="24" t="s">
        <v>15</v>
      </c>
      <c r="E126" s="24" t="s">
        <v>401</v>
      </c>
      <c r="F126" s="29">
        <v>300</v>
      </c>
      <c r="G126" s="25">
        <f>1941.1+3535.90485-435.71933</f>
        <v>5041.2855199999995</v>
      </c>
      <c r="H126" s="25">
        <f>369.2+1597.1</f>
        <v>1966.3</v>
      </c>
      <c r="I126" s="25">
        <v>1005.4</v>
      </c>
      <c r="J126" s="105"/>
      <c r="K126" s="105"/>
      <c r="L126" s="105"/>
      <c r="M126" s="105"/>
      <c r="N126" s="105"/>
      <c r="O126" s="105"/>
      <c r="P126" s="105"/>
      <c r="Q126" s="105"/>
    </row>
    <row r="127" spans="1:17" s="71" customFormat="1" ht="25.5" x14ac:dyDescent="0.2">
      <c r="A127" s="67" t="s">
        <v>173</v>
      </c>
      <c r="B127" s="68">
        <v>900</v>
      </c>
      <c r="C127" s="69" t="s">
        <v>50</v>
      </c>
      <c r="D127" s="69" t="s">
        <v>15</v>
      </c>
      <c r="E127" s="69" t="s">
        <v>90</v>
      </c>
      <c r="F127" s="69"/>
      <c r="G127" s="70">
        <f t="shared" ref="G127:I127" si="18">G128</f>
        <v>259000</v>
      </c>
      <c r="H127" s="70">
        <f t="shared" si="18"/>
        <v>214857.1</v>
      </c>
      <c r="I127" s="70">
        <f t="shared" si="18"/>
        <v>149488.5</v>
      </c>
    </row>
    <row r="128" spans="1:17" s="76" customFormat="1" x14ac:dyDescent="0.2">
      <c r="A128" s="79" t="s">
        <v>68</v>
      </c>
      <c r="B128" s="78">
        <v>900</v>
      </c>
      <c r="C128" s="74" t="s">
        <v>50</v>
      </c>
      <c r="D128" s="74" t="s">
        <v>15</v>
      </c>
      <c r="E128" s="74" t="s">
        <v>90</v>
      </c>
      <c r="F128" s="74" t="s">
        <v>69</v>
      </c>
      <c r="G128" s="58">
        <f>221327.9-10000+10000+37672.1</f>
        <v>259000</v>
      </c>
      <c r="H128" s="58">
        <v>214857.1</v>
      </c>
      <c r="I128" s="58">
        <v>149488.5</v>
      </c>
    </row>
    <row r="129" spans="1:17" s="9" customFormat="1" x14ac:dyDescent="0.2">
      <c r="A129" s="11" t="s">
        <v>56</v>
      </c>
      <c r="B129" s="14">
        <v>900</v>
      </c>
      <c r="C129" s="8" t="s">
        <v>50</v>
      </c>
      <c r="D129" s="8" t="s">
        <v>49</v>
      </c>
      <c r="E129" s="8"/>
      <c r="F129" s="8"/>
      <c r="G129" s="4">
        <f>G130+G133</f>
        <v>1873.6000000000001</v>
      </c>
      <c r="H129" s="4">
        <f t="shared" ref="H129:I129" si="19">H130+H133</f>
        <v>114.89999999999999</v>
      </c>
      <c r="I129" s="4">
        <f t="shared" si="19"/>
        <v>114.89999999999999</v>
      </c>
    </row>
    <row r="130" spans="1:17" x14ac:dyDescent="0.2">
      <c r="A130" s="18" t="s">
        <v>189</v>
      </c>
      <c r="B130" s="22">
        <v>900</v>
      </c>
      <c r="C130" s="19" t="s">
        <v>50</v>
      </c>
      <c r="D130" s="19" t="s">
        <v>49</v>
      </c>
      <c r="E130" s="19" t="s">
        <v>188</v>
      </c>
      <c r="F130" s="19"/>
      <c r="G130" s="20">
        <f>G132+G131</f>
        <v>114.89999999999999</v>
      </c>
      <c r="H130" s="20">
        <f>H132+H131</f>
        <v>114.89999999999999</v>
      </c>
      <c r="I130" s="20">
        <f>I132+I131</f>
        <v>114.89999999999999</v>
      </c>
      <c r="J130" s="21"/>
      <c r="K130" s="21"/>
      <c r="L130" s="21"/>
      <c r="M130" s="21"/>
      <c r="N130" s="21"/>
      <c r="O130" s="21"/>
      <c r="P130" s="21"/>
      <c r="Q130" s="21"/>
    </row>
    <row r="131" spans="1:17" s="26" customFormat="1" ht="25.5" x14ac:dyDescent="0.2">
      <c r="A131" s="28" t="s">
        <v>75</v>
      </c>
      <c r="B131" s="23">
        <v>900</v>
      </c>
      <c r="C131" s="24" t="s">
        <v>50</v>
      </c>
      <c r="D131" s="24" t="s">
        <v>49</v>
      </c>
      <c r="E131" s="24" t="s">
        <v>188</v>
      </c>
      <c r="F131" s="27" t="s">
        <v>67</v>
      </c>
      <c r="G131" s="25">
        <v>0.6</v>
      </c>
      <c r="H131" s="25">
        <v>0.6</v>
      </c>
      <c r="I131" s="25">
        <v>0.6</v>
      </c>
    </row>
    <row r="132" spans="1:17" s="26" customFormat="1" x14ac:dyDescent="0.2">
      <c r="A132" s="28" t="s">
        <v>68</v>
      </c>
      <c r="B132" s="31">
        <v>900</v>
      </c>
      <c r="C132" s="24" t="s">
        <v>50</v>
      </c>
      <c r="D132" s="24" t="s">
        <v>49</v>
      </c>
      <c r="E132" s="24" t="s">
        <v>188</v>
      </c>
      <c r="F132" s="24" t="s">
        <v>69</v>
      </c>
      <c r="G132" s="25">
        <v>114.3</v>
      </c>
      <c r="H132" s="25">
        <v>114.3</v>
      </c>
      <c r="I132" s="25">
        <v>114.3</v>
      </c>
    </row>
    <row r="133" spans="1:17" x14ac:dyDescent="0.2">
      <c r="A133" s="18" t="s">
        <v>181</v>
      </c>
      <c r="B133" s="22">
        <v>900</v>
      </c>
      <c r="C133" s="19" t="s">
        <v>50</v>
      </c>
      <c r="D133" s="19" t="s">
        <v>49</v>
      </c>
      <c r="E133" s="19" t="s">
        <v>182</v>
      </c>
      <c r="F133" s="19"/>
      <c r="G133" s="20">
        <f>G134</f>
        <v>1758.7</v>
      </c>
      <c r="H133" s="20">
        <f>H134</f>
        <v>0</v>
      </c>
      <c r="I133" s="20">
        <f>I134</f>
        <v>0</v>
      </c>
      <c r="J133" s="21"/>
      <c r="K133" s="21"/>
      <c r="L133" s="21"/>
      <c r="M133" s="21"/>
      <c r="N133" s="21"/>
      <c r="O133" s="21"/>
      <c r="P133" s="21"/>
      <c r="Q133" s="21"/>
    </row>
    <row r="134" spans="1:17" s="26" customFormat="1" ht="25.5" x14ac:dyDescent="0.2">
      <c r="A134" s="28" t="s">
        <v>82</v>
      </c>
      <c r="B134" s="31">
        <v>900</v>
      </c>
      <c r="C134" s="24" t="s">
        <v>50</v>
      </c>
      <c r="D134" s="24" t="s">
        <v>49</v>
      </c>
      <c r="E134" s="24" t="s">
        <v>182</v>
      </c>
      <c r="F134" s="24" t="s">
        <v>70</v>
      </c>
      <c r="G134" s="25">
        <v>1758.7</v>
      </c>
      <c r="H134" s="25">
        <v>0</v>
      </c>
      <c r="I134" s="25">
        <v>0</v>
      </c>
    </row>
    <row r="135" spans="1:17" s="3" customFormat="1" ht="25.5" x14ac:dyDescent="0.2">
      <c r="A135" s="13" t="s">
        <v>19</v>
      </c>
      <c r="B135" s="42">
        <v>900</v>
      </c>
      <c r="C135" s="1" t="s">
        <v>60</v>
      </c>
      <c r="D135" s="1"/>
      <c r="E135" s="1"/>
      <c r="F135" s="1"/>
      <c r="G135" s="2">
        <f t="shared" ref="G135:I137" si="20">G136</f>
        <v>4223.3</v>
      </c>
      <c r="H135" s="2">
        <f t="shared" si="20"/>
        <v>3454.1</v>
      </c>
      <c r="I135" s="2">
        <f t="shared" si="20"/>
        <v>3454.1</v>
      </c>
    </row>
    <row r="136" spans="1:17" s="9" customFormat="1" ht="25.5" x14ac:dyDescent="0.2">
      <c r="A136" s="11" t="s">
        <v>3</v>
      </c>
      <c r="B136" s="14">
        <v>900</v>
      </c>
      <c r="C136" s="8" t="s">
        <v>60</v>
      </c>
      <c r="D136" s="8" t="s">
        <v>11</v>
      </c>
      <c r="E136" s="8"/>
      <c r="F136" s="8"/>
      <c r="G136" s="4">
        <f t="shared" si="20"/>
        <v>4223.3</v>
      </c>
      <c r="H136" s="4">
        <f t="shared" si="20"/>
        <v>3454.1</v>
      </c>
      <c r="I136" s="4">
        <f t="shared" si="20"/>
        <v>3454.1</v>
      </c>
    </row>
    <row r="137" spans="1:17" ht="25.5" x14ac:dyDescent="0.2">
      <c r="A137" s="18" t="s">
        <v>191</v>
      </c>
      <c r="B137" s="22">
        <v>900</v>
      </c>
      <c r="C137" s="19" t="s">
        <v>60</v>
      </c>
      <c r="D137" s="19" t="s">
        <v>11</v>
      </c>
      <c r="E137" s="19" t="s">
        <v>190</v>
      </c>
      <c r="F137" s="19"/>
      <c r="G137" s="20">
        <f t="shared" si="20"/>
        <v>4223.3</v>
      </c>
      <c r="H137" s="20">
        <f t="shared" si="20"/>
        <v>3454.1</v>
      </c>
      <c r="I137" s="20">
        <f t="shared" si="20"/>
        <v>3454.1</v>
      </c>
      <c r="J137" s="21"/>
      <c r="K137" s="21"/>
      <c r="L137" s="21"/>
      <c r="M137" s="21"/>
      <c r="N137" s="21"/>
      <c r="O137" s="21"/>
      <c r="P137" s="21"/>
      <c r="Q137" s="21"/>
    </row>
    <row r="138" spans="1:17" s="26" customFormat="1" x14ac:dyDescent="0.2">
      <c r="A138" s="28" t="s">
        <v>73</v>
      </c>
      <c r="B138" s="31">
        <v>900</v>
      </c>
      <c r="C138" s="24" t="s">
        <v>60</v>
      </c>
      <c r="D138" s="24" t="s">
        <v>11</v>
      </c>
      <c r="E138" s="19" t="s">
        <v>190</v>
      </c>
      <c r="F138" s="24" t="s">
        <v>74</v>
      </c>
      <c r="G138" s="25">
        <f>3454.1+769.2</f>
        <v>4223.3</v>
      </c>
      <c r="H138" s="25">
        <v>3454.1</v>
      </c>
      <c r="I138" s="25">
        <v>3454.1</v>
      </c>
    </row>
    <row r="139" spans="1:17" x14ac:dyDescent="0.2">
      <c r="A139" s="18" t="s">
        <v>377</v>
      </c>
      <c r="B139" s="22">
        <v>900</v>
      </c>
      <c r="C139" s="19" t="s">
        <v>378</v>
      </c>
      <c r="D139" s="19"/>
      <c r="E139" s="19"/>
      <c r="F139" s="19"/>
      <c r="G139" s="20"/>
      <c r="H139" s="20">
        <f t="shared" ref="H139:I141" si="21">H140</f>
        <v>19446.400000000001</v>
      </c>
      <c r="I139" s="20">
        <f t="shared" si="21"/>
        <v>40381.799999999996</v>
      </c>
      <c r="J139" s="21"/>
      <c r="K139" s="21"/>
      <c r="L139" s="21"/>
      <c r="M139" s="21"/>
      <c r="N139" s="21"/>
      <c r="O139" s="21"/>
      <c r="P139" s="21"/>
      <c r="Q139" s="21"/>
    </row>
    <row r="140" spans="1:17" x14ac:dyDescent="0.2">
      <c r="A140" s="18" t="s">
        <v>377</v>
      </c>
      <c r="B140" s="22">
        <v>900</v>
      </c>
      <c r="C140" s="19" t="s">
        <v>378</v>
      </c>
      <c r="D140" s="16" t="s">
        <v>378</v>
      </c>
      <c r="E140" s="19"/>
      <c r="F140" s="19"/>
      <c r="G140" s="20"/>
      <c r="H140" s="20">
        <f t="shared" si="21"/>
        <v>19446.400000000001</v>
      </c>
      <c r="I140" s="20">
        <f t="shared" si="21"/>
        <v>40381.799999999996</v>
      </c>
      <c r="J140" s="21"/>
      <c r="K140" s="21"/>
      <c r="L140" s="21"/>
      <c r="M140" s="21"/>
      <c r="N140" s="21"/>
      <c r="O140" s="21"/>
      <c r="P140" s="21"/>
      <c r="Q140" s="21"/>
    </row>
    <row r="141" spans="1:17" x14ac:dyDescent="0.2">
      <c r="A141" s="18" t="s">
        <v>377</v>
      </c>
      <c r="B141" s="22">
        <v>900</v>
      </c>
      <c r="C141" s="19" t="s">
        <v>11</v>
      </c>
      <c r="D141" s="19" t="s">
        <v>30</v>
      </c>
      <c r="E141" s="19" t="s">
        <v>379</v>
      </c>
      <c r="F141" s="19"/>
      <c r="G141" s="20"/>
      <c r="H141" s="20">
        <f t="shared" si="21"/>
        <v>19446.400000000001</v>
      </c>
      <c r="I141" s="20">
        <f t="shared" si="21"/>
        <v>40381.799999999996</v>
      </c>
      <c r="J141" s="21"/>
      <c r="K141" s="21"/>
      <c r="L141" s="21"/>
      <c r="M141" s="21"/>
      <c r="N141" s="21"/>
      <c r="O141" s="21"/>
      <c r="P141" s="21"/>
      <c r="Q141" s="21"/>
    </row>
    <row r="142" spans="1:17" s="26" customFormat="1" x14ac:dyDescent="0.2">
      <c r="A142" s="28" t="s">
        <v>377</v>
      </c>
      <c r="B142" s="31">
        <v>900</v>
      </c>
      <c r="C142" s="24" t="s">
        <v>11</v>
      </c>
      <c r="D142" s="24" t="s">
        <v>30</v>
      </c>
      <c r="E142" s="19" t="s">
        <v>379</v>
      </c>
      <c r="F142" s="24" t="s">
        <v>72</v>
      </c>
      <c r="G142" s="25">
        <v>0</v>
      </c>
      <c r="H142" s="25">
        <f>19136.9+309.5</f>
        <v>19446.400000000001</v>
      </c>
      <c r="I142" s="25">
        <f>39722.6+659.2</f>
        <v>40381.799999999996</v>
      </c>
    </row>
    <row r="143" spans="1:17" s="9" customFormat="1" ht="31.5" customHeight="1" x14ac:dyDescent="0.2">
      <c r="A143" s="40" t="s">
        <v>33</v>
      </c>
      <c r="B143" s="37">
        <v>904</v>
      </c>
      <c r="C143" s="41"/>
      <c r="D143" s="41"/>
      <c r="E143" s="41"/>
      <c r="F143" s="41"/>
      <c r="G143" s="39">
        <f>G144+G155</f>
        <v>71502.5</v>
      </c>
      <c r="H143" s="39">
        <f>H144+H155</f>
        <v>51072.5</v>
      </c>
      <c r="I143" s="39">
        <f>I144+I155</f>
        <v>51072.5</v>
      </c>
    </row>
    <row r="144" spans="1:17" s="3" customFormat="1" x14ac:dyDescent="0.2">
      <c r="A144" s="13" t="s">
        <v>36</v>
      </c>
      <c r="B144" s="42">
        <v>904</v>
      </c>
      <c r="C144" s="1" t="s">
        <v>18</v>
      </c>
      <c r="D144" s="1"/>
      <c r="E144" s="1"/>
      <c r="F144" s="1"/>
      <c r="G144" s="2">
        <f>G145+G150</f>
        <v>23841.5</v>
      </c>
      <c r="H144" s="2">
        <f>H145+H150</f>
        <v>19863.799999999996</v>
      </c>
      <c r="I144" s="2">
        <f>I145+I150</f>
        <v>19863.799999999996</v>
      </c>
      <c r="J144" s="120"/>
      <c r="K144" s="120"/>
      <c r="L144" s="120"/>
      <c r="M144" s="120"/>
      <c r="N144" s="120"/>
      <c r="O144" s="120"/>
      <c r="P144" s="120"/>
      <c r="Q144" s="120"/>
    </row>
    <row r="145" spans="1:17" s="9" customFormat="1" x14ac:dyDescent="0.2">
      <c r="A145" s="11" t="s">
        <v>340</v>
      </c>
      <c r="B145" s="14">
        <v>904</v>
      </c>
      <c r="C145" s="8" t="s">
        <v>18</v>
      </c>
      <c r="D145" s="8" t="s">
        <v>15</v>
      </c>
      <c r="E145" s="8"/>
      <c r="F145" s="8"/>
      <c r="G145" s="4">
        <f>G148+G146</f>
        <v>20339.399999999998</v>
      </c>
      <c r="H145" s="4">
        <f t="shared" ref="H145:I145" si="22">H148+H146</f>
        <v>17162.699999999997</v>
      </c>
      <c r="I145" s="4">
        <f t="shared" si="22"/>
        <v>17162.699999999997</v>
      </c>
      <c r="J145" s="106"/>
      <c r="K145" s="106"/>
      <c r="L145" s="106"/>
      <c r="M145" s="106"/>
      <c r="N145" s="106"/>
      <c r="O145" s="106"/>
      <c r="P145" s="106"/>
      <c r="Q145" s="106"/>
    </row>
    <row r="146" spans="1:17" ht="25.5" x14ac:dyDescent="0.2">
      <c r="A146" s="17" t="s">
        <v>165</v>
      </c>
      <c r="B146" s="17">
        <v>904</v>
      </c>
      <c r="C146" s="19" t="s">
        <v>18</v>
      </c>
      <c r="D146" s="19" t="s">
        <v>15</v>
      </c>
      <c r="E146" s="19" t="s">
        <v>164</v>
      </c>
      <c r="F146" s="5"/>
      <c r="G146" s="6">
        <f>G147</f>
        <v>13</v>
      </c>
      <c r="H146" s="6">
        <f>H147</f>
        <v>13</v>
      </c>
      <c r="I146" s="6">
        <f>I147</f>
        <v>13</v>
      </c>
      <c r="J146" s="21"/>
      <c r="K146" s="21"/>
      <c r="L146" s="21"/>
      <c r="M146" s="21"/>
      <c r="N146" s="21"/>
      <c r="O146" s="21"/>
      <c r="P146" s="21"/>
      <c r="Q146" s="21"/>
    </row>
    <row r="147" spans="1:17" ht="25.5" x14ac:dyDescent="0.2">
      <c r="A147" s="28" t="s">
        <v>143</v>
      </c>
      <c r="B147" s="28">
        <v>904</v>
      </c>
      <c r="C147" s="24" t="s">
        <v>18</v>
      </c>
      <c r="D147" s="24" t="s">
        <v>15</v>
      </c>
      <c r="E147" s="24" t="s">
        <v>164</v>
      </c>
      <c r="F147" s="24" t="s">
        <v>64</v>
      </c>
      <c r="G147" s="25">
        <v>13</v>
      </c>
      <c r="H147" s="25">
        <v>13</v>
      </c>
      <c r="I147" s="25">
        <v>13</v>
      </c>
      <c r="J147" s="21"/>
      <c r="K147" s="21"/>
      <c r="L147" s="21"/>
      <c r="M147" s="21"/>
      <c r="N147" s="21"/>
      <c r="O147" s="21"/>
      <c r="P147" s="21"/>
      <c r="Q147" s="21"/>
    </row>
    <row r="148" spans="1:17" ht="25.5" x14ac:dyDescent="0.2">
      <c r="A148" s="18" t="s">
        <v>356</v>
      </c>
      <c r="B148" s="22">
        <v>904</v>
      </c>
      <c r="C148" s="19" t="s">
        <v>18</v>
      </c>
      <c r="D148" s="19" t="s">
        <v>15</v>
      </c>
      <c r="E148" s="19" t="s">
        <v>193</v>
      </c>
      <c r="F148" s="19"/>
      <c r="G148" s="20">
        <f>G149</f>
        <v>20326.399999999998</v>
      </c>
      <c r="H148" s="20">
        <f>H149</f>
        <v>17149.699999999997</v>
      </c>
      <c r="I148" s="20">
        <f>I149</f>
        <v>17149.699999999997</v>
      </c>
      <c r="J148" s="104"/>
      <c r="K148" s="104"/>
      <c r="L148" s="104"/>
      <c r="M148" s="104"/>
      <c r="N148" s="104"/>
      <c r="O148" s="104"/>
      <c r="P148" s="104"/>
      <c r="Q148" s="104"/>
    </row>
    <row r="149" spans="1:17" s="26" customFormat="1" ht="25.5" x14ac:dyDescent="0.2">
      <c r="A149" s="28" t="s">
        <v>143</v>
      </c>
      <c r="B149" s="31">
        <v>904</v>
      </c>
      <c r="C149" s="24" t="s">
        <v>18</v>
      </c>
      <c r="D149" s="24" t="s">
        <v>15</v>
      </c>
      <c r="E149" s="24" t="s">
        <v>193</v>
      </c>
      <c r="F149" s="24" t="s">
        <v>64</v>
      </c>
      <c r="G149" s="25">
        <f>11274.5+3405.6+427.3+55.9+11.9+5+1969.5+98+15+2690.7+33.7+386.3+325-125+97.8+15+618-88.6-889.2</f>
        <v>20326.399999999998</v>
      </c>
      <c r="H149" s="25">
        <f>11274.5+3405.6+427.3+55.9+11.9+5+1969.5</f>
        <v>17149.699999999997</v>
      </c>
      <c r="I149" s="25">
        <f>11274.5+3405.6+427.3+55.9+11.9+5+1969.5</f>
        <v>17149.699999999997</v>
      </c>
      <c r="J149" s="105"/>
      <c r="K149" s="105"/>
      <c r="L149" s="105"/>
      <c r="M149" s="105"/>
      <c r="N149" s="105"/>
      <c r="O149" s="105"/>
      <c r="P149" s="105"/>
      <c r="Q149" s="105"/>
    </row>
    <row r="150" spans="1:17" s="9" customFormat="1" x14ac:dyDescent="0.2">
      <c r="A150" s="11" t="s">
        <v>40</v>
      </c>
      <c r="B150" s="14">
        <v>904</v>
      </c>
      <c r="C150" s="8" t="s">
        <v>18</v>
      </c>
      <c r="D150" s="8" t="s">
        <v>25</v>
      </c>
      <c r="E150" s="8"/>
      <c r="F150" s="8"/>
      <c r="G150" s="4">
        <f>G151+G153</f>
        <v>3502.1000000000004</v>
      </c>
      <c r="H150" s="4">
        <f t="shared" ref="H150:I150" si="23">H151+H153</f>
        <v>2701.1</v>
      </c>
      <c r="I150" s="4">
        <f t="shared" si="23"/>
        <v>2701.1</v>
      </c>
    </row>
    <row r="151" spans="1:17" ht="25.5" x14ac:dyDescent="0.2">
      <c r="A151" s="18" t="s">
        <v>356</v>
      </c>
      <c r="B151" s="22">
        <v>904</v>
      </c>
      <c r="C151" s="19" t="s">
        <v>18</v>
      </c>
      <c r="D151" s="19" t="s">
        <v>25</v>
      </c>
      <c r="E151" s="19" t="s">
        <v>195</v>
      </c>
      <c r="F151" s="19"/>
      <c r="G151" s="20">
        <f t="shared" ref="G151:I151" si="24">G152</f>
        <v>3430.1000000000004</v>
      </c>
      <c r="H151" s="20">
        <f t="shared" si="24"/>
        <v>2701.1</v>
      </c>
      <c r="I151" s="20">
        <f t="shared" si="24"/>
        <v>2701.1</v>
      </c>
      <c r="J151" s="21"/>
      <c r="K151" s="21"/>
      <c r="L151" s="21"/>
      <c r="M151" s="21"/>
      <c r="N151" s="21"/>
      <c r="O151" s="21"/>
      <c r="P151" s="21"/>
      <c r="Q151" s="21"/>
    </row>
    <row r="152" spans="1:17" s="26" customFormat="1" ht="25.5" x14ac:dyDescent="0.2">
      <c r="A152" s="28" t="s">
        <v>143</v>
      </c>
      <c r="B152" s="32">
        <v>904</v>
      </c>
      <c r="C152" s="24" t="s">
        <v>18</v>
      </c>
      <c r="D152" s="24" t="s">
        <v>25</v>
      </c>
      <c r="E152" s="24" t="s">
        <v>195</v>
      </c>
      <c r="F152" s="27" t="s">
        <v>64</v>
      </c>
      <c r="G152" s="25">
        <f>2675.9+25.2+722.7+6.3</f>
        <v>3430.1000000000004</v>
      </c>
      <c r="H152" s="25">
        <f>2675.9+25.2</f>
        <v>2701.1</v>
      </c>
      <c r="I152" s="25">
        <f>2675.9+25.2</f>
        <v>2701.1</v>
      </c>
    </row>
    <row r="153" spans="1:17" ht="25.5" x14ac:dyDescent="0.2">
      <c r="A153" s="18" t="s">
        <v>192</v>
      </c>
      <c r="B153" s="18">
        <v>904</v>
      </c>
      <c r="C153" s="19" t="s">
        <v>18</v>
      </c>
      <c r="D153" s="19" t="s">
        <v>25</v>
      </c>
      <c r="E153" s="19" t="s">
        <v>137</v>
      </c>
      <c r="F153" s="19"/>
      <c r="G153" s="20">
        <f>G154</f>
        <v>72</v>
      </c>
      <c r="H153" s="20">
        <f t="shared" ref="H153:I153" si="25">H154</f>
        <v>0</v>
      </c>
      <c r="I153" s="20">
        <f t="shared" si="25"/>
        <v>0</v>
      </c>
      <c r="J153" s="21"/>
      <c r="K153" s="21"/>
      <c r="L153" s="21"/>
      <c r="M153" s="21"/>
      <c r="N153" s="21"/>
      <c r="O153" s="21"/>
      <c r="P153" s="21"/>
      <c r="Q153" s="21"/>
    </row>
    <row r="154" spans="1:17" ht="25.5" x14ac:dyDescent="0.2">
      <c r="A154" s="28" t="s">
        <v>143</v>
      </c>
      <c r="B154" s="28">
        <v>904</v>
      </c>
      <c r="C154" s="24" t="s">
        <v>18</v>
      </c>
      <c r="D154" s="24" t="s">
        <v>25</v>
      </c>
      <c r="E154" s="24" t="s">
        <v>137</v>
      </c>
      <c r="F154" s="24" t="s">
        <v>64</v>
      </c>
      <c r="G154" s="25">
        <v>72</v>
      </c>
      <c r="H154" s="25">
        <v>0</v>
      </c>
      <c r="I154" s="25">
        <v>0</v>
      </c>
      <c r="J154" s="21"/>
      <c r="K154" s="21"/>
      <c r="L154" s="21"/>
      <c r="M154" s="21"/>
      <c r="N154" s="21"/>
      <c r="O154" s="21"/>
      <c r="P154" s="21"/>
      <c r="Q154" s="21"/>
    </row>
    <row r="155" spans="1:17" s="3" customFormat="1" x14ac:dyDescent="0.2">
      <c r="A155" s="13" t="s">
        <v>0</v>
      </c>
      <c r="B155" s="42">
        <v>904</v>
      </c>
      <c r="C155" s="1" t="s">
        <v>20</v>
      </c>
      <c r="D155" s="1"/>
      <c r="E155" s="1"/>
      <c r="F155" s="1"/>
      <c r="G155" s="2">
        <f>G156+G167+G170</f>
        <v>47661.000000000007</v>
      </c>
      <c r="H155" s="2">
        <f>H156+H167+H170</f>
        <v>31208.700000000004</v>
      </c>
      <c r="I155" s="2">
        <f>I156+I167+I170</f>
        <v>31208.700000000004</v>
      </c>
      <c r="J155" s="120"/>
      <c r="K155" s="120"/>
      <c r="L155" s="120"/>
      <c r="M155" s="120"/>
      <c r="N155" s="120"/>
      <c r="O155" s="120"/>
      <c r="P155" s="120"/>
      <c r="Q155" s="120"/>
    </row>
    <row r="156" spans="1:17" s="9" customFormat="1" x14ac:dyDescent="0.2">
      <c r="A156" s="11" t="s">
        <v>1</v>
      </c>
      <c r="B156" s="14">
        <v>904</v>
      </c>
      <c r="C156" s="8" t="s">
        <v>20</v>
      </c>
      <c r="D156" s="8" t="s">
        <v>11</v>
      </c>
      <c r="E156" s="8"/>
      <c r="F156" s="8"/>
      <c r="G156" s="4">
        <f>G161+G165+G157+G163+G159</f>
        <v>46274.400000000009</v>
      </c>
      <c r="H156" s="4">
        <f>H161+H165+H157+H163+H159</f>
        <v>29942.9</v>
      </c>
      <c r="I156" s="4">
        <f>I161+I165+I157+I163+I159</f>
        <v>29942.9</v>
      </c>
      <c r="J156" s="106"/>
      <c r="K156" s="106"/>
      <c r="L156" s="106"/>
      <c r="M156" s="106"/>
      <c r="N156" s="106"/>
      <c r="O156" s="106"/>
      <c r="P156" s="106"/>
      <c r="Q156" s="106"/>
    </row>
    <row r="157" spans="1:17" s="12" customFormat="1" ht="25.5" x14ac:dyDescent="0.2">
      <c r="A157" s="17" t="s">
        <v>165</v>
      </c>
      <c r="B157" s="44">
        <v>904</v>
      </c>
      <c r="C157" s="19" t="s">
        <v>20</v>
      </c>
      <c r="D157" s="19" t="s">
        <v>11</v>
      </c>
      <c r="E157" s="19" t="s">
        <v>164</v>
      </c>
      <c r="F157" s="5"/>
      <c r="G157" s="6">
        <f>G158</f>
        <v>20</v>
      </c>
      <c r="H157" s="6">
        <f>H158</f>
        <v>20</v>
      </c>
      <c r="I157" s="6">
        <f>I158</f>
        <v>20</v>
      </c>
    </row>
    <row r="158" spans="1:17" s="26" customFormat="1" ht="25.5" x14ac:dyDescent="0.2">
      <c r="A158" s="28" t="s">
        <v>143</v>
      </c>
      <c r="B158" s="31">
        <v>904</v>
      </c>
      <c r="C158" s="24" t="s">
        <v>20</v>
      </c>
      <c r="D158" s="24" t="s">
        <v>11</v>
      </c>
      <c r="E158" s="24" t="s">
        <v>164</v>
      </c>
      <c r="F158" s="24" t="s">
        <v>64</v>
      </c>
      <c r="G158" s="25">
        <v>20</v>
      </c>
      <c r="H158" s="25">
        <v>20</v>
      </c>
      <c r="I158" s="25">
        <v>20</v>
      </c>
    </row>
    <row r="159" spans="1:17" s="71" customFormat="1" ht="13.5" customHeight="1" x14ac:dyDescent="0.2">
      <c r="A159" s="67" t="s">
        <v>178</v>
      </c>
      <c r="B159" s="68">
        <v>904</v>
      </c>
      <c r="C159" s="69" t="s">
        <v>20</v>
      </c>
      <c r="D159" s="69" t="s">
        <v>11</v>
      </c>
      <c r="E159" s="74" t="s">
        <v>177</v>
      </c>
      <c r="F159" s="69"/>
      <c r="G159" s="70">
        <f>G160</f>
        <v>4137.2000000000007</v>
      </c>
      <c r="H159" s="70">
        <f>H160</f>
        <v>0</v>
      </c>
      <c r="I159" s="70">
        <f>I160</f>
        <v>0</v>
      </c>
    </row>
    <row r="160" spans="1:17" s="76" customFormat="1" ht="25.5" x14ac:dyDescent="0.2">
      <c r="A160" s="79" t="s">
        <v>82</v>
      </c>
      <c r="B160" s="68">
        <v>904</v>
      </c>
      <c r="C160" s="74" t="s">
        <v>20</v>
      </c>
      <c r="D160" s="74" t="s">
        <v>11</v>
      </c>
      <c r="E160" s="74" t="s">
        <v>177</v>
      </c>
      <c r="F160" s="74" t="s">
        <v>70</v>
      </c>
      <c r="G160" s="58">
        <f>5300-894.9-267.9</f>
        <v>4137.2000000000007</v>
      </c>
      <c r="H160" s="58">
        <v>0</v>
      </c>
      <c r="I160" s="58">
        <v>0</v>
      </c>
    </row>
    <row r="161" spans="1:17" s="71" customFormat="1" ht="25.5" x14ac:dyDescent="0.2">
      <c r="A161" s="67" t="s">
        <v>197</v>
      </c>
      <c r="B161" s="68">
        <v>904</v>
      </c>
      <c r="C161" s="69" t="s">
        <v>20</v>
      </c>
      <c r="D161" s="69" t="s">
        <v>11</v>
      </c>
      <c r="E161" s="69" t="s">
        <v>196</v>
      </c>
      <c r="F161" s="69"/>
      <c r="G161" s="70">
        <f>G162</f>
        <v>14904.900000000001</v>
      </c>
      <c r="H161" s="70">
        <f t="shared" ref="H161:I161" si="26">H162</f>
        <v>8956.3000000000011</v>
      </c>
      <c r="I161" s="70">
        <f t="shared" si="26"/>
        <v>8956.3000000000011</v>
      </c>
    </row>
    <row r="162" spans="1:17" s="76" customFormat="1" ht="25.5" x14ac:dyDescent="0.2">
      <c r="A162" s="79" t="s">
        <v>143</v>
      </c>
      <c r="B162" s="78">
        <v>904</v>
      </c>
      <c r="C162" s="74" t="s">
        <v>20</v>
      </c>
      <c r="D162" s="74" t="s">
        <v>11</v>
      </c>
      <c r="E162" s="74" t="s">
        <v>196</v>
      </c>
      <c r="F162" s="74" t="s">
        <v>64</v>
      </c>
      <c r="G162" s="58">
        <f>8885.6+70.7-98+4398.1+3+36.6+728.8+569.9+125+170.1-15+30.1</f>
        <v>14904.900000000001</v>
      </c>
      <c r="H162" s="58">
        <f>8885.6+70.7</f>
        <v>8956.3000000000011</v>
      </c>
      <c r="I162" s="58">
        <f>8885.6+70.7</f>
        <v>8956.3000000000011</v>
      </c>
    </row>
    <row r="163" spans="1:17" ht="38.25" x14ac:dyDescent="0.2">
      <c r="A163" s="18" t="s">
        <v>199</v>
      </c>
      <c r="B163" s="22">
        <v>904</v>
      </c>
      <c r="C163" s="19" t="s">
        <v>20</v>
      </c>
      <c r="D163" s="19" t="s">
        <v>11</v>
      </c>
      <c r="E163" s="19" t="s">
        <v>198</v>
      </c>
      <c r="F163" s="19"/>
      <c r="G163" s="20">
        <f>G164</f>
        <v>148.6</v>
      </c>
      <c r="H163" s="20">
        <f>H164</f>
        <v>150</v>
      </c>
      <c r="I163" s="20">
        <f>I164</f>
        <v>150</v>
      </c>
      <c r="J163" s="104"/>
      <c r="K163" s="104"/>
      <c r="L163" s="104"/>
      <c r="M163" s="104"/>
      <c r="N163" s="104"/>
      <c r="O163" s="104"/>
      <c r="P163" s="104"/>
      <c r="Q163" s="104"/>
    </row>
    <row r="164" spans="1:17" s="26" customFormat="1" ht="25.5" x14ac:dyDescent="0.2">
      <c r="A164" s="28" t="s">
        <v>75</v>
      </c>
      <c r="B164" s="32">
        <v>904</v>
      </c>
      <c r="C164" s="24" t="s">
        <v>20</v>
      </c>
      <c r="D164" s="24" t="s">
        <v>11</v>
      </c>
      <c r="E164" s="24" t="s">
        <v>198</v>
      </c>
      <c r="F164" s="27" t="s">
        <v>67</v>
      </c>
      <c r="G164" s="25">
        <f>150-1.4</f>
        <v>148.6</v>
      </c>
      <c r="H164" s="25">
        <v>150</v>
      </c>
      <c r="I164" s="25">
        <v>150</v>
      </c>
      <c r="J164" s="105"/>
      <c r="K164" s="105"/>
      <c r="L164" s="105"/>
      <c r="M164" s="105"/>
      <c r="N164" s="105"/>
      <c r="O164" s="105"/>
      <c r="P164" s="105"/>
      <c r="Q164" s="105"/>
    </row>
    <row r="165" spans="1:17" ht="25.5" x14ac:dyDescent="0.2">
      <c r="A165" s="18" t="s">
        <v>368</v>
      </c>
      <c r="B165" s="22">
        <v>904</v>
      </c>
      <c r="C165" s="19" t="s">
        <v>20</v>
      </c>
      <c r="D165" s="19" t="s">
        <v>11</v>
      </c>
      <c r="E165" s="19" t="s">
        <v>369</v>
      </c>
      <c r="F165" s="19"/>
      <c r="G165" s="20">
        <f>G166</f>
        <v>27063.700000000004</v>
      </c>
      <c r="H165" s="20">
        <f>H166</f>
        <v>20816.600000000002</v>
      </c>
      <c r="I165" s="20">
        <f>I166</f>
        <v>20816.600000000002</v>
      </c>
      <c r="J165" s="104"/>
      <c r="K165" s="104"/>
      <c r="L165" s="104"/>
      <c r="M165" s="104"/>
      <c r="N165" s="104"/>
      <c r="O165" s="104"/>
      <c r="P165" s="104"/>
      <c r="Q165" s="104"/>
    </row>
    <row r="166" spans="1:17" s="26" customFormat="1" ht="25.5" x14ac:dyDescent="0.2">
      <c r="A166" s="28" t="s">
        <v>143</v>
      </c>
      <c r="B166" s="32">
        <v>904</v>
      </c>
      <c r="C166" s="24" t="s">
        <v>20</v>
      </c>
      <c r="D166" s="24" t="s">
        <v>11</v>
      </c>
      <c r="E166" s="24" t="s">
        <v>369</v>
      </c>
      <c r="F166" s="27" t="s">
        <v>64</v>
      </c>
      <c r="G166" s="25">
        <f>20716.7+99.9-15+5851.7+142.7-70.3+211.5+37.9+88.6</f>
        <v>27063.700000000004</v>
      </c>
      <c r="H166" s="25">
        <f>20716.7+99.9</f>
        <v>20816.600000000002</v>
      </c>
      <c r="I166" s="25">
        <f>20716.7+99.9</f>
        <v>20816.600000000002</v>
      </c>
      <c r="J166" s="105"/>
      <c r="K166" s="105"/>
      <c r="L166" s="105"/>
      <c r="M166" s="105"/>
      <c r="N166" s="105"/>
      <c r="O166" s="105"/>
      <c r="P166" s="105"/>
      <c r="Q166" s="105"/>
    </row>
    <row r="167" spans="1:17" s="9" customFormat="1" x14ac:dyDescent="0.2">
      <c r="A167" s="11" t="s">
        <v>2</v>
      </c>
      <c r="B167" s="14">
        <v>904</v>
      </c>
      <c r="C167" s="8" t="s">
        <v>20</v>
      </c>
      <c r="D167" s="8" t="s">
        <v>13</v>
      </c>
      <c r="E167" s="8"/>
      <c r="F167" s="8"/>
      <c r="G167" s="4">
        <f t="shared" ref="G167:I168" si="27">G168</f>
        <v>281.89999999999998</v>
      </c>
      <c r="H167" s="4">
        <f t="shared" si="27"/>
        <v>281.89999999999998</v>
      </c>
      <c r="I167" s="4">
        <f t="shared" si="27"/>
        <v>281.89999999999998</v>
      </c>
    </row>
    <row r="168" spans="1:17" ht="25.5" x14ac:dyDescent="0.2">
      <c r="A168" s="18" t="s">
        <v>201</v>
      </c>
      <c r="B168" s="22">
        <v>904</v>
      </c>
      <c r="C168" s="19" t="s">
        <v>20</v>
      </c>
      <c r="D168" s="19" t="s">
        <v>13</v>
      </c>
      <c r="E168" s="19" t="s">
        <v>200</v>
      </c>
      <c r="F168" s="19"/>
      <c r="G168" s="20">
        <f t="shared" si="27"/>
        <v>281.89999999999998</v>
      </c>
      <c r="H168" s="20">
        <f t="shared" si="27"/>
        <v>281.89999999999998</v>
      </c>
      <c r="I168" s="20">
        <f t="shared" si="27"/>
        <v>281.89999999999998</v>
      </c>
      <c r="J168" s="21"/>
      <c r="K168" s="21"/>
      <c r="L168" s="21"/>
      <c r="M168" s="21"/>
      <c r="N168" s="21"/>
      <c r="O168" s="21"/>
      <c r="P168" s="21"/>
      <c r="Q168" s="21"/>
    </row>
    <row r="169" spans="1:17" s="26" customFormat="1" ht="25.5" x14ac:dyDescent="0.2">
      <c r="A169" s="28" t="s">
        <v>75</v>
      </c>
      <c r="B169" s="32">
        <v>904</v>
      </c>
      <c r="C169" s="24" t="s">
        <v>20</v>
      </c>
      <c r="D169" s="24" t="s">
        <v>13</v>
      </c>
      <c r="E169" s="24" t="s">
        <v>200</v>
      </c>
      <c r="F169" s="27" t="s">
        <v>67</v>
      </c>
      <c r="G169" s="25">
        <v>281.89999999999998</v>
      </c>
      <c r="H169" s="25">
        <v>281.89999999999998</v>
      </c>
      <c r="I169" s="25">
        <v>281.89999999999998</v>
      </c>
    </row>
    <row r="170" spans="1:17" s="9" customFormat="1" ht="25.5" x14ac:dyDescent="0.2">
      <c r="A170" s="11" t="s">
        <v>4</v>
      </c>
      <c r="B170" s="14">
        <v>904</v>
      </c>
      <c r="C170" s="8" t="s">
        <v>20</v>
      </c>
      <c r="D170" s="8" t="s">
        <v>30</v>
      </c>
      <c r="E170" s="8"/>
      <c r="F170" s="8"/>
      <c r="G170" s="4">
        <f>G171</f>
        <v>1104.7</v>
      </c>
      <c r="H170" s="4">
        <f>H171</f>
        <v>983.9</v>
      </c>
      <c r="I170" s="4">
        <f>I171</f>
        <v>983.9</v>
      </c>
      <c r="J170" s="106"/>
      <c r="K170" s="106"/>
      <c r="L170" s="106"/>
      <c r="M170" s="106"/>
      <c r="N170" s="106"/>
      <c r="O170" s="106"/>
      <c r="P170" s="106"/>
      <c r="Q170" s="106"/>
    </row>
    <row r="171" spans="1:17" ht="25.5" x14ac:dyDescent="0.2">
      <c r="A171" s="18" t="s">
        <v>197</v>
      </c>
      <c r="B171" s="22">
        <v>904</v>
      </c>
      <c r="C171" s="19" t="s">
        <v>20</v>
      </c>
      <c r="D171" s="19" t="s">
        <v>30</v>
      </c>
      <c r="E171" s="19" t="s">
        <v>202</v>
      </c>
      <c r="F171" s="19"/>
      <c r="G171" s="20">
        <f>G172+G173</f>
        <v>1104.7</v>
      </c>
      <c r="H171" s="20">
        <f>H172+H173</f>
        <v>983.9</v>
      </c>
      <c r="I171" s="20">
        <f>I172+I173</f>
        <v>983.9</v>
      </c>
      <c r="J171" s="104"/>
      <c r="K171" s="104"/>
      <c r="L171" s="104"/>
      <c r="M171" s="104"/>
      <c r="N171" s="104"/>
      <c r="O171" s="104"/>
      <c r="P171" s="104"/>
      <c r="Q171" s="104"/>
    </row>
    <row r="172" spans="1:17" s="26" customFormat="1" ht="50.25" customHeight="1" x14ac:dyDescent="0.2">
      <c r="A172" s="30" t="s">
        <v>65</v>
      </c>
      <c r="B172" s="32">
        <v>904</v>
      </c>
      <c r="C172" s="24" t="s">
        <v>20</v>
      </c>
      <c r="D172" s="24" t="s">
        <v>30</v>
      </c>
      <c r="E172" s="24" t="s">
        <v>202</v>
      </c>
      <c r="F172" s="27" t="s">
        <v>66</v>
      </c>
      <c r="G172" s="25">
        <f>717.6+216.7+9+117.9</f>
        <v>1061.2</v>
      </c>
      <c r="H172" s="25">
        <f>717.6+216.7+9</f>
        <v>943.3</v>
      </c>
      <c r="I172" s="25">
        <f>717.6+216.7+9</f>
        <v>943.3</v>
      </c>
    </row>
    <row r="173" spans="1:17" s="26" customFormat="1" ht="25.5" x14ac:dyDescent="0.2">
      <c r="A173" s="28" t="s">
        <v>75</v>
      </c>
      <c r="B173" s="32">
        <v>904</v>
      </c>
      <c r="C173" s="24" t="s">
        <v>20</v>
      </c>
      <c r="D173" s="24" t="s">
        <v>30</v>
      </c>
      <c r="E173" s="24" t="s">
        <v>202</v>
      </c>
      <c r="F173" s="27" t="s">
        <v>67</v>
      </c>
      <c r="G173" s="25">
        <f>40.6+1.5+1.4</f>
        <v>43.5</v>
      </c>
      <c r="H173" s="25">
        <v>40.6</v>
      </c>
      <c r="I173" s="25">
        <v>40.6</v>
      </c>
      <c r="J173" s="105"/>
      <c r="K173" s="105"/>
      <c r="L173" s="105"/>
      <c r="M173" s="105"/>
      <c r="N173" s="105"/>
      <c r="O173" s="105"/>
      <c r="P173" s="105"/>
      <c r="Q173" s="105"/>
    </row>
    <row r="174" spans="1:17" s="9" customFormat="1" ht="38.25" x14ac:dyDescent="0.2">
      <c r="A174" s="40" t="s">
        <v>46</v>
      </c>
      <c r="B174" s="37">
        <v>905</v>
      </c>
      <c r="C174" s="41"/>
      <c r="D174" s="41"/>
      <c r="E174" s="41"/>
      <c r="F174" s="41"/>
      <c r="G174" s="39">
        <f>G175+G197+G207+G203</f>
        <v>99024.237200000003</v>
      </c>
      <c r="H174" s="39">
        <f>H175+H197+H207+H203</f>
        <v>53040.7</v>
      </c>
      <c r="I174" s="39">
        <f>I175+I197+I207+I203</f>
        <v>53950.399999999994</v>
      </c>
    </row>
    <row r="175" spans="1:17" s="91" customFormat="1" x14ac:dyDescent="0.2">
      <c r="A175" s="90" t="s">
        <v>59</v>
      </c>
      <c r="B175" s="59">
        <v>905</v>
      </c>
      <c r="C175" s="60" t="s">
        <v>11</v>
      </c>
      <c r="D175" s="60"/>
      <c r="E175" s="60"/>
      <c r="F175" s="60"/>
      <c r="G175" s="61">
        <f>G176</f>
        <v>50174.5</v>
      </c>
      <c r="H175" s="61">
        <f>H176</f>
        <v>12218.5</v>
      </c>
      <c r="I175" s="61">
        <f>I176</f>
        <v>12218.5</v>
      </c>
    </row>
    <row r="176" spans="1:17" s="66" customFormat="1" x14ac:dyDescent="0.2">
      <c r="A176" s="62" t="s">
        <v>23</v>
      </c>
      <c r="B176" s="63">
        <v>905</v>
      </c>
      <c r="C176" s="64" t="s">
        <v>11</v>
      </c>
      <c r="D176" s="64" t="s">
        <v>60</v>
      </c>
      <c r="E176" s="64"/>
      <c r="F176" s="64"/>
      <c r="G176" s="65">
        <f>G177+G179+G183+G186+G188+G191+G181+G195</f>
        <v>50174.5</v>
      </c>
      <c r="H176" s="65">
        <f t="shared" ref="H176:I176" si="28">H177+H179+H183+H186+H188+H191+H181+H195</f>
        <v>12218.5</v>
      </c>
      <c r="I176" s="65">
        <f t="shared" si="28"/>
        <v>12218.5</v>
      </c>
    </row>
    <row r="177" spans="1:17" s="71" customFormat="1" ht="25.5" x14ac:dyDescent="0.2">
      <c r="A177" s="67" t="s">
        <v>204</v>
      </c>
      <c r="B177" s="68">
        <v>905</v>
      </c>
      <c r="C177" s="69" t="s">
        <v>11</v>
      </c>
      <c r="D177" s="69" t="s">
        <v>60</v>
      </c>
      <c r="E177" s="82" t="s">
        <v>203</v>
      </c>
      <c r="F177" s="82"/>
      <c r="G177" s="83">
        <f>G178</f>
        <v>300</v>
      </c>
      <c r="H177" s="83">
        <f>H178</f>
        <v>200</v>
      </c>
      <c r="I177" s="83">
        <f>I178</f>
        <v>200</v>
      </c>
    </row>
    <row r="178" spans="1:17" s="76" customFormat="1" ht="25.5" x14ac:dyDescent="0.2">
      <c r="A178" s="79" t="s">
        <v>75</v>
      </c>
      <c r="B178" s="73">
        <v>905</v>
      </c>
      <c r="C178" s="74" t="s">
        <v>11</v>
      </c>
      <c r="D178" s="74" t="s">
        <v>60</v>
      </c>
      <c r="E178" s="74" t="s">
        <v>203</v>
      </c>
      <c r="F178" s="75" t="s">
        <v>67</v>
      </c>
      <c r="G178" s="58">
        <f>200+100</f>
        <v>300</v>
      </c>
      <c r="H178" s="58">
        <v>200</v>
      </c>
      <c r="I178" s="58">
        <v>200</v>
      </c>
    </row>
    <row r="179" spans="1:17" ht="25.5" x14ac:dyDescent="0.2">
      <c r="A179" s="18" t="s">
        <v>205</v>
      </c>
      <c r="B179" s="22">
        <v>905</v>
      </c>
      <c r="C179" s="19" t="s">
        <v>11</v>
      </c>
      <c r="D179" s="19" t="s">
        <v>60</v>
      </c>
      <c r="E179" s="5" t="s">
        <v>206</v>
      </c>
      <c r="F179" s="5"/>
      <c r="G179" s="6">
        <f>G180</f>
        <v>1000</v>
      </c>
      <c r="H179" s="6">
        <f>H180</f>
        <v>1000</v>
      </c>
      <c r="I179" s="6">
        <f>I180</f>
        <v>1000</v>
      </c>
      <c r="J179" s="21"/>
      <c r="K179" s="21"/>
      <c r="L179" s="21"/>
      <c r="M179" s="21"/>
      <c r="N179" s="21"/>
      <c r="O179" s="21"/>
      <c r="P179" s="21"/>
      <c r="Q179" s="21"/>
    </row>
    <row r="180" spans="1:17" s="26" customFormat="1" ht="25.5" x14ac:dyDescent="0.2">
      <c r="A180" s="28" t="s">
        <v>75</v>
      </c>
      <c r="B180" s="32">
        <v>905</v>
      </c>
      <c r="C180" s="24" t="s">
        <v>11</v>
      </c>
      <c r="D180" s="24" t="s">
        <v>60</v>
      </c>
      <c r="E180" s="24" t="s">
        <v>206</v>
      </c>
      <c r="F180" s="27" t="s">
        <v>67</v>
      </c>
      <c r="G180" s="25">
        <v>1000</v>
      </c>
      <c r="H180" s="25">
        <v>1000</v>
      </c>
      <c r="I180" s="25">
        <v>1000</v>
      </c>
    </row>
    <row r="181" spans="1:17" ht="38.25" x14ac:dyDescent="0.2">
      <c r="A181" s="18" t="s">
        <v>207</v>
      </c>
      <c r="B181" s="22">
        <v>905</v>
      </c>
      <c r="C181" s="19" t="s">
        <v>11</v>
      </c>
      <c r="D181" s="19" t="s">
        <v>60</v>
      </c>
      <c r="E181" s="19" t="s">
        <v>208</v>
      </c>
      <c r="F181" s="19"/>
      <c r="G181" s="20">
        <f>G182</f>
        <v>200</v>
      </c>
      <c r="H181" s="20">
        <f>H182</f>
        <v>200</v>
      </c>
      <c r="I181" s="20">
        <f>I182</f>
        <v>200</v>
      </c>
      <c r="J181" s="21"/>
      <c r="K181" s="21"/>
      <c r="L181" s="21"/>
      <c r="M181" s="21"/>
      <c r="N181" s="21"/>
      <c r="O181" s="21"/>
      <c r="P181" s="21"/>
      <c r="Q181" s="21"/>
    </row>
    <row r="182" spans="1:17" s="26" customFormat="1" ht="25.5" x14ac:dyDescent="0.2">
      <c r="A182" s="28" t="s">
        <v>75</v>
      </c>
      <c r="B182" s="31">
        <v>905</v>
      </c>
      <c r="C182" s="24" t="s">
        <v>11</v>
      </c>
      <c r="D182" s="24" t="s">
        <v>60</v>
      </c>
      <c r="E182" s="24" t="s">
        <v>208</v>
      </c>
      <c r="F182" s="27" t="s">
        <v>67</v>
      </c>
      <c r="G182" s="25">
        <v>200</v>
      </c>
      <c r="H182" s="25">
        <v>200</v>
      </c>
      <c r="I182" s="25">
        <v>200</v>
      </c>
    </row>
    <row r="183" spans="1:17" s="71" customFormat="1" x14ac:dyDescent="0.2">
      <c r="A183" s="67" t="s">
        <v>209</v>
      </c>
      <c r="B183" s="68">
        <v>905</v>
      </c>
      <c r="C183" s="69" t="s">
        <v>11</v>
      </c>
      <c r="D183" s="69" t="s">
        <v>60</v>
      </c>
      <c r="E183" s="82" t="s">
        <v>210</v>
      </c>
      <c r="F183" s="82"/>
      <c r="G183" s="83">
        <f>G185+G184</f>
        <v>1200</v>
      </c>
      <c r="H183" s="83">
        <f>H185+H184</f>
        <v>1400</v>
      </c>
      <c r="I183" s="83">
        <f>I185+I184</f>
        <v>1400</v>
      </c>
    </row>
    <row r="184" spans="1:17" s="76" customFormat="1" ht="25.5" x14ac:dyDescent="0.2">
      <c r="A184" s="79" t="s">
        <v>75</v>
      </c>
      <c r="B184" s="73">
        <v>905</v>
      </c>
      <c r="C184" s="74" t="s">
        <v>11</v>
      </c>
      <c r="D184" s="74" t="s">
        <v>60</v>
      </c>
      <c r="E184" s="74" t="s">
        <v>210</v>
      </c>
      <c r="F184" s="75" t="s">
        <v>67</v>
      </c>
      <c r="G184" s="58">
        <f>800-200</f>
        <v>600</v>
      </c>
      <c r="H184" s="58">
        <v>800</v>
      </c>
      <c r="I184" s="58">
        <v>800</v>
      </c>
    </row>
    <row r="185" spans="1:17" s="26" customFormat="1" x14ac:dyDescent="0.2">
      <c r="A185" s="28" t="s">
        <v>71</v>
      </c>
      <c r="B185" s="32">
        <v>905</v>
      </c>
      <c r="C185" s="24" t="s">
        <v>11</v>
      </c>
      <c r="D185" s="24" t="s">
        <v>60</v>
      </c>
      <c r="E185" s="24" t="s">
        <v>210</v>
      </c>
      <c r="F185" s="27" t="s">
        <v>72</v>
      </c>
      <c r="G185" s="25">
        <f>600</f>
        <v>600</v>
      </c>
      <c r="H185" s="25">
        <v>600</v>
      </c>
      <c r="I185" s="25">
        <v>600</v>
      </c>
    </row>
    <row r="186" spans="1:17" s="71" customFormat="1" x14ac:dyDescent="0.2">
      <c r="A186" s="67" t="s">
        <v>212</v>
      </c>
      <c r="B186" s="68">
        <v>905</v>
      </c>
      <c r="C186" s="69" t="s">
        <v>11</v>
      </c>
      <c r="D186" s="69" t="s">
        <v>60</v>
      </c>
      <c r="E186" s="82" t="s">
        <v>211</v>
      </c>
      <c r="F186" s="82"/>
      <c r="G186" s="83">
        <f>G187</f>
        <v>900</v>
      </c>
      <c r="H186" s="83">
        <f>H187</f>
        <v>600</v>
      </c>
      <c r="I186" s="83">
        <f>I187</f>
        <v>600</v>
      </c>
    </row>
    <row r="187" spans="1:17" s="76" customFormat="1" ht="25.5" x14ac:dyDescent="0.2">
      <c r="A187" s="79" t="s">
        <v>75</v>
      </c>
      <c r="B187" s="73">
        <v>905</v>
      </c>
      <c r="C187" s="74" t="s">
        <v>11</v>
      </c>
      <c r="D187" s="74" t="s">
        <v>60</v>
      </c>
      <c r="E187" s="74" t="s">
        <v>211</v>
      </c>
      <c r="F187" s="75" t="s">
        <v>67</v>
      </c>
      <c r="G187" s="58">
        <f>600+300</f>
        <v>900</v>
      </c>
      <c r="H187" s="58">
        <v>600</v>
      </c>
      <c r="I187" s="58">
        <v>600</v>
      </c>
    </row>
    <row r="188" spans="1:17" x14ac:dyDescent="0.2">
      <c r="A188" s="18" t="s">
        <v>213</v>
      </c>
      <c r="B188" s="22">
        <v>905</v>
      </c>
      <c r="C188" s="19" t="s">
        <v>11</v>
      </c>
      <c r="D188" s="19" t="s">
        <v>60</v>
      </c>
      <c r="E188" s="5" t="s">
        <v>214</v>
      </c>
      <c r="F188" s="5"/>
      <c r="G188" s="6">
        <f>G189+G190</f>
        <v>21706.2</v>
      </c>
      <c r="H188" s="6">
        <f>H189+H190</f>
        <v>1039.7</v>
      </c>
      <c r="I188" s="6">
        <f>I189+I190</f>
        <v>1039.7</v>
      </c>
      <c r="J188" s="104"/>
      <c r="K188" s="104"/>
      <c r="L188" s="104"/>
      <c r="M188" s="104"/>
      <c r="N188" s="104"/>
      <c r="O188" s="104"/>
      <c r="P188" s="104"/>
      <c r="Q188" s="104"/>
    </row>
    <row r="189" spans="1:17" s="26" customFormat="1" ht="25.5" x14ac:dyDescent="0.2">
      <c r="A189" s="28" t="s">
        <v>75</v>
      </c>
      <c r="B189" s="23">
        <v>905</v>
      </c>
      <c r="C189" s="24" t="s">
        <v>11</v>
      </c>
      <c r="D189" s="24" t="s">
        <v>60</v>
      </c>
      <c r="E189" s="24" t="s">
        <v>214</v>
      </c>
      <c r="F189" s="27" t="s">
        <v>67</v>
      </c>
      <c r="G189" s="25">
        <v>100</v>
      </c>
      <c r="H189" s="25">
        <v>100</v>
      </c>
      <c r="I189" s="25">
        <v>100</v>
      </c>
    </row>
    <row r="190" spans="1:17" s="26" customFormat="1" x14ac:dyDescent="0.2">
      <c r="A190" s="28" t="s">
        <v>71</v>
      </c>
      <c r="B190" s="31">
        <v>905</v>
      </c>
      <c r="C190" s="19" t="s">
        <v>11</v>
      </c>
      <c r="D190" s="19" t="s">
        <v>60</v>
      </c>
      <c r="E190" s="24" t="s">
        <v>214</v>
      </c>
      <c r="F190" s="24" t="s">
        <v>72</v>
      </c>
      <c r="G190" s="25">
        <f>939.7+16.5-100-650+21400</f>
        <v>21606.2</v>
      </c>
      <c r="H190" s="25">
        <v>939.7</v>
      </c>
      <c r="I190" s="25">
        <v>939.7</v>
      </c>
      <c r="J190" s="105"/>
      <c r="K190" s="105"/>
      <c r="L190" s="105"/>
      <c r="M190" s="105"/>
      <c r="N190" s="105"/>
      <c r="O190" s="105"/>
      <c r="P190" s="105"/>
      <c r="Q190" s="105"/>
    </row>
    <row r="191" spans="1:17" s="71" customFormat="1" ht="25.5" x14ac:dyDescent="0.2">
      <c r="A191" s="67" t="s">
        <v>215</v>
      </c>
      <c r="B191" s="68">
        <v>905</v>
      </c>
      <c r="C191" s="69" t="s">
        <v>11</v>
      </c>
      <c r="D191" s="69" t="s">
        <v>60</v>
      </c>
      <c r="E191" s="82" t="s">
        <v>216</v>
      </c>
      <c r="F191" s="69"/>
      <c r="G191" s="70">
        <f>G192+G194+G193</f>
        <v>9268.3000000000011</v>
      </c>
      <c r="H191" s="70">
        <f t="shared" ref="H191:I191" si="29">H192+H194+H193</f>
        <v>7778.8000000000011</v>
      </c>
      <c r="I191" s="70">
        <f t="shared" si="29"/>
        <v>7778.8000000000011</v>
      </c>
    </row>
    <row r="192" spans="1:17" s="26" customFormat="1" ht="51" customHeight="1" x14ac:dyDescent="0.2">
      <c r="A192" s="30" t="s">
        <v>65</v>
      </c>
      <c r="B192" s="32">
        <v>905</v>
      </c>
      <c r="C192" s="24" t="s">
        <v>11</v>
      </c>
      <c r="D192" s="24" t="s">
        <v>60</v>
      </c>
      <c r="E192" s="24" t="s">
        <v>216</v>
      </c>
      <c r="F192" s="27" t="s">
        <v>66</v>
      </c>
      <c r="G192" s="25">
        <f>5397.6+1630.1+67.6+886.9</f>
        <v>7982.2000000000007</v>
      </c>
      <c r="H192" s="25">
        <f>5397.6+1630.1+67.6</f>
        <v>7095.3000000000011</v>
      </c>
      <c r="I192" s="25">
        <f>5397.6+1630.1+67.6</f>
        <v>7095.3000000000011</v>
      </c>
    </row>
    <row r="193" spans="1:17" s="76" customFormat="1" ht="25.5" x14ac:dyDescent="0.2">
      <c r="A193" s="79" t="s">
        <v>75</v>
      </c>
      <c r="B193" s="73">
        <v>905</v>
      </c>
      <c r="C193" s="74" t="s">
        <v>11</v>
      </c>
      <c r="D193" s="74" t="s">
        <v>60</v>
      </c>
      <c r="E193" s="74" t="s">
        <v>216</v>
      </c>
      <c r="F193" s="75" t="s">
        <v>67</v>
      </c>
      <c r="G193" s="58">
        <f>683.5+52.6-5+200+350</f>
        <v>1281.0999999999999</v>
      </c>
      <c r="H193" s="58">
        <v>683.5</v>
      </c>
      <c r="I193" s="58">
        <v>683.5</v>
      </c>
    </row>
    <row r="194" spans="1:17" s="26" customFormat="1" x14ac:dyDescent="0.2">
      <c r="A194" s="28" t="s">
        <v>71</v>
      </c>
      <c r="B194" s="32">
        <v>905</v>
      </c>
      <c r="C194" s="24" t="s">
        <v>11</v>
      </c>
      <c r="D194" s="24" t="s">
        <v>60</v>
      </c>
      <c r="E194" s="24" t="s">
        <v>216</v>
      </c>
      <c r="F194" s="27" t="s">
        <v>72</v>
      </c>
      <c r="G194" s="25">
        <v>5</v>
      </c>
      <c r="H194" s="25">
        <v>0</v>
      </c>
      <c r="I194" s="25">
        <v>0</v>
      </c>
    </row>
    <row r="195" spans="1:17" ht="18" customHeight="1" x14ac:dyDescent="0.2">
      <c r="A195" s="18" t="s">
        <v>431</v>
      </c>
      <c r="B195" s="22">
        <v>905</v>
      </c>
      <c r="C195" s="19" t="s">
        <v>11</v>
      </c>
      <c r="D195" s="19" t="s">
        <v>60</v>
      </c>
      <c r="E195" s="5" t="s">
        <v>432</v>
      </c>
      <c r="F195" s="5"/>
      <c r="G195" s="6">
        <f>G196</f>
        <v>15600</v>
      </c>
      <c r="H195" s="6">
        <f t="shared" ref="H195:Q195" si="30">H196</f>
        <v>0</v>
      </c>
      <c r="I195" s="6">
        <f t="shared" si="30"/>
        <v>0</v>
      </c>
      <c r="J195" s="121">
        <f t="shared" si="30"/>
        <v>0</v>
      </c>
      <c r="K195" s="121">
        <f t="shared" si="30"/>
        <v>0</v>
      </c>
      <c r="L195" s="121">
        <f t="shared" si="30"/>
        <v>0</v>
      </c>
      <c r="M195" s="121">
        <f t="shared" si="30"/>
        <v>0</v>
      </c>
      <c r="N195" s="121">
        <f t="shared" si="30"/>
        <v>0</v>
      </c>
      <c r="O195" s="121">
        <f t="shared" si="30"/>
        <v>0</v>
      </c>
      <c r="P195" s="121">
        <f t="shared" si="30"/>
        <v>0</v>
      </c>
      <c r="Q195" s="121">
        <f t="shared" si="30"/>
        <v>0</v>
      </c>
    </row>
    <row r="196" spans="1:17" s="26" customFormat="1" x14ac:dyDescent="0.2">
      <c r="A196" s="28" t="s">
        <v>71</v>
      </c>
      <c r="B196" s="31">
        <v>905</v>
      </c>
      <c r="C196" s="19" t="s">
        <v>11</v>
      </c>
      <c r="D196" s="19" t="s">
        <v>60</v>
      </c>
      <c r="E196" s="24" t="s">
        <v>432</v>
      </c>
      <c r="F196" s="24" t="s">
        <v>72</v>
      </c>
      <c r="G196" s="25">
        <v>15600</v>
      </c>
      <c r="H196" s="25">
        <v>0</v>
      </c>
      <c r="I196" s="25">
        <v>0</v>
      </c>
      <c r="J196" s="105"/>
      <c r="K196" s="105"/>
      <c r="L196" s="105"/>
      <c r="M196" s="105"/>
      <c r="N196" s="105"/>
      <c r="O196" s="105"/>
      <c r="P196" s="105"/>
      <c r="Q196" s="105"/>
    </row>
    <row r="197" spans="1:17" s="3" customFormat="1" x14ac:dyDescent="0.2">
      <c r="A197" s="13" t="s">
        <v>26</v>
      </c>
      <c r="B197" s="42">
        <v>905</v>
      </c>
      <c r="C197" s="1" t="s">
        <v>17</v>
      </c>
      <c r="D197" s="1"/>
      <c r="E197" s="1"/>
      <c r="F197" s="1"/>
      <c r="G197" s="2">
        <f>G198</f>
        <v>1700</v>
      </c>
      <c r="H197" s="2">
        <f>H198</f>
        <v>1700</v>
      </c>
      <c r="I197" s="2">
        <f>I198</f>
        <v>1700</v>
      </c>
    </row>
    <row r="198" spans="1:17" s="9" customFormat="1" x14ac:dyDescent="0.2">
      <c r="A198" s="11" t="s">
        <v>28</v>
      </c>
      <c r="B198" s="14">
        <v>905</v>
      </c>
      <c r="C198" s="8" t="s">
        <v>17</v>
      </c>
      <c r="D198" s="8" t="s">
        <v>22</v>
      </c>
      <c r="E198" s="8"/>
      <c r="F198" s="8"/>
      <c r="G198" s="4">
        <f>G199+G201</f>
        <v>1700</v>
      </c>
      <c r="H198" s="4">
        <f>H199+H201</f>
        <v>1700</v>
      </c>
      <c r="I198" s="4">
        <f>I199+I201</f>
        <v>1700</v>
      </c>
    </row>
    <row r="199" spans="1:17" x14ac:dyDescent="0.2">
      <c r="A199" s="18" t="s">
        <v>218</v>
      </c>
      <c r="B199" s="22">
        <v>905</v>
      </c>
      <c r="C199" s="19" t="s">
        <v>17</v>
      </c>
      <c r="D199" s="19" t="s">
        <v>22</v>
      </c>
      <c r="E199" s="19" t="s">
        <v>217</v>
      </c>
      <c r="F199" s="19"/>
      <c r="G199" s="20">
        <f>G200</f>
        <v>1000</v>
      </c>
      <c r="H199" s="20">
        <f>H200</f>
        <v>1000</v>
      </c>
      <c r="I199" s="20">
        <f>I200</f>
        <v>1000</v>
      </c>
      <c r="J199" s="21"/>
      <c r="K199" s="21"/>
      <c r="L199" s="21"/>
      <c r="M199" s="21"/>
      <c r="N199" s="21"/>
      <c r="O199" s="21"/>
      <c r="P199" s="21"/>
      <c r="Q199" s="21"/>
    </row>
    <row r="200" spans="1:17" s="26" customFormat="1" ht="25.5" x14ac:dyDescent="0.2">
      <c r="A200" s="28" t="s">
        <v>75</v>
      </c>
      <c r="B200" s="31">
        <v>905</v>
      </c>
      <c r="C200" s="24" t="s">
        <v>17</v>
      </c>
      <c r="D200" s="24" t="s">
        <v>22</v>
      </c>
      <c r="E200" s="24" t="s">
        <v>217</v>
      </c>
      <c r="F200" s="27" t="s">
        <v>67</v>
      </c>
      <c r="G200" s="25">
        <v>1000</v>
      </c>
      <c r="H200" s="25">
        <v>1000</v>
      </c>
      <c r="I200" s="25">
        <v>1000</v>
      </c>
    </row>
    <row r="201" spans="1:17" ht="38.25" x14ac:dyDescent="0.2">
      <c r="A201" s="18" t="s">
        <v>219</v>
      </c>
      <c r="B201" s="22">
        <v>905</v>
      </c>
      <c r="C201" s="19" t="s">
        <v>17</v>
      </c>
      <c r="D201" s="19" t="s">
        <v>22</v>
      </c>
      <c r="E201" s="19" t="s">
        <v>220</v>
      </c>
      <c r="F201" s="19"/>
      <c r="G201" s="20">
        <f>G202</f>
        <v>700</v>
      </c>
      <c r="H201" s="20">
        <f>H202</f>
        <v>700</v>
      </c>
      <c r="I201" s="20">
        <f>I202</f>
        <v>700</v>
      </c>
      <c r="J201" s="21"/>
      <c r="K201" s="21"/>
      <c r="L201" s="21"/>
      <c r="M201" s="21"/>
      <c r="N201" s="21"/>
      <c r="O201" s="21"/>
      <c r="P201" s="21"/>
      <c r="Q201" s="21"/>
    </row>
    <row r="202" spans="1:17" s="26" customFormat="1" ht="25.5" x14ac:dyDescent="0.2">
      <c r="A202" s="28" t="s">
        <v>75</v>
      </c>
      <c r="B202" s="32">
        <v>905</v>
      </c>
      <c r="C202" s="24" t="s">
        <v>17</v>
      </c>
      <c r="D202" s="24" t="s">
        <v>22</v>
      </c>
      <c r="E202" s="24" t="s">
        <v>220</v>
      </c>
      <c r="F202" s="27" t="s">
        <v>67</v>
      </c>
      <c r="G202" s="25">
        <v>700</v>
      </c>
      <c r="H202" s="25">
        <v>700</v>
      </c>
      <c r="I202" s="25">
        <v>700</v>
      </c>
    </row>
    <row r="203" spans="1:17" s="3" customFormat="1" x14ac:dyDescent="0.2">
      <c r="A203" s="13" t="s">
        <v>29</v>
      </c>
      <c r="B203" s="42">
        <v>905</v>
      </c>
      <c r="C203" s="1" t="s">
        <v>30</v>
      </c>
      <c r="D203" s="1"/>
      <c r="E203" s="1"/>
      <c r="F203" s="1"/>
      <c r="G203" s="2">
        <f>G204</f>
        <v>6538.3</v>
      </c>
      <c r="H203" s="2">
        <f t="shared" ref="H203:I203" si="31">H204</f>
        <v>0</v>
      </c>
      <c r="I203" s="2">
        <f t="shared" si="31"/>
        <v>0</v>
      </c>
    </row>
    <row r="204" spans="1:17" s="9" customFormat="1" x14ac:dyDescent="0.2">
      <c r="A204" s="11" t="s">
        <v>31</v>
      </c>
      <c r="B204" s="14">
        <v>905</v>
      </c>
      <c r="C204" s="8" t="s">
        <v>30</v>
      </c>
      <c r="D204" s="8" t="s">
        <v>11</v>
      </c>
      <c r="E204" s="8"/>
      <c r="F204" s="8"/>
      <c r="G204" s="4">
        <f t="shared" ref="G204:I205" si="32">G205</f>
        <v>6538.3</v>
      </c>
      <c r="H204" s="4">
        <f t="shared" si="32"/>
        <v>0</v>
      </c>
      <c r="I204" s="4">
        <f t="shared" si="32"/>
        <v>0</v>
      </c>
    </row>
    <row r="205" spans="1:17" ht="25.5" x14ac:dyDescent="0.2">
      <c r="A205" s="18" t="s">
        <v>221</v>
      </c>
      <c r="B205" s="22">
        <v>905</v>
      </c>
      <c r="C205" s="19" t="s">
        <v>30</v>
      </c>
      <c r="D205" s="19" t="s">
        <v>11</v>
      </c>
      <c r="E205" s="19" t="s">
        <v>222</v>
      </c>
      <c r="F205" s="19"/>
      <c r="G205" s="20">
        <f t="shared" si="32"/>
        <v>6538.3</v>
      </c>
      <c r="H205" s="20">
        <f t="shared" si="32"/>
        <v>0</v>
      </c>
      <c r="I205" s="20">
        <f t="shared" si="32"/>
        <v>0</v>
      </c>
      <c r="J205" s="21"/>
      <c r="K205" s="21"/>
      <c r="L205" s="21"/>
      <c r="M205" s="21"/>
      <c r="N205" s="21"/>
      <c r="O205" s="21"/>
      <c r="P205" s="21"/>
      <c r="Q205" s="21"/>
    </row>
    <row r="206" spans="1:17" s="26" customFormat="1" ht="25.5" x14ac:dyDescent="0.2">
      <c r="A206" s="28" t="s">
        <v>75</v>
      </c>
      <c r="B206" s="31">
        <v>905</v>
      </c>
      <c r="C206" s="24" t="s">
        <v>30</v>
      </c>
      <c r="D206" s="24" t="s">
        <v>11</v>
      </c>
      <c r="E206" s="24" t="s">
        <v>222</v>
      </c>
      <c r="F206" s="24" t="s">
        <v>67</v>
      </c>
      <c r="G206" s="25">
        <v>6538.3</v>
      </c>
      <c r="H206" s="25"/>
      <c r="I206" s="25"/>
    </row>
    <row r="207" spans="1:17" s="9" customFormat="1" x14ac:dyDescent="0.2">
      <c r="A207" s="11" t="s">
        <v>51</v>
      </c>
      <c r="B207" s="14">
        <v>905</v>
      </c>
      <c r="C207" s="8" t="s">
        <v>50</v>
      </c>
      <c r="D207" s="8"/>
      <c r="E207" s="8"/>
      <c r="F207" s="8"/>
      <c r="G207" s="4">
        <f>G208+G213</f>
        <v>40611.4372</v>
      </c>
      <c r="H207" s="4">
        <f>H208+H213</f>
        <v>39122.199999999997</v>
      </c>
      <c r="I207" s="4">
        <f>I208+I213</f>
        <v>40031.899999999994</v>
      </c>
    </row>
    <row r="208" spans="1:17" s="9" customFormat="1" x14ac:dyDescent="0.2">
      <c r="A208" s="11" t="s">
        <v>55</v>
      </c>
      <c r="B208" s="14">
        <v>905</v>
      </c>
      <c r="C208" s="8" t="s">
        <v>50</v>
      </c>
      <c r="D208" s="8" t="s">
        <v>17</v>
      </c>
      <c r="E208" s="8"/>
      <c r="F208" s="8"/>
      <c r="G208" s="4">
        <f>G209+G211</f>
        <v>40580.737200000003</v>
      </c>
      <c r="H208" s="4">
        <f t="shared" ref="H208:I208" si="33">H209+H211</f>
        <v>39091.5</v>
      </c>
      <c r="I208" s="4">
        <f t="shared" si="33"/>
        <v>40001.199999999997</v>
      </c>
    </row>
    <row r="209" spans="1:17" ht="39" customHeight="1" x14ac:dyDescent="0.2">
      <c r="A209" s="18" t="s">
        <v>223</v>
      </c>
      <c r="B209" s="22">
        <v>905</v>
      </c>
      <c r="C209" s="19" t="s">
        <v>50</v>
      </c>
      <c r="D209" s="16" t="s">
        <v>17</v>
      </c>
      <c r="E209" s="19" t="s">
        <v>133</v>
      </c>
      <c r="F209" s="19"/>
      <c r="G209" s="20">
        <f>G210</f>
        <v>26293.5</v>
      </c>
      <c r="H209" s="20">
        <f>H210</f>
        <v>27404.7</v>
      </c>
      <c r="I209" s="20">
        <f>I210</f>
        <v>28500.799999999999</v>
      </c>
      <c r="J209" s="21"/>
      <c r="K209" s="21"/>
      <c r="L209" s="21"/>
      <c r="M209" s="21"/>
      <c r="N209" s="21"/>
      <c r="O209" s="21"/>
      <c r="P209" s="21"/>
      <c r="Q209" s="21"/>
    </row>
    <row r="210" spans="1:17" s="26" customFormat="1" ht="25.5" x14ac:dyDescent="0.2">
      <c r="A210" s="28" t="s">
        <v>82</v>
      </c>
      <c r="B210" s="31">
        <v>905</v>
      </c>
      <c r="C210" s="24" t="s">
        <v>50</v>
      </c>
      <c r="D210" s="24" t="s">
        <v>17</v>
      </c>
      <c r="E210" s="19" t="s">
        <v>133</v>
      </c>
      <c r="F210" s="24" t="s">
        <v>70</v>
      </c>
      <c r="G210" s="25">
        <f>26434-140.5</f>
        <v>26293.5</v>
      </c>
      <c r="H210" s="25">
        <f>27564-159.3</f>
        <v>27404.7</v>
      </c>
      <c r="I210" s="25">
        <f>28666.6-165.8</f>
        <v>28500.799999999999</v>
      </c>
    </row>
    <row r="211" spans="1:17" ht="41.25" customHeight="1" x14ac:dyDescent="0.2">
      <c r="A211" s="18" t="s">
        <v>223</v>
      </c>
      <c r="B211" s="18">
        <v>905</v>
      </c>
      <c r="C211" s="19" t="s">
        <v>50</v>
      </c>
      <c r="D211" s="16" t="s">
        <v>17</v>
      </c>
      <c r="E211" s="19" t="s">
        <v>364</v>
      </c>
      <c r="F211" s="19"/>
      <c r="G211" s="20">
        <f>G212</f>
        <v>14287.2372</v>
      </c>
      <c r="H211" s="20">
        <f>H212</f>
        <v>11686.800000000001</v>
      </c>
      <c r="I211" s="20">
        <f>I212</f>
        <v>11500.4</v>
      </c>
      <c r="J211" s="21"/>
      <c r="K211" s="21"/>
      <c r="L211" s="21"/>
      <c r="M211" s="21"/>
      <c r="N211" s="21"/>
      <c r="O211" s="21"/>
      <c r="P211" s="21"/>
      <c r="Q211" s="21"/>
    </row>
    <row r="212" spans="1:17" s="71" customFormat="1" ht="25.5" x14ac:dyDescent="0.2">
      <c r="A212" s="79" t="s">
        <v>82</v>
      </c>
      <c r="B212" s="79">
        <v>905</v>
      </c>
      <c r="C212" s="74" t="s">
        <v>50</v>
      </c>
      <c r="D212" s="74" t="s">
        <v>17</v>
      </c>
      <c r="E212" s="69" t="s">
        <v>364</v>
      </c>
      <c r="F212" s="74" t="s">
        <v>70</v>
      </c>
      <c r="G212" s="58">
        <f>11851.8+23.9+2724-312.4628</f>
        <v>14287.2372</v>
      </c>
      <c r="H212" s="58">
        <f>11659.7+27.1</f>
        <v>11686.800000000001</v>
      </c>
      <c r="I212" s="58">
        <f>11472.3+28.1</f>
        <v>11500.4</v>
      </c>
    </row>
    <row r="213" spans="1:17" s="9" customFormat="1" x14ac:dyDescent="0.2">
      <c r="A213" s="11" t="s">
        <v>56</v>
      </c>
      <c r="B213" s="14">
        <v>905</v>
      </c>
      <c r="C213" s="8" t="s">
        <v>50</v>
      </c>
      <c r="D213" s="8" t="s">
        <v>49</v>
      </c>
      <c r="E213" s="8"/>
      <c r="F213" s="8"/>
      <c r="G213" s="4">
        <f t="shared" ref="G213:I214" si="34">G214</f>
        <v>30.7</v>
      </c>
      <c r="H213" s="4">
        <f t="shared" si="34"/>
        <v>30.7</v>
      </c>
      <c r="I213" s="4">
        <f t="shared" si="34"/>
        <v>30.7</v>
      </c>
    </row>
    <row r="214" spans="1:17" x14ac:dyDescent="0.2">
      <c r="A214" s="18" t="s">
        <v>288</v>
      </c>
      <c r="B214" s="22">
        <v>905</v>
      </c>
      <c r="C214" s="19" t="s">
        <v>50</v>
      </c>
      <c r="D214" s="16" t="s">
        <v>49</v>
      </c>
      <c r="E214" s="19" t="s">
        <v>289</v>
      </c>
      <c r="F214" s="19"/>
      <c r="G214" s="20">
        <f t="shared" si="34"/>
        <v>30.7</v>
      </c>
      <c r="H214" s="20">
        <f t="shared" si="34"/>
        <v>30.7</v>
      </c>
      <c r="I214" s="20">
        <f t="shared" si="34"/>
        <v>30.7</v>
      </c>
      <c r="J214" s="21"/>
      <c r="K214" s="21"/>
      <c r="L214" s="21"/>
      <c r="M214" s="21"/>
      <c r="N214" s="21"/>
      <c r="O214" s="21"/>
      <c r="P214" s="21"/>
      <c r="Q214" s="21"/>
    </row>
    <row r="215" spans="1:17" s="26" customFormat="1" x14ac:dyDescent="0.2">
      <c r="A215" s="28" t="s">
        <v>71</v>
      </c>
      <c r="B215" s="31">
        <v>905</v>
      </c>
      <c r="C215" s="24" t="s">
        <v>50</v>
      </c>
      <c r="D215" s="24" t="s">
        <v>49</v>
      </c>
      <c r="E215" s="24" t="s">
        <v>289</v>
      </c>
      <c r="F215" s="24" t="s">
        <v>72</v>
      </c>
      <c r="G215" s="25">
        <v>30.7</v>
      </c>
      <c r="H215" s="25">
        <v>30.7</v>
      </c>
      <c r="I215" s="25">
        <v>30.7</v>
      </c>
    </row>
    <row r="216" spans="1:17" s="9" customFormat="1" ht="25.5" x14ac:dyDescent="0.2">
      <c r="A216" s="40" t="s">
        <v>62</v>
      </c>
      <c r="B216" s="37">
        <v>906</v>
      </c>
      <c r="C216" s="41"/>
      <c r="D216" s="41"/>
      <c r="E216" s="41"/>
      <c r="F216" s="41"/>
      <c r="G216" s="39">
        <f t="shared" ref="G216:I217" si="35">G217</f>
        <v>2408.9</v>
      </c>
      <c r="H216" s="39">
        <f t="shared" si="35"/>
        <v>2115.3999999999996</v>
      </c>
      <c r="I216" s="39">
        <f t="shared" si="35"/>
        <v>2115.3999999999996</v>
      </c>
    </row>
    <row r="217" spans="1:17" s="3" customFormat="1" x14ac:dyDescent="0.2">
      <c r="A217" s="13" t="s">
        <v>59</v>
      </c>
      <c r="B217" s="42">
        <v>906</v>
      </c>
      <c r="C217" s="1" t="s">
        <v>11</v>
      </c>
      <c r="D217" s="1"/>
      <c r="E217" s="1"/>
      <c r="F217" s="1"/>
      <c r="G217" s="2">
        <f t="shared" si="35"/>
        <v>2408.9</v>
      </c>
      <c r="H217" s="2">
        <f t="shared" si="35"/>
        <v>2115.3999999999996</v>
      </c>
      <c r="I217" s="2">
        <f t="shared" si="35"/>
        <v>2115.3999999999996</v>
      </c>
      <c r="J217" s="120"/>
      <c r="K217" s="120"/>
      <c r="L217" s="120"/>
      <c r="M217" s="120"/>
      <c r="N217" s="120"/>
      <c r="O217" s="120"/>
      <c r="P217" s="120"/>
      <c r="Q217" s="120"/>
    </row>
    <row r="218" spans="1:17" s="9" customFormat="1" ht="38.25" x14ac:dyDescent="0.2">
      <c r="A218" s="11" t="s">
        <v>81</v>
      </c>
      <c r="B218" s="14">
        <v>906</v>
      </c>
      <c r="C218" s="8" t="s">
        <v>11</v>
      </c>
      <c r="D218" s="8" t="s">
        <v>49</v>
      </c>
      <c r="E218" s="8"/>
      <c r="F218" s="8"/>
      <c r="G218" s="4">
        <f>G219+G223</f>
        <v>2408.9</v>
      </c>
      <c r="H218" s="4">
        <f>H219+H223</f>
        <v>2115.3999999999996</v>
      </c>
      <c r="I218" s="4">
        <f>I219+I223</f>
        <v>2115.3999999999996</v>
      </c>
      <c r="J218" s="106"/>
      <c r="K218" s="106"/>
      <c r="L218" s="106"/>
      <c r="M218" s="106"/>
      <c r="N218" s="106"/>
      <c r="O218" s="106"/>
      <c r="P218" s="106"/>
      <c r="Q218" s="106"/>
    </row>
    <row r="219" spans="1:17" x14ac:dyDescent="0.2">
      <c r="A219" s="18" t="s">
        <v>225</v>
      </c>
      <c r="B219" s="22">
        <v>906</v>
      </c>
      <c r="C219" s="19" t="s">
        <v>11</v>
      </c>
      <c r="D219" s="19" t="s">
        <v>49</v>
      </c>
      <c r="E219" s="19" t="s">
        <v>224</v>
      </c>
      <c r="F219" s="19"/>
      <c r="G219" s="20">
        <f>+G220+G221+G222</f>
        <v>1779</v>
      </c>
      <c r="H219" s="20">
        <f>+H220+H221+H222</f>
        <v>1560.1</v>
      </c>
      <c r="I219" s="20">
        <f>+I220+I221+I222</f>
        <v>1560.1</v>
      </c>
      <c r="J219" s="104"/>
      <c r="K219" s="104"/>
      <c r="L219" s="104"/>
      <c r="M219" s="104"/>
      <c r="N219" s="104"/>
      <c r="O219" s="104"/>
      <c r="P219" s="104"/>
      <c r="Q219" s="104"/>
    </row>
    <row r="220" spans="1:17" s="26" customFormat="1" ht="53.25" customHeight="1" x14ac:dyDescent="0.2">
      <c r="A220" s="30" t="s">
        <v>65</v>
      </c>
      <c r="B220" s="32">
        <v>906</v>
      </c>
      <c r="C220" s="24" t="s">
        <v>11</v>
      </c>
      <c r="D220" s="24" t="s">
        <v>49</v>
      </c>
      <c r="E220" s="24" t="s">
        <v>224</v>
      </c>
      <c r="F220" s="27" t="s">
        <v>66</v>
      </c>
      <c r="G220" s="25">
        <f>943.4+284.9+1.1+0.7+11.7+155-5.2</f>
        <v>1391.6</v>
      </c>
      <c r="H220" s="25">
        <f>943.4+284.9+1.1+0.7+11.7</f>
        <v>1241.8</v>
      </c>
      <c r="I220" s="25">
        <f>943.4+284.9+1.1+0.7+11.7</f>
        <v>1241.8</v>
      </c>
      <c r="J220" s="105"/>
      <c r="K220" s="105"/>
      <c r="L220" s="105"/>
      <c r="M220" s="105"/>
      <c r="N220" s="105"/>
      <c r="O220" s="105"/>
      <c r="P220" s="105"/>
      <c r="Q220" s="105"/>
    </row>
    <row r="221" spans="1:17" s="26" customFormat="1" ht="25.5" x14ac:dyDescent="0.2">
      <c r="A221" s="28" t="s">
        <v>75</v>
      </c>
      <c r="B221" s="31">
        <v>906</v>
      </c>
      <c r="C221" s="24" t="s">
        <v>11</v>
      </c>
      <c r="D221" s="24" t="s">
        <v>49</v>
      </c>
      <c r="E221" s="24" t="s">
        <v>224</v>
      </c>
      <c r="F221" s="27" t="s">
        <v>67</v>
      </c>
      <c r="G221" s="25">
        <f>190.5-1.1+128.5+69.1</f>
        <v>387</v>
      </c>
      <c r="H221" s="25">
        <f>190.5-1.1+128.5</f>
        <v>317.89999999999998</v>
      </c>
      <c r="I221" s="25">
        <f>190.5-1.1+128.5</f>
        <v>317.89999999999998</v>
      </c>
    </row>
    <row r="222" spans="1:17" s="26" customFormat="1" x14ac:dyDescent="0.2">
      <c r="A222" s="28" t="s">
        <v>71</v>
      </c>
      <c r="B222" s="31">
        <v>906</v>
      </c>
      <c r="C222" s="24" t="s">
        <v>11</v>
      </c>
      <c r="D222" s="24" t="s">
        <v>49</v>
      </c>
      <c r="E222" s="24" t="s">
        <v>224</v>
      </c>
      <c r="F222" s="24" t="s">
        <v>72</v>
      </c>
      <c r="G222" s="25">
        <f>0.2+0.2</f>
        <v>0.4</v>
      </c>
      <c r="H222" s="25">
        <f>0.2+0.2</f>
        <v>0.4</v>
      </c>
      <c r="I222" s="25">
        <f>0.2+0.2</f>
        <v>0.4</v>
      </c>
    </row>
    <row r="223" spans="1:17" x14ac:dyDescent="0.2">
      <c r="A223" s="18" t="s">
        <v>226</v>
      </c>
      <c r="B223" s="22">
        <v>906</v>
      </c>
      <c r="C223" s="19" t="s">
        <v>11</v>
      </c>
      <c r="D223" s="19" t="s">
        <v>49</v>
      </c>
      <c r="E223" s="19" t="s">
        <v>227</v>
      </c>
      <c r="F223" s="19"/>
      <c r="G223" s="20">
        <f>G224</f>
        <v>629.9</v>
      </c>
      <c r="H223" s="20">
        <f>H224</f>
        <v>555.29999999999995</v>
      </c>
      <c r="I223" s="20">
        <f>I224</f>
        <v>555.29999999999995</v>
      </c>
      <c r="J223" s="104"/>
      <c r="K223" s="104"/>
      <c r="L223" s="104"/>
      <c r="M223" s="104"/>
      <c r="N223" s="104"/>
      <c r="O223" s="104"/>
      <c r="P223" s="104"/>
      <c r="Q223" s="104"/>
    </row>
    <row r="224" spans="1:17" s="26" customFormat="1" ht="51" customHeight="1" x14ac:dyDescent="0.2">
      <c r="A224" s="30" t="s">
        <v>65</v>
      </c>
      <c r="B224" s="32">
        <v>906</v>
      </c>
      <c r="C224" s="24" t="s">
        <v>11</v>
      </c>
      <c r="D224" s="24" t="s">
        <v>49</v>
      </c>
      <c r="E224" s="24" t="s">
        <v>227</v>
      </c>
      <c r="F224" s="27" t="s">
        <v>66</v>
      </c>
      <c r="G224" s="25">
        <f>422.3+127.6+5.4+69.4+5.2</f>
        <v>629.9</v>
      </c>
      <c r="H224" s="25">
        <f>422.3+127.6+5.4</f>
        <v>555.29999999999995</v>
      </c>
      <c r="I224" s="25">
        <f>422.3+127.6+5.4</f>
        <v>555.29999999999995</v>
      </c>
      <c r="J224" s="105"/>
      <c r="K224" s="105"/>
      <c r="L224" s="105"/>
      <c r="M224" s="105"/>
      <c r="N224" s="105"/>
      <c r="O224" s="105"/>
      <c r="P224" s="105"/>
      <c r="Q224" s="105"/>
    </row>
    <row r="225" spans="1:17" s="9" customFormat="1" ht="25.5" x14ac:dyDescent="0.2">
      <c r="A225" s="40" t="s">
        <v>76</v>
      </c>
      <c r="B225" s="37">
        <v>907</v>
      </c>
      <c r="C225" s="41"/>
      <c r="D225" s="41"/>
      <c r="E225" s="41"/>
      <c r="F225" s="41"/>
      <c r="G225" s="39">
        <f>G226</f>
        <v>7160.2999999999993</v>
      </c>
      <c r="H225" s="39">
        <f>H226</f>
        <v>6374.2999999999993</v>
      </c>
      <c r="I225" s="39">
        <f>I226</f>
        <v>6374.2999999999993</v>
      </c>
    </row>
    <row r="226" spans="1:17" s="3" customFormat="1" x14ac:dyDescent="0.2">
      <c r="A226" s="13" t="s">
        <v>59</v>
      </c>
      <c r="B226" s="42">
        <v>907</v>
      </c>
      <c r="C226" s="1" t="s">
        <v>11</v>
      </c>
      <c r="D226" s="1"/>
      <c r="E226" s="1"/>
      <c r="F226" s="1"/>
      <c r="G226" s="2">
        <f>G227+G236</f>
        <v>7160.2999999999993</v>
      </c>
      <c r="H226" s="2">
        <f>H227+H236</f>
        <v>6374.2999999999993</v>
      </c>
      <c r="I226" s="2">
        <f>I227+I236</f>
        <v>6374.2999999999993</v>
      </c>
      <c r="J226" s="120"/>
      <c r="K226" s="120"/>
      <c r="L226" s="120"/>
      <c r="M226" s="120"/>
      <c r="N226" s="120"/>
      <c r="O226" s="120"/>
      <c r="P226" s="120"/>
      <c r="Q226" s="120"/>
    </row>
    <row r="227" spans="1:17" s="9" customFormat="1" ht="51" x14ac:dyDescent="0.2">
      <c r="A227" s="11" t="s">
        <v>14</v>
      </c>
      <c r="B227" s="14">
        <v>907</v>
      </c>
      <c r="C227" s="8" t="s">
        <v>11</v>
      </c>
      <c r="D227" s="8" t="s">
        <v>15</v>
      </c>
      <c r="E227" s="8"/>
      <c r="F227" s="8"/>
      <c r="G227" s="4">
        <f>G228+G232+G234</f>
        <v>7056.7999999999993</v>
      </c>
      <c r="H227" s="4">
        <f>H228+H232+H234</f>
        <v>6300.7999999999993</v>
      </c>
      <c r="I227" s="4">
        <f>I228+I232+I234</f>
        <v>6300.7999999999993</v>
      </c>
      <c r="J227" s="106"/>
      <c r="K227" s="106"/>
      <c r="L227" s="106"/>
      <c r="M227" s="106"/>
      <c r="N227" s="106"/>
      <c r="O227" s="106"/>
      <c r="P227" s="106"/>
      <c r="Q227" s="106"/>
    </row>
    <row r="228" spans="1:17" x14ac:dyDescent="0.2">
      <c r="A228" s="18" t="s">
        <v>225</v>
      </c>
      <c r="B228" s="22">
        <v>907</v>
      </c>
      <c r="C228" s="19" t="s">
        <v>11</v>
      </c>
      <c r="D228" s="19" t="s">
        <v>15</v>
      </c>
      <c r="E228" s="19" t="s">
        <v>224</v>
      </c>
      <c r="F228" s="19"/>
      <c r="G228" s="20">
        <f>G229+G230+G231</f>
        <v>2864.7999999999997</v>
      </c>
      <c r="H228" s="20">
        <f>H229+H230+H231</f>
        <v>2463.4</v>
      </c>
      <c r="I228" s="20">
        <f>I229+I230+I231</f>
        <v>2463.4</v>
      </c>
      <c r="J228" s="104"/>
      <c r="K228" s="104"/>
      <c r="L228" s="104"/>
      <c r="M228" s="104"/>
      <c r="N228" s="104"/>
      <c r="O228" s="104"/>
      <c r="P228" s="104"/>
      <c r="Q228" s="104"/>
    </row>
    <row r="229" spans="1:17" s="26" customFormat="1" ht="51.75" customHeight="1" x14ac:dyDescent="0.2">
      <c r="A229" s="30" t="s">
        <v>65</v>
      </c>
      <c r="B229" s="32">
        <v>907</v>
      </c>
      <c r="C229" s="24" t="s">
        <v>11</v>
      </c>
      <c r="D229" s="24" t="s">
        <v>15</v>
      </c>
      <c r="E229" s="24" t="s">
        <v>224</v>
      </c>
      <c r="F229" s="27" t="s">
        <v>66</v>
      </c>
      <c r="G229" s="25">
        <f>1684+508.6+20+276.6</f>
        <v>2489.1999999999998</v>
      </c>
      <c r="H229" s="25">
        <f>1684+508.6+20</f>
        <v>2212.6</v>
      </c>
      <c r="I229" s="25">
        <f>1684+508.6+20</f>
        <v>2212.6</v>
      </c>
    </row>
    <row r="230" spans="1:17" s="26" customFormat="1" ht="25.5" x14ac:dyDescent="0.2">
      <c r="A230" s="28" t="s">
        <v>75</v>
      </c>
      <c r="B230" s="32">
        <v>907</v>
      </c>
      <c r="C230" s="24" t="s">
        <v>11</v>
      </c>
      <c r="D230" s="24" t="s">
        <v>15</v>
      </c>
      <c r="E230" s="24" t="s">
        <v>224</v>
      </c>
      <c r="F230" s="27" t="s">
        <v>67</v>
      </c>
      <c r="G230" s="25">
        <f>65.7+1.5+16.5+7.7+10.7+10+15.1+20.1+101.5+83.7+15+26.1</f>
        <v>373.6</v>
      </c>
      <c r="H230" s="25">
        <f>65.7+1.5+16.5+7.7+10.7+10+15.1+20.1+101.5</f>
        <v>248.8</v>
      </c>
      <c r="I230" s="25">
        <f>65.7+1.5+16.5+7.7+10.7+10+15.1+20.1+101.5</f>
        <v>248.8</v>
      </c>
      <c r="J230" s="105"/>
      <c r="K230" s="105"/>
      <c r="L230" s="105"/>
      <c r="M230" s="105"/>
      <c r="N230" s="105"/>
      <c r="O230" s="105"/>
      <c r="P230" s="105"/>
      <c r="Q230" s="105"/>
    </row>
    <row r="231" spans="1:17" s="26" customFormat="1" x14ac:dyDescent="0.2">
      <c r="A231" s="28" t="s">
        <v>71</v>
      </c>
      <c r="B231" s="31">
        <v>907</v>
      </c>
      <c r="C231" s="24" t="s">
        <v>11</v>
      </c>
      <c r="D231" s="24" t="s">
        <v>15</v>
      </c>
      <c r="E231" s="24" t="s">
        <v>224</v>
      </c>
      <c r="F231" s="24" t="s">
        <v>72</v>
      </c>
      <c r="G231" s="25">
        <v>2</v>
      </c>
      <c r="H231" s="25">
        <v>2</v>
      </c>
      <c r="I231" s="25">
        <v>2</v>
      </c>
    </row>
    <row r="232" spans="1:17" ht="25.5" x14ac:dyDescent="0.2">
      <c r="A232" s="18" t="s">
        <v>228</v>
      </c>
      <c r="B232" s="22">
        <v>907</v>
      </c>
      <c r="C232" s="19" t="s">
        <v>11</v>
      </c>
      <c r="D232" s="19" t="s">
        <v>15</v>
      </c>
      <c r="E232" s="19" t="s">
        <v>230</v>
      </c>
      <c r="F232" s="19"/>
      <c r="G232" s="20">
        <f>G233</f>
        <v>1480.6000000000001</v>
      </c>
      <c r="H232" s="20">
        <f>H233</f>
        <v>1316.1000000000001</v>
      </c>
      <c r="I232" s="20">
        <f>I233</f>
        <v>1316.1000000000001</v>
      </c>
      <c r="J232" s="21"/>
      <c r="K232" s="21"/>
      <c r="L232" s="21"/>
      <c r="M232" s="21"/>
      <c r="N232" s="21"/>
      <c r="O232" s="21"/>
      <c r="P232" s="21"/>
      <c r="Q232" s="21"/>
    </row>
    <row r="233" spans="1:17" s="26" customFormat="1" ht="51.75" customHeight="1" x14ac:dyDescent="0.2">
      <c r="A233" s="30" t="s">
        <v>65</v>
      </c>
      <c r="B233" s="32">
        <v>907</v>
      </c>
      <c r="C233" s="24" t="s">
        <v>11</v>
      </c>
      <c r="D233" s="24" t="s">
        <v>15</v>
      </c>
      <c r="E233" s="24" t="s">
        <v>230</v>
      </c>
      <c r="F233" s="27" t="s">
        <v>66</v>
      </c>
      <c r="G233" s="25">
        <f>1001.1+302.3+12.7+164.5</f>
        <v>1480.6000000000001</v>
      </c>
      <c r="H233" s="25">
        <f>1001.1+302.3+12.7</f>
        <v>1316.1000000000001</v>
      </c>
      <c r="I233" s="25">
        <f>1001.1+302.3+12.7</f>
        <v>1316.1000000000001</v>
      </c>
    </row>
    <row r="234" spans="1:17" ht="25.5" x14ac:dyDescent="0.2">
      <c r="A234" s="18" t="s">
        <v>229</v>
      </c>
      <c r="B234" s="22">
        <v>907</v>
      </c>
      <c r="C234" s="19" t="s">
        <v>11</v>
      </c>
      <c r="D234" s="19" t="s">
        <v>15</v>
      </c>
      <c r="E234" s="19" t="s">
        <v>231</v>
      </c>
      <c r="F234" s="19"/>
      <c r="G234" s="20">
        <f>G235</f>
        <v>2711.4</v>
      </c>
      <c r="H234" s="20">
        <f>H235</f>
        <v>2521.2999999999997</v>
      </c>
      <c r="I234" s="20">
        <f>I235</f>
        <v>2521.2999999999997</v>
      </c>
      <c r="J234" s="104"/>
      <c r="K234" s="104"/>
      <c r="L234" s="104"/>
      <c r="M234" s="104"/>
      <c r="N234" s="104"/>
      <c r="O234" s="104"/>
      <c r="P234" s="104"/>
      <c r="Q234" s="104"/>
    </row>
    <row r="235" spans="1:17" s="26" customFormat="1" ht="51" customHeight="1" x14ac:dyDescent="0.2">
      <c r="A235" s="30" t="s">
        <v>65</v>
      </c>
      <c r="B235" s="32">
        <v>907</v>
      </c>
      <c r="C235" s="24" t="s">
        <v>11</v>
      </c>
      <c r="D235" s="24" t="s">
        <v>15</v>
      </c>
      <c r="E235" s="24" t="s">
        <v>231</v>
      </c>
      <c r="F235" s="27" t="s">
        <v>66</v>
      </c>
      <c r="G235" s="25">
        <f>615.8+1710.9+186+8.6+129.9+101.3-15-26.1</f>
        <v>2711.4</v>
      </c>
      <c r="H235" s="25">
        <f>615.8+1710.9+186+8.6</f>
        <v>2521.2999999999997</v>
      </c>
      <c r="I235" s="25">
        <f>615.8+1710.9+186+8.6</f>
        <v>2521.2999999999997</v>
      </c>
      <c r="J235" s="105"/>
      <c r="K235" s="105"/>
      <c r="L235" s="105"/>
      <c r="M235" s="105"/>
      <c r="N235" s="105"/>
      <c r="O235" s="105"/>
      <c r="P235" s="105"/>
      <c r="Q235" s="105"/>
    </row>
    <row r="236" spans="1:17" s="9" customFormat="1" x14ac:dyDescent="0.2">
      <c r="A236" s="11" t="s">
        <v>23</v>
      </c>
      <c r="B236" s="14">
        <v>907</v>
      </c>
      <c r="C236" s="8" t="s">
        <v>11</v>
      </c>
      <c r="D236" s="8" t="s">
        <v>60</v>
      </c>
      <c r="E236" s="8"/>
      <c r="F236" s="8"/>
      <c r="G236" s="4">
        <f t="shared" ref="G236:I237" si="36">G237</f>
        <v>103.5</v>
      </c>
      <c r="H236" s="4">
        <f t="shared" si="36"/>
        <v>73.5</v>
      </c>
      <c r="I236" s="4">
        <f t="shared" si="36"/>
        <v>73.5</v>
      </c>
    </row>
    <row r="237" spans="1:17" x14ac:dyDescent="0.2">
      <c r="A237" s="18" t="s">
        <v>233</v>
      </c>
      <c r="B237" s="22">
        <v>907</v>
      </c>
      <c r="C237" s="19" t="s">
        <v>11</v>
      </c>
      <c r="D237" s="19" t="s">
        <v>60</v>
      </c>
      <c r="E237" s="19" t="s">
        <v>232</v>
      </c>
      <c r="F237" s="19"/>
      <c r="G237" s="20">
        <f t="shared" si="36"/>
        <v>103.5</v>
      </c>
      <c r="H237" s="20">
        <f t="shared" si="36"/>
        <v>73.5</v>
      </c>
      <c r="I237" s="20">
        <f t="shared" si="36"/>
        <v>73.5</v>
      </c>
      <c r="J237" s="21"/>
      <c r="K237" s="21"/>
      <c r="L237" s="21"/>
      <c r="M237" s="21"/>
      <c r="N237" s="21"/>
      <c r="O237" s="21"/>
      <c r="P237" s="21"/>
      <c r="Q237" s="21"/>
    </row>
    <row r="238" spans="1:17" s="26" customFormat="1" x14ac:dyDescent="0.2">
      <c r="A238" s="28" t="s">
        <v>68</v>
      </c>
      <c r="B238" s="31">
        <v>907</v>
      </c>
      <c r="C238" s="24" t="s">
        <v>11</v>
      </c>
      <c r="D238" s="24" t="s">
        <v>60</v>
      </c>
      <c r="E238" s="24" t="s">
        <v>232</v>
      </c>
      <c r="F238" s="24" t="s">
        <v>69</v>
      </c>
      <c r="G238" s="25">
        <f>73.5+10+20</f>
        <v>103.5</v>
      </c>
      <c r="H238" s="25">
        <v>73.5</v>
      </c>
      <c r="I238" s="25">
        <v>73.5</v>
      </c>
    </row>
    <row r="239" spans="1:17" s="9" customFormat="1" ht="25.5" x14ac:dyDescent="0.2">
      <c r="A239" s="40" t="s">
        <v>45</v>
      </c>
      <c r="B239" s="37">
        <v>911</v>
      </c>
      <c r="C239" s="41"/>
      <c r="D239" s="41"/>
      <c r="E239" s="41"/>
      <c r="F239" s="41"/>
      <c r="G239" s="39">
        <f>G240+G324</f>
        <v>1227353.3999999999</v>
      </c>
      <c r="H239" s="39">
        <f>H240+H324</f>
        <v>1052576.3</v>
      </c>
      <c r="I239" s="39">
        <f>I240+I324</f>
        <v>1052744.8999999999</v>
      </c>
    </row>
    <row r="240" spans="1:17" s="3" customFormat="1" x14ac:dyDescent="0.2">
      <c r="A240" s="13" t="s">
        <v>36</v>
      </c>
      <c r="B240" s="42">
        <v>911</v>
      </c>
      <c r="C240" s="1" t="s">
        <v>18</v>
      </c>
      <c r="D240" s="1"/>
      <c r="E240" s="1"/>
      <c r="F240" s="1"/>
      <c r="G240" s="2">
        <f>G241+G253+G282+G289</f>
        <v>1176094.7</v>
      </c>
      <c r="H240" s="2">
        <f>H241+H253+H282+H289</f>
        <v>1000162.9000000001</v>
      </c>
      <c r="I240" s="2">
        <f>I241+I253+I282+I289</f>
        <v>1000619.5</v>
      </c>
      <c r="J240" s="120"/>
      <c r="K240" s="120"/>
      <c r="L240" s="120"/>
      <c r="M240" s="120"/>
      <c r="N240" s="120"/>
      <c r="O240" s="120"/>
      <c r="P240" s="120"/>
      <c r="Q240" s="120"/>
    </row>
    <row r="241" spans="1:17" s="9" customFormat="1" x14ac:dyDescent="0.2">
      <c r="A241" s="11" t="s">
        <v>37</v>
      </c>
      <c r="B241" s="14">
        <v>911</v>
      </c>
      <c r="C241" s="8" t="s">
        <v>18</v>
      </c>
      <c r="D241" s="8" t="s">
        <v>11</v>
      </c>
      <c r="E241" s="8"/>
      <c r="F241" s="8"/>
      <c r="G241" s="4">
        <f>G242+G244+G248</f>
        <v>436820.19999999995</v>
      </c>
      <c r="H241" s="4">
        <f t="shared" ref="H241:I241" si="37">H242+H244+H248</f>
        <v>353157.5</v>
      </c>
      <c r="I241" s="4">
        <f t="shared" si="37"/>
        <v>353540.8</v>
      </c>
      <c r="J241" s="106"/>
      <c r="K241" s="106"/>
      <c r="L241" s="106"/>
      <c r="M241" s="106"/>
      <c r="N241" s="106"/>
      <c r="O241" s="106"/>
      <c r="P241" s="106"/>
      <c r="Q241" s="106"/>
    </row>
    <row r="242" spans="1:17" x14ac:dyDescent="0.2">
      <c r="A242" s="18" t="s">
        <v>178</v>
      </c>
      <c r="B242" s="22">
        <v>911</v>
      </c>
      <c r="C242" s="19" t="s">
        <v>18</v>
      </c>
      <c r="D242" s="19" t="s">
        <v>11</v>
      </c>
      <c r="E242" s="24" t="s">
        <v>177</v>
      </c>
      <c r="F242" s="19"/>
      <c r="G242" s="20">
        <f>G243</f>
        <v>155.6</v>
      </c>
      <c r="H242" s="20">
        <f>H243</f>
        <v>0</v>
      </c>
      <c r="I242" s="20">
        <f>I243</f>
        <v>0</v>
      </c>
      <c r="J242" s="21"/>
      <c r="K242" s="21"/>
      <c r="L242" s="21"/>
      <c r="M242" s="21"/>
      <c r="N242" s="21"/>
      <c r="O242" s="21"/>
      <c r="P242" s="21"/>
      <c r="Q242" s="21"/>
    </row>
    <row r="243" spans="1:17" s="26" customFormat="1" ht="25.5" x14ac:dyDescent="0.2">
      <c r="A243" s="28" t="s">
        <v>82</v>
      </c>
      <c r="B243" s="22">
        <v>911</v>
      </c>
      <c r="C243" s="19" t="s">
        <v>18</v>
      </c>
      <c r="D243" s="19" t="s">
        <v>11</v>
      </c>
      <c r="E243" s="24" t="s">
        <v>177</v>
      </c>
      <c r="F243" s="24" t="s">
        <v>70</v>
      </c>
      <c r="G243" s="25">
        <f>155.6-155.6+155.6</f>
        <v>155.6</v>
      </c>
      <c r="H243" s="25"/>
      <c r="I243" s="25"/>
    </row>
    <row r="244" spans="1:17" ht="51" x14ac:dyDescent="0.2">
      <c r="A244" s="56" t="s">
        <v>371</v>
      </c>
      <c r="B244" s="22">
        <v>911</v>
      </c>
      <c r="C244" s="19" t="s">
        <v>18</v>
      </c>
      <c r="D244" s="19" t="s">
        <v>11</v>
      </c>
      <c r="E244" s="19" t="s">
        <v>123</v>
      </c>
      <c r="F244" s="19"/>
      <c r="G244" s="20">
        <f>G247+G245+G246</f>
        <v>228955.19999999995</v>
      </c>
      <c r="H244" s="20">
        <f t="shared" ref="H244:I244" si="38">H247+H245+H246</f>
        <v>216433.3</v>
      </c>
      <c r="I244" s="20">
        <f t="shared" si="38"/>
        <v>216433.3</v>
      </c>
      <c r="J244" s="104"/>
      <c r="K244" s="104"/>
      <c r="L244" s="104"/>
      <c r="M244" s="104"/>
      <c r="N244" s="104"/>
      <c r="O244" s="104"/>
      <c r="P244" s="104"/>
      <c r="Q244" s="104"/>
    </row>
    <row r="245" spans="1:17" ht="49.5" customHeight="1" x14ac:dyDescent="0.2">
      <c r="A245" s="30" t="s">
        <v>65</v>
      </c>
      <c r="B245" s="23">
        <v>911</v>
      </c>
      <c r="C245" s="24" t="s">
        <v>18</v>
      </c>
      <c r="D245" s="24" t="s">
        <v>11</v>
      </c>
      <c r="E245" s="24" t="s">
        <v>123</v>
      </c>
      <c r="F245" s="27" t="s">
        <v>66</v>
      </c>
      <c r="G245" s="25">
        <f>21839+6595.4+2952.7+891.7+3741.2+753.3-308.5+150.4+1015.6+600</f>
        <v>38230.800000000003</v>
      </c>
      <c r="H245" s="25">
        <f>21839+6595.4+2952.7+891.7</f>
        <v>32278.800000000003</v>
      </c>
      <c r="I245" s="25">
        <f>21839+6595.4+2952.7+891.7</f>
        <v>32278.800000000003</v>
      </c>
      <c r="J245" s="104"/>
      <c r="K245" s="104"/>
      <c r="L245" s="104"/>
      <c r="M245" s="104"/>
      <c r="N245" s="104"/>
      <c r="O245" s="104"/>
      <c r="P245" s="104"/>
      <c r="Q245" s="104"/>
    </row>
    <row r="246" spans="1:17" ht="25.5" x14ac:dyDescent="0.2">
      <c r="A246" s="28" t="s">
        <v>75</v>
      </c>
      <c r="B246" s="23">
        <v>911</v>
      </c>
      <c r="C246" s="24" t="s">
        <v>18</v>
      </c>
      <c r="D246" s="24" t="s">
        <v>11</v>
      </c>
      <c r="E246" s="24" t="s">
        <v>123</v>
      </c>
      <c r="F246" s="27" t="s">
        <v>67</v>
      </c>
      <c r="G246" s="25">
        <f>21+43.7+30+20+27.9+1.3+1.4</f>
        <v>145.30000000000001</v>
      </c>
      <c r="H246" s="25">
        <f>21+43.7+30+20</f>
        <v>114.7</v>
      </c>
      <c r="I246" s="25">
        <f>21+43.7+30+20</f>
        <v>114.7</v>
      </c>
      <c r="J246" s="21"/>
      <c r="K246" s="21"/>
      <c r="L246" s="21"/>
      <c r="M246" s="21"/>
      <c r="N246" s="21"/>
      <c r="O246" s="21"/>
      <c r="P246" s="21"/>
      <c r="Q246" s="21"/>
    </row>
    <row r="247" spans="1:17" s="26" customFormat="1" ht="25.5" x14ac:dyDescent="0.2">
      <c r="A247" s="28" t="s">
        <v>143</v>
      </c>
      <c r="B247" s="31">
        <v>911</v>
      </c>
      <c r="C247" s="24" t="s">
        <v>18</v>
      </c>
      <c r="D247" s="24" t="s">
        <v>11</v>
      </c>
      <c r="E247" s="24" t="s">
        <v>123</v>
      </c>
      <c r="F247" s="24" t="s">
        <v>64</v>
      </c>
      <c r="G247" s="25">
        <f>111038.5+33533.6+358.5+218.7+150+492.3+12536.5+3786+30+30.3+36.5+75+15013.1+4533.9+1695+511.9-3769.1+4814.4-1.4+308.5+52.3-202.7+5937.3-600</f>
        <v>190579.09999999995</v>
      </c>
      <c r="H247" s="25">
        <f>111038.5+33533.6+358.5+218.7+150+492.3+12536.5+3786+30+30.3+36.5+75+15013.1+4533.9+1695+511.9</f>
        <v>184039.8</v>
      </c>
      <c r="I247" s="25">
        <f>111038.5+33533.6+358.5+218.7+150+492.3+12536.5+3786+30+30.3+36.5+75+15013.1+4533.9+1695+511.9</f>
        <v>184039.8</v>
      </c>
      <c r="J247" s="105"/>
      <c r="K247" s="105"/>
      <c r="L247" s="105"/>
      <c r="M247" s="105"/>
      <c r="N247" s="105"/>
      <c r="O247" s="105"/>
      <c r="P247" s="105"/>
      <c r="Q247" s="105"/>
    </row>
    <row r="248" spans="1:17" ht="63.75" x14ac:dyDescent="0.2">
      <c r="A248" s="18" t="s">
        <v>354</v>
      </c>
      <c r="B248" s="22">
        <v>911</v>
      </c>
      <c r="C248" s="19" t="s">
        <v>18</v>
      </c>
      <c r="D248" s="19" t="s">
        <v>11</v>
      </c>
      <c r="E248" s="19" t="s">
        <v>243</v>
      </c>
      <c r="F248" s="19"/>
      <c r="G248" s="20">
        <f>G251+G250+G249+G252</f>
        <v>207709.4</v>
      </c>
      <c r="H248" s="20">
        <f>H251+H250+H249+H252</f>
        <v>136724.19999999998</v>
      </c>
      <c r="I248" s="20">
        <f>I251+I250+I249+I252</f>
        <v>137107.5</v>
      </c>
      <c r="J248" s="104"/>
      <c r="K248" s="104"/>
      <c r="L248" s="104"/>
      <c r="M248" s="104"/>
      <c r="N248" s="104"/>
      <c r="O248" s="104"/>
      <c r="P248" s="104"/>
      <c r="Q248" s="104"/>
    </row>
    <row r="249" spans="1:17" s="71" customFormat="1" ht="53.25" customHeight="1" x14ac:dyDescent="0.2">
      <c r="A249" s="72" t="s">
        <v>65</v>
      </c>
      <c r="B249" s="68">
        <v>911</v>
      </c>
      <c r="C249" s="69" t="s">
        <v>18</v>
      </c>
      <c r="D249" s="69" t="s">
        <v>11</v>
      </c>
      <c r="E249" s="69" t="s">
        <v>243</v>
      </c>
      <c r="F249" s="69" t="s">
        <v>66</v>
      </c>
      <c r="G249" s="70">
        <f>11713.1+1122.7+103.8+245.8-7.3+1452.8+7196.3+2467.1-158.7+0.4+2-94.8-0.6+48</f>
        <v>24090.600000000002</v>
      </c>
      <c r="H249" s="70">
        <f>11713.1+103.8+324.7</f>
        <v>12141.6</v>
      </c>
      <c r="I249" s="70">
        <f>11713.1+103.8+405.4</f>
        <v>12222.3</v>
      </c>
    </row>
    <row r="250" spans="1:17" ht="25.5" x14ac:dyDescent="0.2">
      <c r="A250" s="28" t="s">
        <v>75</v>
      </c>
      <c r="B250" s="23">
        <v>911</v>
      </c>
      <c r="C250" s="24" t="s">
        <v>18</v>
      </c>
      <c r="D250" s="24" t="s">
        <v>11</v>
      </c>
      <c r="E250" s="24" t="s">
        <v>243</v>
      </c>
      <c r="F250" s="27" t="s">
        <v>67</v>
      </c>
      <c r="G250" s="25">
        <f>4493.7+3188+39.5+368+50.9+300+150+23+275.5-40+1285.2-7.5-61.5+180+1356-112+203.4+1.2+60+302+0.6+234.1+309+271.1+235+37.7+652.7+937.3+53.1+53.8-6</f>
        <v>14833.800000000001</v>
      </c>
      <c r="H250" s="25">
        <f>4493.7+3188</f>
        <v>7681.7</v>
      </c>
      <c r="I250" s="25">
        <f>4493.7+3188</f>
        <v>7681.7</v>
      </c>
      <c r="J250" s="104"/>
      <c r="K250" s="104"/>
      <c r="L250" s="104"/>
      <c r="M250" s="104"/>
      <c r="N250" s="104"/>
      <c r="O250" s="104"/>
      <c r="P250" s="104"/>
      <c r="Q250" s="104"/>
    </row>
    <row r="251" spans="1:17" s="26" customFormat="1" ht="25.5" x14ac:dyDescent="0.2">
      <c r="A251" s="28" t="s">
        <v>143</v>
      </c>
      <c r="B251" s="31">
        <v>911</v>
      </c>
      <c r="C251" s="24" t="s">
        <v>18</v>
      </c>
      <c r="D251" s="24" t="s">
        <v>11</v>
      </c>
      <c r="E251" s="24" t="s">
        <v>243</v>
      </c>
      <c r="F251" s="24" t="s">
        <v>64</v>
      </c>
      <c r="G251" s="25">
        <f>113285.5-1122.7+737+920.2+3.7-627.9-8.1-345-111.5+476.7+303+80-1709.5+55.5-155-13.4+20+35998.7+50+2+310.8+853.2+9605.3-2467.1+158.7-3697.5+90-557.2+745.8+19.5+230+1.5-70.3+439.1+376+94.8+1000+165.6+2486.8+400+8468-498.9+115.2+2727-11.9+109.4-2.7-5-308.9</f>
        <v>168616.4</v>
      </c>
      <c r="H251" s="25">
        <f>114832.4+737+1215.5</f>
        <v>116784.9</v>
      </c>
      <c r="I251" s="25">
        <f>114832.4+737+1518.1</f>
        <v>117087.5</v>
      </c>
      <c r="J251" s="105"/>
      <c r="K251" s="105"/>
      <c r="L251" s="105"/>
      <c r="M251" s="105"/>
      <c r="N251" s="105"/>
      <c r="O251" s="105"/>
      <c r="P251" s="105"/>
      <c r="Q251" s="105"/>
    </row>
    <row r="252" spans="1:17" s="26" customFormat="1" x14ac:dyDescent="0.2">
      <c r="A252" s="28" t="s">
        <v>71</v>
      </c>
      <c r="B252" s="31">
        <v>911</v>
      </c>
      <c r="C252" s="24" t="s">
        <v>18</v>
      </c>
      <c r="D252" s="24" t="s">
        <v>11</v>
      </c>
      <c r="E252" s="24" t="s">
        <v>243</v>
      </c>
      <c r="F252" s="24" t="s">
        <v>72</v>
      </c>
      <c r="G252" s="25">
        <f>116+35+5+50+19.5-26.5+0.7+33.5-8-2.8-53.8</f>
        <v>168.59999999999997</v>
      </c>
      <c r="H252" s="25">
        <v>116</v>
      </c>
      <c r="I252" s="25">
        <v>116</v>
      </c>
      <c r="J252" s="105"/>
      <c r="K252" s="105"/>
      <c r="L252" s="105"/>
      <c r="M252" s="105"/>
      <c r="N252" s="105"/>
      <c r="O252" s="105"/>
      <c r="P252" s="105"/>
      <c r="Q252" s="105"/>
    </row>
    <row r="253" spans="1:17" s="9" customFormat="1" x14ac:dyDescent="0.2">
      <c r="A253" s="11" t="s">
        <v>38</v>
      </c>
      <c r="B253" s="14">
        <v>911</v>
      </c>
      <c r="C253" s="8" t="s">
        <v>18</v>
      </c>
      <c r="D253" s="8" t="s">
        <v>13</v>
      </c>
      <c r="E253" s="8"/>
      <c r="F253" s="8"/>
      <c r="G253" s="4">
        <f>G254+G258+G262+G264+G266+G270+G279+G276+G273</f>
        <v>504490.61000000016</v>
      </c>
      <c r="H253" s="4">
        <f t="shared" ref="H253:I253" si="39">H254+H258+H262+H264+H266+H270+H279+H276+H273</f>
        <v>454697.50000000012</v>
      </c>
      <c r="I253" s="4">
        <f t="shared" si="39"/>
        <v>454697.50000000012</v>
      </c>
      <c r="J253" s="106"/>
      <c r="K253" s="106"/>
      <c r="L253" s="106"/>
      <c r="M253" s="106"/>
      <c r="N253" s="106"/>
      <c r="O253" s="106"/>
      <c r="P253" s="106"/>
      <c r="Q253" s="106"/>
    </row>
    <row r="254" spans="1:17" ht="24.75" customHeight="1" x14ac:dyDescent="0.2">
      <c r="A254" s="18" t="s">
        <v>234</v>
      </c>
      <c r="B254" s="22">
        <v>911</v>
      </c>
      <c r="C254" s="19" t="s">
        <v>18</v>
      </c>
      <c r="D254" s="19" t="s">
        <v>13</v>
      </c>
      <c r="E254" s="19" t="s">
        <v>121</v>
      </c>
      <c r="F254" s="19"/>
      <c r="G254" s="20">
        <f>G255+G256+G257</f>
        <v>46581.30000000001</v>
      </c>
      <c r="H254" s="20">
        <f>H255+H256+H257</f>
        <v>49380.800000000003</v>
      </c>
      <c r="I254" s="20">
        <f>I255+I256+I257</f>
        <v>49380.800000000003</v>
      </c>
      <c r="J254" s="21"/>
      <c r="K254" s="21"/>
      <c r="L254" s="21"/>
      <c r="M254" s="21"/>
      <c r="N254" s="21"/>
      <c r="O254" s="21"/>
      <c r="P254" s="21"/>
      <c r="Q254" s="21"/>
    </row>
    <row r="255" spans="1:17" s="76" customFormat="1" ht="50.25" customHeight="1" x14ac:dyDescent="0.2">
      <c r="A255" s="77" t="s">
        <v>65</v>
      </c>
      <c r="B255" s="78">
        <v>911</v>
      </c>
      <c r="C255" s="74" t="s">
        <v>18</v>
      </c>
      <c r="D255" s="74" t="s">
        <v>13</v>
      </c>
      <c r="E255" s="74" t="s">
        <v>121</v>
      </c>
      <c r="F255" s="75" t="s">
        <v>66</v>
      </c>
      <c r="G255" s="58">
        <f>29001.8+8758.5+5+114.5+34.6-3580+26.3+2.9-1503+110.6</f>
        <v>32971.200000000004</v>
      </c>
      <c r="H255" s="58">
        <f>29001.8+8758.5+5+114.5+34.6</f>
        <v>37914.400000000001</v>
      </c>
      <c r="I255" s="58">
        <f>29001.8+8758.5+5+114.5+34.6</f>
        <v>37914.400000000001</v>
      </c>
    </row>
    <row r="256" spans="1:17" s="76" customFormat="1" ht="24.75" customHeight="1" x14ac:dyDescent="0.2">
      <c r="A256" s="79" t="s">
        <v>75</v>
      </c>
      <c r="B256" s="78">
        <v>911</v>
      </c>
      <c r="C256" s="74" t="s">
        <v>18</v>
      </c>
      <c r="D256" s="74" t="s">
        <v>13</v>
      </c>
      <c r="E256" s="74" t="s">
        <v>121</v>
      </c>
      <c r="F256" s="75" t="s">
        <v>67</v>
      </c>
      <c r="G256" s="58">
        <f>28+351.8+2783.6+779.5+95.3+26.1+11+722.2+4314.7+20+960.5+142+350.6+30+36.1+94.8-26.3-2.9+736.2+575.1</f>
        <v>12028.300000000003</v>
      </c>
      <c r="H256" s="58">
        <f>28+351.8+2783.6+779.5+95.3+26.1+11+722.2+4314.7+20+960.5+142+350.6+30+36.1</f>
        <v>10651.400000000001</v>
      </c>
      <c r="I256" s="58">
        <f>28+351.8+2783.6+779.5+95.3+26.1+11+722.2+4314.7+20+960.5+142+350.6+30+36.1</f>
        <v>10651.400000000001</v>
      </c>
    </row>
    <row r="257" spans="1:17" s="26" customFormat="1" x14ac:dyDescent="0.2">
      <c r="A257" s="28" t="s">
        <v>71</v>
      </c>
      <c r="B257" s="31">
        <v>911</v>
      </c>
      <c r="C257" s="24" t="s">
        <v>18</v>
      </c>
      <c r="D257" s="24" t="s">
        <v>13</v>
      </c>
      <c r="E257" s="24" t="s">
        <v>121</v>
      </c>
      <c r="F257" s="24" t="s">
        <v>72</v>
      </c>
      <c r="G257" s="25">
        <f>5+800+5+5+766.8</f>
        <v>1581.8</v>
      </c>
      <c r="H257" s="25">
        <f>5+800+5+5</f>
        <v>815</v>
      </c>
      <c r="I257" s="25">
        <f>5+800+5+5</f>
        <v>815</v>
      </c>
    </row>
    <row r="258" spans="1:17" ht="76.5" x14ac:dyDescent="0.2">
      <c r="A258" s="18" t="s">
        <v>235</v>
      </c>
      <c r="B258" s="22">
        <v>911</v>
      </c>
      <c r="C258" s="19" t="s">
        <v>18</v>
      </c>
      <c r="D258" s="19" t="s">
        <v>13</v>
      </c>
      <c r="E258" s="19" t="s">
        <v>119</v>
      </c>
      <c r="F258" s="19"/>
      <c r="G258" s="20">
        <f>G261+G259+G260</f>
        <v>370217.8000000001</v>
      </c>
      <c r="H258" s="20">
        <f>H261+H259+H260</f>
        <v>350381.30000000005</v>
      </c>
      <c r="I258" s="20">
        <f>I261+I259+I260</f>
        <v>350381.30000000005</v>
      </c>
      <c r="J258" s="21"/>
      <c r="K258" s="21"/>
      <c r="L258" s="21"/>
      <c r="M258" s="21"/>
      <c r="N258" s="21"/>
      <c r="O258" s="21"/>
      <c r="P258" s="21"/>
      <c r="Q258" s="21"/>
    </row>
    <row r="259" spans="1:17" s="76" customFormat="1" ht="54.75" customHeight="1" x14ac:dyDescent="0.2">
      <c r="A259" s="77" t="s">
        <v>65</v>
      </c>
      <c r="B259" s="78">
        <v>911</v>
      </c>
      <c r="C259" s="74" t="s">
        <v>18</v>
      </c>
      <c r="D259" s="74" t="s">
        <v>13</v>
      </c>
      <c r="E259" s="74" t="s">
        <v>119</v>
      </c>
      <c r="F259" s="75" t="s">
        <v>66</v>
      </c>
      <c r="G259" s="58">
        <f>46870+14154.7+3692+1114.9+3397.6+221.7-2655</f>
        <v>66795.899999999994</v>
      </c>
      <c r="H259" s="58">
        <f>46870+14154.7+3692+1114.9</f>
        <v>65831.599999999991</v>
      </c>
      <c r="I259" s="58">
        <f>46870+14154.7+3692+1114.9</f>
        <v>65831.599999999991</v>
      </c>
    </row>
    <row r="260" spans="1:17" s="76" customFormat="1" ht="25.5" x14ac:dyDescent="0.2">
      <c r="A260" s="79" t="s">
        <v>75</v>
      </c>
      <c r="B260" s="78">
        <v>911</v>
      </c>
      <c r="C260" s="74" t="s">
        <v>18</v>
      </c>
      <c r="D260" s="74" t="s">
        <v>13</v>
      </c>
      <c r="E260" s="74" t="s">
        <v>119</v>
      </c>
      <c r="F260" s="75" t="s">
        <v>67</v>
      </c>
      <c r="G260" s="58">
        <f>1570.2+6.9+51.2+40.4+9+78.5+207.6+20.5</f>
        <v>1984.3000000000002</v>
      </c>
      <c r="H260" s="58">
        <f>1570.2+6.9+51.2+40.4+9+78.5</f>
        <v>1756.2000000000003</v>
      </c>
      <c r="I260" s="58">
        <f>1570.2+6.9+51.2+40.4+9+78.5</f>
        <v>1756.2000000000003</v>
      </c>
    </row>
    <row r="261" spans="1:17" s="76" customFormat="1" ht="25.5" x14ac:dyDescent="0.2">
      <c r="A261" s="79" t="s">
        <v>143</v>
      </c>
      <c r="B261" s="78">
        <v>911</v>
      </c>
      <c r="C261" s="74" t="s">
        <v>18</v>
      </c>
      <c r="D261" s="74" t="s">
        <v>13</v>
      </c>
      <c r="E261" s="74" t="s">
        <v>119</v>
      </c>
      <c r="F261" s="74" t="s">
        <v>64</v>
      </c>
      <c r="G261" s="58">
        <f>182265.5+55044.2+1832.9+360+227.2+20.8+135+2800.5+14983+4524.9+24.4+19.9+41.1+15+251.7+14357+4335.8+17.6+1180.2+356.4+0.4+11798.7+4190.4+2655</f>
        <v>301437.60000000009</v>
      </c>
      <c r="H261" s="58">
        <f>182265.5+55044.2+1832.9+360+227.2+20.8+135+2800.5+14983+4524.9+24.4+19.9+41.1+15+251.7+14357+4335.8+17.6+1180.2+356.4+0.4</f>
        <v>282793.50000000006</v>
      </c>
      <c r="I261" s="58">
        <f>182265.5+55044.2+1832.9+360+227.2+20.8+135+2800.5+14983+4524.9+24.4+19.9+41.1+15+251.7+14357+4335.8+17.6+1180.2+356.4+0.4</f>
        <v>282793.50000000006</v>
      </c>
    </row>
    <row r="262" spans="1:17" ht="38.25" x14ac:dyDescent="0.2">
      <c r="A262" s="18" t="s">
        <v>236</v>
      </c>
      <c r="B262" s="22">
        <v>911</v>
      </c>
      <c r="C262" s="19" t="s">
        <v>18</v>
      </c>
      <c r="D262" s="19" t="s">
        <v>13</v>
      </c>
      <c r="E262" s="19" t="s">
        <v>120</v>
      </c>
      <c r="F262" s="19"/>
      <c r="G262" s="20">
        <f>G263</f>
        <v>3738</v>
      </c>
      <c r="H262" s="20">
        <f>H263</f>
        <v>3738</v>
      </c>
      <c r="I262" s="20">
        <f>I263</f>
        <v>3738</v>
      </c>
      <c r="J262" s="21"/>
      <c r="K262" s="21"/>
      <c r="L262" s="21"/>
      <c r="M262" s="21"/>
      <c r="N262" s="21"/>
      <c r="O262" s="21"/>
      <c r="P262" s="21"/>
      <c r="Q262" s="21"/>
    </row>
    <row r="263" spans="1:17" s="26" customFormat="1" ht="25.5" x14ac:dyDescent="0.2">
      <c r="A263" s="28" t="s">
        <v>75</v>
      </c>
      <c r="B263" s="31">
        <v>911</v>
      </c>
      <c r="C263" s="24" t="s">
        <v>18</v>
      </c>
      <c r="D263" s="24" t="s">
        <v>13</v>
      </c>
      <c r="E263" s="24" t="s">
        <v>120</v>
      </c>
      <c r="F263" s="27" t="s">
        <v>67</v>
      </c>
      <c r="G263" s="25">
        <v>3738</v>
      </c>
      <c r="H263" s="25">
        <v>3738</v>
      </c>
      <c r="I263" s="25">
        <v>3738</v>
      </c>
    </row>
    <row r="264" spans="1:17" ht="63.75" x14ac:dyDescent="0.2">
      <c r="A264" s="18" t="s">
        <v>354</v>
      </c>
      <c r="B264" s="22">
        <v>911</v>
      </c>
      <c r="C264" s="19" t="s">
        <v>18</v>
      </c>
      <c r="D264" s="19" t="s">
        <v>13</v>
      </c>
      <c r="E264" s="19" t="s">
        <v>238</v>
      </c>
      <c r="F264" s="19"/>
      <c r="G264" s="20">
        <f>G265</f>
        <v>71927.080000000016</v>
      </c>
      <c r="H264" s="20">
        <f>H265</f>
        <v>41495.4</v>
      </c>
      <c r="I264" s="20">
        <f>I265</f>
        <v>41495.4</v>
      </c>
      <c r="J264" s="104"/>
      <c r="K264" s="104"/>
      <c r="L264" s="104"/>
      <c r="M264" s="104"/>
      <c r="N264" s="104"/>
      <c r="O264" s="104"/>
      <c r="P264" s="104"/>
      <c r="Q264" s="104"/>
    </row>
    <row r="265" spans="1:17" s="26" customFormat="1" ht="25.5" x14ac:dyDescent="0.2">
      <c r="A265" s="28" t="s">
        <v>143</v>
      </c>
      <c r="B265" s="31">
        <v>911</v>
      </c>
      <c r="C265" s="24" t="s">
        <v>18</v>
      </c>
      <c r="D265" s="24" t="s">
        <v>13</v>
      </c>
      <c r="E265" s="24" t="s">
        <v>238</v>
      </c>
      <c r="F265" s="24" t="s">
        <v>64</v>
      </c>
      <c r="G265" s="25">
        <f>39251.1-39.5+167.2-120-923.6-115.9-15+6590.2-144.7-167.2-895.2-216+108.7-25+40-4050.9-4.5-50.4+1291.3+797.5+12334.5+100+2000-73.8-269-1253.2-78-160.52-537.5+8.4+3074+36.4+559.6-450.8+3097.4+450.8+2353.7+7755.6+145.3+166.7+92.2-500+2270.5-384.4-284.9-9.5+5+0.5</f>
        <v>71927.080000000016</v>
      </c>
      <c r="H265" s="25">
        <v>41495.4</v>
      </c>
      <c r="I265" s="25">
        <v>41495.4</v>
      </c>
      <c r="J265" s="105"/>
      <c r="K265" s="105"/>
      <c r="L265" s="105"/>
      <c r="M265" s="105"/>
      <c r="N265" s="105"/>
      <c r="O265" s="105"/>
      <c r="P265" s="105"/>
      <c r="Q265" s="105"/>
    </row>
    <row r="266" spans="1:17" ht="63.75" x14ac:dyDescent="0.2">
      <c r="A266" s="18" t="s">
        <v>241</v>
      </c>
      <c r="B266" s="22">
        <v>911</v>
      </c>
      <c r="C266" s="19" t="s">
        <v>18</v>
      </c>
      <c r="D266" s="19" t="s">
        <v>13</v>
      </c>
      <c r="E266" s="19" t="s">
        <v>240</v>
      </c>
      <c r="F266" s="19"/>
      <c r="G266" s="20">
        <f>G267+G268+G269</f>
        <v>10145.9</v>
      </c>
      <c r="H266" s="20">
        <f>H267+H268+H269</f>
        <v>7181.9000000000005</v>
      </c>
      <c r="I266" s="20">
        <f>I267+I268+I269</f>
        <v>7181.9000000000005</v>
      </c>
      <c r="J266" s="104"/>
      <c r="K266" s="104"/>
      <c r="L266" s="104"/>
      <c r="M266" s="104"/>
      <c r="N266" s="104"/>
      <c r="O266" s="104"/>
      <c r="P266" s="104"/>
      <c r="Q266" s="104"/>
    </row>
    <row r="267" spans="1:17" s="76" customFormat="1" ht="54.75" customHeight="1" x14ac:dyDescent="0.2">
      <c r="A267" s="72" t="s">
        <v>65</v>
      </c>
      <c r="B267" s="73">
        <v>911</v>
      </c>
      <c r="C267" s="74" t="s">
        <v>18</v>
      </c>
      <c r="D267" s="74" t="s">
        <v>13</v>
      </c>
      <c r="E267" s="74" t="s">
        <v>240</v>
      </c>
      <c r="F267" s="75" t="s">
        <v>66</v>
      </c>
      <c r="G267" s="58">
        <f>4.6+6-2.4+0.3</f>
        <v>8.5</v>
      </c>
      <c r="H267" s="58">
        <v>4.5999999999999996</v>
      </c>
      <c r="I267" s="58">
        <v>4.5999999999999996</v>
      </c>
    </row>
    <row r="268" spans="1:17" s="26" customFormat="1" ht="25.5" x14ac:dyDescent="0.2">
      <c r="A268" s="28" t="s">
        <v>75</v>
      </c>
      <c r="B268" s="32">
        <v>911</v>
      </c>
      <c r="C268" s="24" t="s">
        <v>18</v>
      </c>
      <c r="D268" s="24" t="s">
        <v>13</v>
      </c>
      <c r="E268" s="24" t="s">
        <v>240</v>
      </c>
      <c r="F268" s="27" t="s">
        <v>67</v>
      </c>
      <c r="G268" s="25">
        <f>7177.3-474.5-167.2+697.2-1237.5-125-6+167.2+50+50-263.7+5+50+1187.5+167.7+532.1-148.9+661.5-10.7-90+76.4+17.4+126.1+514.8+77+269-240.1+60-300+39.8+741.7+17.7</f>
        <v>9621.7999999999993</v>
      </c>
      <c r="H268" s="25">
        <f>7177.3-474.5</f>
        <v>6702.8</v>
      </c>
      <c r="I268" s="25">
        <f>7177.3-474.5</f>
        <v>6702.8</v>
      </c>
      <c r="J268" s="105"/>
      <c r="K268" s="105"/>
      <c r="L268" s="105"/>
      <c r="M268" s="105"/>
      <c r="N268" s="105"/>
      <c r="O268" s="105"/>
      <c r="P268" s="105"/>
      <c r="Q268" s="105"/>
    </row>
    <row r="269" spans="1:17" s="26" customFormat="1" x14ac:dyDescent="0.2">
      <c r="A269" s="28" t="s">
        <v>71</v>
      </c>
      <c r="B269" s="31">
        <v>911</v>
      </c>
      <c r="C269" s="24" t="s">
        <v>18</v>
      </c>
      <c r="D269" s="24" t="s">
        <v>13</v>
      </c>
      <c r="E269" s="24" t="s">
        <v>240</v>
      </c>
      <c r="F269" s="24" t="s">
        <v>72</v>
      </c>
      <c r="G269" s="25">
        <f>474.5+20+2-18-11.9+2.3+11.2+25.5+10</f>
        <v>515.6</v>
      </c>
      <c r="H269" s="25">
        <v>474.5</v>
      </c>
      <c r="I269" s="25">
        <v>474.5</v>
      </c>
      <c r="J269" s="105"/>
      <c r="K269" s="105"/>
      <c r="L269" s="105"/>
      <c r="M269" s="105"/>
      <c r="N269" s="105"/>
      <c r="O269" s="105"/>
      <c r="P269" s="105"/>
      <c r="Q269" s="105"/>
    </row>
    <row r="270" spans="1:17" ht="63.75" x14ac:dyDescent="0.2">
      <c r="A270" s="18" t="s">
        <v>241</v>
      </c>
      <c r="B270" s="22">
        <v>911</v>
      </c>
      <c r="C270" s="19" t="s">
        <v>18</v>
      </c>
      <c r="D270" s="19" t="s">
        <v>13</v>
      </c>
      <c r="E270" s="19" t="s">
        <v>244</v>
      </c>
      <c r="F270" s="19"/>
      <c r="G270" s="20">
        <f>G271+G272</f>
        <v>171.79999999999995</v>
      </c>
      <c r="H270" s="20">
        <f>H271+H272</f>
        <v>834.4</v>
      </c>
      <c r="I270" s="20">
        <f>I271+I272</f>
        <v>834.4</v>
      </c>
      <c r="J270" s="104"/>
      <c r="K270" s="104"/>
      <c r="L270" s="104"/>
      <c r="M270" s="104"/>
      <c r="N270" s="104"/>
      <c r="O270" s="104"/>
      <c r="P270" s="104"/>
      <c r="Q270" s="104"/>
    </row>
    <row r="271" spans="1:17" s="26" customFormat="1" ht="25.5" x14ac:dyDescent="0.2">
      <c r="A271" s="28" t="s">
        <v>75</v>
      </c>
      <c r="B271" s="32">
        <v>911</v>
      </c>
      <c r="C271" s="24" t="s">
        <v>18</v>
      </c>
      <c r="D271" s="24" t="s">
        <v>13</v>
      </c>
      <c r="E271" s="24" t="s">
        <v>244</v>
      </c>
      <c r="F271" s="27" t="s">
        <v>67</v>
      </c>
      <c r="G271" s="25">
        <f>564.4+200-456.6-137.4</f>
        <v>170.39999999999995</v>
      </c>
      <c r="H271" s="25">
        <f>564.4+200</f>
        <v>764.4</v>
      </c>
      <c r="I271" s="25">
        <f>564.4+200</f>
        <v>764.4</v>
      </c>
      <c r="J271" s="105"/>
      <c r="K271" s="105"/>
      <c r="L271" s="105"/>
      <c r="M271" s="105"/>
      <c r="N271" s="105"/>
      <c r="O271" s="105"/>
      <c r="P271" s="105"/>
      <c r="Q271" s="105"/>
    </row>
    <row r="272" spans="1:17" s="26" customFormat="1" x14ac:dyDescent="0.2">
      <c r="A272" s="28" t="s">
        <v>71</v>
      </c>
      <c r="B272" s="31">
        <v>911</v>
      </c>
      <c r="C272" s="24" t="s">
        <v>18</v>
      </c>
      <c r="D272" s="24" t="s">
        <v>13</v>
      </c>
      <c r="E272" s="24" t="s">
        <v>244</v>
      </c>
      <c r="F272" s="24" t="s">
        <v>72</v>
      </c>
      <c r="G272" s="25">
        <f>70-50-18.6</f>
        <v>1.3999999999999986</v>
      </c>
      <c r="H272" s="25">
        <f>70</f>
        <v>70</v>
      </c>
      <c r="I272" s="25">
        <f>70</f>
        <v>70</v>
      </c>
      <c r="J272" s="105"/>
      <c r="K272" s="105"/>
      <c r="L272" s="105"/>
      <c r="M272" s="105"/>
      <c r="N272" s="105"/>
      <c r="O272" s="105"/>
      <c r="P272" s="105"/>
      <c r="Q272" s="105"/>
    </row>
    <row r="273" spans="1:17" ht="25.5" x14ac:dyDescent="0.2">
      <c r="A273" s="18" t="s">
        <v>237</v>
      </c>
      <c r="B273" s="18">
        <v>911</v>
      </c>
      <c r="C273" s="19" t="s">
        <v>18</v>
      </c>
      <c r="D273" s="19" t="s">
        <v>13</v>
      </c>
      <c r="E273" s="19" t="s">
        <v>138</v>
      </c>
      <c r="F273" s="19"/>
      <c r="G273" s="20">
        <f>G275+G274</f>
        <v>249.70000000000005</v>
      </c>
      <c r="H273" s="20">
        <f t="shared" ref="H273:I273" si="40">H275+H274</f>
        <v>249.70000000000005</v>
      </c>
      <c r="I273" s="20">
        <f t="shared" si="40"/>
        <v>249.70000000000005</v>
      </c>
      <c r="J273" s="21"/>
      <c r="K273" s="21"/>
      <c r="L273" s="21"/>
      <c r="M273" s="21"/>
      <c r="N273" s="21"/>
      <c r="O273" s="21"/>
      <c r="P273" s="21"/>
      <c r="Q273" s="21"/>
    </row>
    <row r="274" spans="1:17" s="26" customFormat="1" ht="25.5" x14ac:dyDescent="0.2">
      <c r="A274" s="28" t="s">
        <v>75</v>
      </c>
      <c r="B274" s="28">
        <v>911</v>
      </c>
      <c r="C274" s="24" t="s">
        <v>18</v>
      </c>
      <c r="D274" s="24" t="s">
        <v>13</v>
      </c>
      <c r="E274" s="24" t="s">
        <v>138</v>
      </c>
      <c r="F274" s="27" t="s">
        <v>67</v>
      </c>
      <c r="G274" s="25">
        <f>29.5+28.2</f>
        <v>57.7</v>
      </c>
      <c r="H274" s="25">
        <f>29.5+28.2</f>
        <v>57.7</v>
      </c>
      <c r="I274" s="25">
        <f>29.5+28.2</f>
        <v>57.7</v>
      </c>
    </row>
    <row r="275" spans="1:17" ht="25.5" x14ac:dyDescent="0.2">
      <c r="A275" s="28" t="s">
        <v>143</v>
      </c>
      <c r="B275" s="28">
        <v>911</v>
      </c>
      <c r="C275" s="24" t="s">
        <v>18</v>
      </c>
      <c r="D275" s="24" t="s">
        <v>13</v>
      </c>
      <c r="E275" s="24" t="s">
        <v>138</v>
      </c>
      <c r="F275" s="24" t="s">
        <v>64</v>
      </c>
      <c r="G275" s="25">
        <f>88.4+84.4+9.8+9.4</f>
        <v>192.00000000000003</v>
      </c>
      <c r="H275" s="25">
        <f t="shared" ref="H275:I275" si="41">88.4+84.4+9.8+9.4</f>
        <v>192.00000000000003</v>
      </c>
      <c r="I275" s="25">
        <f t="shared" si="41"/>
        <v>192.00000000000003</v>
      </c>
      <c r="J275" s="21"/>
      <c r="K275" s="21"/>
      <c r="L275" s="21"/>
      <c r="M275" s="21"/>
      <c r="N275" s="21"/>
      <c r="O275" s="21"/>
      <c r="P275" s="21"/>
      <c r="Q275" s="21"/>
    </row>
    <row r="276" spans="1:17" ht="25.5" x14ac:dyDescent="0.2">
      <c r="A276" s="18" t="s">
        <v>242</v>
      </c>
      <c r="B276" s="18">
        <v>911</v>
      </c>
      <c r="C276" s="19" t="s">
        <v>18</v>
      </c>
      <c r="D276" s="19" t="s">
        <v>13</v>
      </c>
      <c r="E276" s="19" t="s">
        <v>139</v>
      </c>
      <c r="F276" s="19"/>
      <c r="G276" s="20">
        <f>G278+G277</f>
        <v>1209</v>
      </c>
      <c r="H276" s="20">
        <f>H278+H277</f>
        <v>1186</v>
      </c>
      <c r="I276" s="20">
        <f>I278+I277</f>
        <v>1186</v>
      </c>
      <c r="J276" s="21"/>
      <c r="K276" s="21"/>
      <c r="L276" s="21"/>
      <c r="M276" s="21"/>
      <c r="N276" s="21"/>
      <c r="O276" s="21"/>
      <c r="P276" s="21"/>
      <c r="Q276" s="21"/>
    </row>
    <row r="277" spans="1:17" s="9" customFormat="1" x14ac:dyDescent="0.2">
      <c r="A277" s="28" t="s">
        <v>68</v>
      </c>
      <c r="B277" s="28">
        <v>911</v>
      </c>
      <c r="C277" s="24" t="s">
        <v>18</v>
      </c>
      <c r="D277" s="24" t="s">
        <v>13</v>
      </c>
      <c r="E277" s="19" t="s">
        <v>139</v>
      </c>
      <c r="F277" s="24" t="s">
        <v>69</v>
      </c>
      <c r="G277" s="25">
        <f>50-18.4374</f>
        <v>31.5626</v>
      </c>
      <c r="H277" s="25">
        <v>50</v>
      </c>
      <c r="I277" s="25">
        <v>50</v>
      </c>
    </row>
    <row r="278" spans="1:17" ht="25.5" x14ac:dyDescent="0.2">
      <c r="A278" s="28" t="s">
        <v>143</v>
      </c>
      <c r="B278" s="28">
        <v>911</v>
      </c>
      <c r="C278" s="24" t="s">
        <v>18</v>
      </c>
      <c r="D278" s="24" t="s">
        <v>13</v>
      </c>
      <c r="E278" s="19" t="s">
        <v>139</v>
      </c>
      <c r="F278" s="24" t="s">
        <v>64</v>
      </c>
      <c r="G278" s="25">
        <f>992.5+143.5+23-0.0026+12.51+5.93</f>
        <v>1177.4374</v>
      </c>
      <c r="H278" s="25">
        <f>992.5+143.5</f>
        <v>1136</v>
      </c>
      <c r="I278" s="25">
        <f>992.5+143.5</f>
        <v>1136</v>
      </c>
      <c r="J278" s="21"/>
      <c r="K278" s="21"/>
      <c r="L278" s="21"/>
      <c r="M278" s="21"/>
      <c r="N278" s="21"/>
      <c r="O278" s="21"/>
      <c r="P278" s="21"/>
      <c r="Q278" s="21"/>
    </row>
    <row r="279" spans="1:17" ht="25.5" x14ac:dyDescent="0.2">
      <c r="A279" s="18" t="s">
        <v>358</v>
      </c>
      <c r="B279" s="18">
        <v>911</v>
      </c>
      <c r="C279" s="19" t="s">
        <v>18</v>
      </c>
      <c r="D279" s="19" t="s">
        <v>13</v>
      </c>
      <c r="E279" s="19" t="s">
        <v>339</v>
      </c>
      <c r="F279" s="19"/>
      <c r="G279" s="20">
        <f>G281+G280</f>
        <v>250.02999999999997</v>
      </c>
      <c r="H279" s="20">
        <f>H281+H280</f>
        <v>250</v>
      </c>
      <c r="I279" s="20">
        <f>I281+I280</f>
        <v>250</v>
      </c>
      <c r="J279" s="104"/>
      <c r="K279" s="104"/>
      <c r="L279" s="104"/>
      <c r="M279" s="104"/>
      <c r="N279" s="104"/>
      <c r="O279" s="104"/>
      <c r="P279" s="104"/>
      <c r="Q279" s="104"/>
    </row>
    <row r="280" spans="1:17" x14ac:dyDescent="0.2">
      <c r="A280" s="28" t="s">
        <v>68</v>
      </c>
      <c r="B280" s="28">
        <v>911</v>
      </c>
      <c r="C280" s="24" t="s">
        <v>18</v>
      </c>
      <c r="D280" s="24" t="s">
        <v>13</v>
      </c>
      <c r="E280" s="19" t="s">
        <v>339</v>
      </c>
      <c r="F280" s="24" t="s">
        <v>69</v>
      </c>
      <c r="G280" s="25">
        <f>2-2+2-2</f>
        <v>0</v>
      </c>
      <c r="H280" s="25">
        <v>2</v>
      </c>
      <c r="I280" s="25">
        <v>2</v>
      </c>
      <c r="J280" s="104"/>
      <c r="K280" s="104"/>
      <c r="L280" s="104"/>
      <c r="M280" s="104"/>
      <c r="N280" s="104"/>
      <c r="O280" s="104"/>
      <c r="P280" s="104"/>
      <c r="Q280" s="104"/>
    </row>
    <row r="281" spans="1:17" s="71" customFormat="1" ht="25.5" x14ac:dyDescent="0.2">
      <c r="A281" s="79" t="s">
        <v>143</v>
      </c>
      <c r="B281" s="79">
        <v>911</v>
      </c>
      <c r="C281" s="74" t="s">
        <v>18</v>
      </c>
      <c r="D281" s="74" t="s">
        <v>13</v>
      </c>
      <c r="E281" s="69" t="s">
        <v>339</v>
      </c>
      <c r="F281" s="74" t="s">
        <v>64</v>
      </c>
      <c r="G281" s="58">
        <f>248-248+248-58-70.68+130.7+0.01</f>
        <v>250.02999999999997</v>
      </c>
      <c r="H281" s="58">
        <v>248</v>
      </c>
      <c r="I281" s="58">
        <v>248</v>
      </c>
    </row>
    <row r="282" spans="1:17" s="9" customFormat="1" x14ac:dyDescent="0.2">
      <c r="A282" s="11" t="s">
        <v>340</v>
      </c>
      <c r="B282" s="14">
        <v>911</v>
      </c>
      <c r="C282" s="8" t="s">
        <v>18</v>
      </c>
      <c r="D282" s="8" t="s">
        <v>15</v>
      </c>
      <c r="E282" s="8"/>
      <c r="F282" s="8"/>
      <c r="G282" s="4">
        <f>G287+G285+G283</f>
        <v>139696.39999999997</v>
      </c>
      <c r="H282" s="4">
        <f t="shared" ref="H282:I282" si="42">H287+H285+H283</f>
        <v>122514.70000000001</v>
      </c>
      <c r="I282" s="4">
        <f t="shared" si="42"/>
        <v>122588.00000000001</v>
      </c>
      <c r="J282" s="106"/>
      <c r="K282" s="106"/>
      <c r="L282" s="106"/>
      <c r="M282" s="106"/>
      <c r="N282" s="106"/>
      <c r="O282" s="106"/>
      <c r="P282" s="106"/>
      <c r="Q282" s="106"/>
    </row>
    <row r="283" spans="1:17" ht="25.5" x14ac:dyDescent="0.2">
      <c r="A283" s="18" t="s">
        <v>237</v>
      </c>
      <c r="B283" s="18">
        <v>911</v>
      </c>
      <c r="C283" s="19" t="s">
        <v>18</v>
      </c>
      <c r="D283" s="19" t="s">
        <v>15</v>
      </c>
      <c r="E283" s="19" t="s">
        <v>138</v>
      </c>
      <c r="F283" s="19"/>
      <c r="G283" s="20">
        <f>G284</f>
        <v>115.3</v>
      </c>
      <c r="H283" s="20">
        <f t="shared" ref="H283:I285" si="43">H284</f>
        <v>115.3</v>
      </c>
      <c r="I283" s="20">
        <f t="shared" si="43"/>
        <v>115.3</v>
      </c>
      <c r="J283" s="21"/>
      <c r="K283" s="21"/>
      <c r="L283" s="21"/>
      <c r="M283" s="21"/>
      <c r="N283" s="21"/>
      <c r="O283" s="21"/>
      <c r="P283" s="21"/>
      <c r="Q283" s="21"/>
    </row>
    <row r="284" spans="1:17" ht="25.5" x14ac:dyDescent="0.2">
      <c r="A284" s="28" t="s">
        <v>143</v>
      </c>
      <c r="B284" s="28">
        <v>911</v>
      </c>
      <c r="C284" s="24" t="s">
        <v>18</v>
      </c>
      <c r="D284" s="24" t="s">
        <v>15</v>
      </c>
      <c r="E284" s="24" t="s">
        <v>138</v>
      </c>
      <c r="F284" s="24" t="s">
        <v>64</v>
      </c>
      <c r="G284" s="25">
        <f>59+56.3</f>
        <v>115.3</v>
      </c>
      <c r="H284" s="25">
        <f t="shared" ref="H284:I284" si="44">59+56.3</f>
        <v>115.3</v>
      </c>
      <c r="I284" s="25">
        <f t="shared" si="44"/>
        <v>115.3</v>
      </c>
      <c r="J284" s="21"/>
      <c r="K284" s="21"/>
      <c r="L284" s="21"/>
      <c r="M284" s="21"/>
      <c r="N284" s="21"/>
      <c r="O284" s="21"/>
      <c r="P284" s="21"/>
      <c r="Q284" s="21"/>
    </row>
    <row r="285" spans="1:17" s="71" customFormat="1" ht="51" x14ac:dyDescent="0.2">
      <c r="A285" s="67" t="s">
        <v>418</v>
      </c>
      <c r="B285" s="67">
        <v>911</v>
      </c>
      <c r="C285" s="69" t="s">
        <v>18</v>
      </c>
      <c r="D285" s="69" t="s">
        <v>15</v>
      </c>
      <c r="E285" s="69" t="s">
        <v>417</v>
      </c>
      <c r="F285" s="69"/>
      <c r="G285" s="70">
        <f>G286</f>
        <v>78</v>
      </c>
      <c r="H285" s="70">
        <f t="shared" si="43"/>
        <v>0</v>
      </c>
      <c r="I285" s="70">
        <f t="shared" si="43"/>
        <v>0</v>
      </c>
    </row>
    <row r="286" spans="1:17" s="71" customFormat="1" ht="25.5" x14ac:dyDescent="0.2">
      <c r="A286" s="79" t="s">
        <v>143</v>
      </c>
      <c r="B286" s="79">
        <v>911</v>
      </c>
      <c r="C286" s="74" t="s">
        <v>18</v>
      </c>
      <c r="D286" s="74" t="s">
        <v>15</v>
      </c>
      <c r="E286" s="74" t="s">
        <v>417</v>
      </c>
      <c r="F286" s="74" t="s">
        <v>64</v>
      </c>
      <c r="G286" s="58">
        <f>-7+78+7</f>
        <v>78</v>
      </c>
      <c r="H286" s="58">
        <v>0</v>
      </c>
      <c r="I286" s="58">
        <v>0</v>
      </c>
    </row>
    <row r="287" spans="1:17" ht="63.75" x14ac:dyDescent="0.2">
      <c r="A287" s="18" t="s">
        <v>354</v>
      </c>
      <c r="B287" s="22">
        <v>911</v>
      </c>
      <c r="C287" s="19" t="s">
        <v>18</v>
      </c>
      <c r="D287" s="19" t="s">
        <v>15</v>
      </c>
      <c r="E287" s="19" t="s">
        <v>239</v>
      </c>
      <c r="F287" s="19"/>
      <c r="G287" s="20">
        <f>G288</f>
        <v>139503.09999999998</v>
      </c>
      <c r="H287" s="20">
        <f>H288</f>
        <v>122399.40000000001</v>
      </c>
      <c r="I287" s="20">
        <f>I288</f>
        <v>122472.70000000001</v>
      </c>
      <c r="J287" s="104"/>
      <c r="K287" s="104"/>
      <c r="L287" s="104"/>
      <c r="M287" s="104"/>
      <c r="N287" s="104"/>
      <c r="O287" s="104"/>
      <c r="P287" s="104"/>
      <c r="Q287" s="104"/>
    </row>
    <row r="288" spans="1:17" s="26" customFormat="1" ht="25.5" x14ac:dyDescent="0.2">
      <c r="A288" s="28" t="s">
        <v>143</v>
      </c>
      <c r="B288" s="31">
        <v>911</v>
      </c>
      <c r="C288" s="24" t="s">
        <v>18</v>
      </c>
      <c r="D288" s="24" t="s">
        <v>15</v>
      </c>
      <c r="E288" s="24" t="s">
        <v>239</v>
      </c>
      <c r="F288" s="24" t="s">
        <v>64</v>
      </c>
      <c r="G288" s="25">
        <f>118343.6+387.1+3597.5+2.2+120+80.2+50-50+355+53+10+8474-47-44.5+4.5-278.7+481.5+26.2+3578.6-32+223.1+50+213.3+100+43.3+1267.3+14.7+1174.5+151.3+94.8+36.6+54.9+500+504.5-375.7+34.8+304.5</f>
        <v>139503.09999999998</v>
      </c>
      <c r="H288" s="25">
        <f>118343.6+387.1+3668.7</f>
        <v>122399.40000000001</v>
      </c>
      <c r="I288" s="25">
        <f>118343.6+387.1+3742</f>
        <v>122472.70000000001</v>
      </c>
      <c r="J288" s="105"/>
      <c r="K288" s="105"/>
      <c r="L288" s="105"/>
      <c r="M288" s="105"/>
      <c r="N288" s="105"/>
      <c r="O288" s="105"/>
      <c r="P288" s="105"/>
      <c r="Q288" s="105"/>
    </row>
    <row r="289" spans="1:17" s="9" customFormat="1" x14ac:dyDescent="0.2">
      <c r="A289" s="11" t="s">
        <v>40</v>
      </c>
      <c r="B289" s="14">
        <v>911</v>
      </c>
      <c r="C289" s="8" t="s">
        <v>18</v>
      </c>
      <c r="D289" s="8" t="s">
        <v>25</v>
      </c>
      <c r="E289" s="8"/>
      <c r="F289" s="8"/>
      <c r="G289" s="4">
        <f>G295+G297+G300+G304+G307+G311+G314+G317+G319+G290+G292</f>
        <v>95087.49</v>
      </c>
      <c r="H289" s="4">
        <f t="shared" ref="H289:I289" si="45">H295+H297+H300+H304+H307+H311+H314+H317+H319+H290+H292</f>
        <v>69793.200000000012</v>
      </c>
      <c r="I289" s="4">
        <f t="shared" si="45"/>
        <v>69793.200000000012</v>
      </c>
      <c r="J289" s="106"/>
      <c r="K289" s="106"/>
      <c r="L289" s="106"/>
      <c r="M289" s="106"/>
      <c r="N289" s="106"/>
      <c r="O289" s="106"/>
      <c r="P289" s="106"/>
      <c r="Q289" s="106"/>
    </row>
    <row r="290" spans="1:17" s="71" customFormat="1" x14ac:dyDescent="0.2">
      <c r="A290" s="67" t="s">
        <v>178</v>
      </c>
      <c r="B290" s="68">
        <v>911</v>
      </c>
      <c r="C290" s="69" t="s">
        <v>18</v>
      </c>
      <c r="D290" s="69" t="s">
        <v>25</v>
      </c>
      <c r="E290" s="74" t="s">
        <v>177</v>
      </c>
      <c r="F290" s="69"/>
      <c r="G290" s="70">
        <f>G291</f>
        <v>8714</v>
      </c>
      <c r="H290" s="70">
        <f>H291</f>
        <v>0</v>
      </c>
      <c r="I290" s="70">
        <f>I291</f>
        <v>0</v>
      </c>
    </row>
    <row r="291" spans="1:17" s="76" customFormat="1" ht="25.5" x14ac:dyDescent="0.2">
      <c r="A291" s="79" t="s">
        <v>82</v>
      </c>
      <c r="B291" s="68">
        <v>911</v>
      </c>
      <c r="C291" s="69" t="s">
        <v>18</v>
      </c>
      <c r="D291" s="69" t="s">
        <v>25</v>
      </c>
      <c r="E291" s="74" t="s">
        <v>177</v>
      </c>
      <c r="F291" s="74" t="s">
        <v>70</v>
      </c>
      <c r="G291" s="58">
        <f>2457.8-2457.8+2457.8-797.5+5797.5+1240.2+16+1100-1100</f>
        <v>8714</v>
      </c>
      <c r="H291" s="58"/>
      <c r="I291" s="58"/>
    </row>
    <row r="292" spans="1:17" ht="25.5" x14ac:dyDescent="0.2">
      <c r="A292" s="18" t="s">
        <v>192</v>
      </c>
      <c r="B292" s="18">
        <v>911</v>
      </c>
      <c r="C292" s="19" t="s">
        <v>18</v>
      </c>
      <c r="D292" s="19" t="s">
        <v>25</v>
      </c>
      <c r="E292" s="19" t="s">
        <v>137</v>
      </c>
      <c r="F292" s="19"/>
      <c r="G292" s="20">
        <f>G294+G293</f>
        <v>3977</v>
      </c>
      <c r="H292" s="20">
        <f t="shared" ref="H292:I292" si="46">H294+H293</f>
        <v>3814.6</v>
      </c>
      <c r="I292" s="20">
        <f t="shared" si="46"/>
        <v>3814.6</v>
      </c>
      <c r="J292" s="21"/>
      <c r="K292" s="21"/>
      <c r="L292" s="21"/>
      <c r="M292" s="21"/>
      <c r="N292" s="21"/>
      <c r="O292" s="21"/>
      <c r="P292" s="21"/>
      <c r="Q292" s="21"/>
    </row>
    <row r="293" spans="1:17" ht="25.5" x14ac:dyDescent="0.2">
      <c r="A293" s="28" t="s">
        <v>75</v>
      </c>
      <c r="B293" s="28">
        <v>911</v>
      </c>
      <c r="C293" s="24" t="s">
        <v>18</v>
      </c>
      <c r="D293" s="24" t="s">
        <v>25</v>
      </c>
      <c r="E293" s="24" t="s">
        <v>137</v>
      </c>
      <c r="F293" s="24" t="s">
        <v>67</v>
      </c>
      <c r="G293" s="25">
        <f>87+3-22.5</f>
        <v>67.5</v>
      </c>
      <c r="H293" s="25">
        <v>87</v>
      </c>
      <c r="I293" s="25">
        <v>87</v>
      </c>
      <c r="J293" s="21"/>
      <c r="K293" s="21"/>
      <c r="L293" s="21"/>
      <c r="M293" s="21"/>
      <c r="N293" s="21"/>
      <c r="O293" s="21"/>
      <c r="P293" s="21"/>
      <c r="Q293" s="21"/>
    </row>
    <row r="294" spans="1:17" s="71" customFormat="1" ht="25.5" x14ac:dyDescent="0.2">
      <c r="A294" s="79" t="s">
        <v>143</v>
      </c>
      <c r="B294" s="79">
        <v>911</v>
      </c>
      <c r="C294" s="74" t="s">
        <v>18</v>
      </c>
      <c r="D294" s="74" t="s">
        <v>25</v>
      </c>
      <c r="E294" s="74" t="s">
        <v>137</v>
      </c>
      <c r="F294" s="74" t="s">
        <v>64</v>
      </c>
      <c r="G294" s="58">
        <f>3412.6+315+149-72-3+4.4-30.5+53+81</f>
        <v>3909.5</v>
      </c>
      <c r="H294" s="58">
        <f>3412.6+315</f>
        <v>3727.6</v>
      </c>
      <c r="I294" s="58">
        <f>3412.6+315</f>
        <v>3727.6</v>
      </c>
    </row>
    <row r="295" spans="1:17" ht="63.75" x14ac:dyDescent="0.2">
      <c r="A295" s="18" t="s">
        <v>241</v>
      </c>
      <c r="B295" s="22">
        <v>911</v>
      </c>
      <c r="C295" s="19" t="s">
        <v>18</v>
      </c>
      <c r="D295" s="19" t="s">
        <v>25</v>
      </c>
      <c r="E295" s="19" t="s">
        <v>245</v>
      </c>
      <c r="F295" s="19"/>
      <c r="G295" s="20">
        <f>G296</f>
        <v>5210.8999999999996</v>
      </c>
      <c r="H295" s="20">
        <f>H296</f>
        <v>4150.8999999999996</v>
      </c>
      <c r="I295" s="20">
        <f>I296</f>
        <v>4150.8999999999996</v>
      </c>
      <c r="J295" s="104"/>
      <c r="K295" s="104"/>
      <c r="L295" s="104"/>
      <c r="M295" s="104"/>
      <c r="N295" s="104"/>
      <c r="O295" s="104"/>
      <c r="P295" s="104"/>
      <c r="Q295" s="104"/>
    </row>
    <row r="296" spans="1:17" s="26" customFormat="1" ht="25.5" x14ac:dyDescent="0.2">
      <c r="A296" s="28" t="s">
        <v>143</v>
      </c>
      <c r="B296" s="31">
        <v>911</v>
      </c>
      <c r="C296" s="24" t="s">
        <v>18</v>
      </c>
      <c r="D296" s="24" t="s">
        <v>25</v>
      </c>
      <c r="E296" s="24" t="s">
        <v>245</v>
      </c>
      <c r="F296" s="24" t="s">
        <v>64</v>
      </c>
      <c r="G296" s="25">
        <f>4150.9-1200+200+150+380+1530</f>
        <v>5210.8999999999996</v>
      </c>
      <c r="H296" s="25">
        <v>4150.8999999999996</v>
      </c>
      <c r="I296" s="25">
        <v>4150.8999999999996</v>
      </c>
      <c r="J296" s="105"/>
      <c r="K296" s="105"/>
      <c r="L296" s="105"/>
      <c r="M296" s="105"/>
      <c r="N296" s="105"/>
      <c r="O296" s="105"/>
      <c r="P296" s="105"/>
      <c r="Q296" s="105"/>
    </row>
    <row r="297" spans="1:17" ht="25.5" x14ac:dyDescent="0.2">
      <c r="A297" s="18" t="s">
        <v>355</v>
      </c>
      <c r="B297" s="22">
        <v>911</v>
      </c>
      <c r="C297" s="19" t="s">
        <v>18</v>
      </c>
      <c r="D297" s="19" t="s">
        <v>25</v>
      </c>
      <c r="E297" s="19" t="s">
        <v>246</v>
      </c>
      <c r="F297" s="19"/>
      <c r="G297" s="20">
        <f>G298+G299</f>
        <v>60</v>
      </c>
      <c r="H297" s="20">
        <f>H298+H299</f>
        <v>171.1</v>
      </c>
      <c r="I297" s="20">
        <f>I298+I299</f>
        <v>171.1</v>
      </c>
      <c r="J297" s="21"/>
      <c r="K297" s="21"/>
      <c r="L297" s="21"/>
      <c r="M297" s="21"/>
      <c r="N297" s="21"/>
      <c r="O297" s="21"/>
      <c r="P297" s="21"/>
      <c r="Q297" s="21"/>
    </row>
    <row r="298" spans="1:17" s="26" customFormat="1" ht="25.5" x14ac:dyDescent="0.2">
      <c r="A298" s="28" t="s">
        <v>75</v>
      </c>
      <c r="B298" s="31">
        <v>911</v>
      </c>
      <c r="C298" s="24" t="s">
        <v>18</v>
      </c>
      <c r="D298" s="24" t="s">
        <v>25</v>
      </c>
      <c r="E298" s="24" t="s">
        <v>246</v>
      </c>
      <c r="F298" s="24" t="s">
        <v>67</v>
      </c>
      <c r="G298" s="25">
        <f>41-41</f>
        <v>0</v>
      </c>
      <c r="H298" s="25">
        <v>41</v>
      </c>
      <c r="I298" s="25">
        <v>41</v>
      </c>
    </row>
    <row r="299" spans="1:17" s="26" customFormat="1" ht="25.5" x14ac:dyDescent="0.2">
      <c r="A299" s="28" t="s">
        <v>143</v>
      </c>
      <c r="B299" s="31">
        <v>911</v>
      </c>
      <c r="C299" s="24" t="s">
        <v>18</v>
      </c>
      <c r="D299" s="24" t="s">
        <v>25</v>
      </c>
      <c r="E299" s="24" t="s">
        <v>246</v>
      </c>
      <c r="F299" s="24" t="s">
        <v>64</v>
      </c>
      <c r="G299" s="25">
        <f>130.1-70.1</f>
        <v>60</v>
      </c>
      <c r="H299" s="25">
        <v>130.1</v>
      </c>
      <c r="I299" s="25">
        <v>130.1</v>
      </c>
    </row>
    <row r="300" spans="1:17" ht="25.5" x14ac:dyDescent="0.2">
      <c r="A300" s="18" t="s">
        <v>355</v>
      </c>
      <c r="B300" s="22">
        <v>911</v>
      </c>
      <c r="C300" s="19" t="s">
        <v>18</v>
      </c>
      <c r="D300" s="19" t="s">
        <v>25</v>
      </c>
      <c r="E300" s="19" t="s">
        <v>194</v>
      </c>
      <c r="F300" s="19"/>
      <c r="G300" s="20">
        <f>G303+G302+G301</f>
        <v>389.69999999999993</v>
      </c>
      <c r="H300" s="20">
        <f>H303+H302+H301</f>
        <v>319.7</v>
      </c>
      <c r="I300" s="20">
        <f>I303+I302+I301</f>
        <v>319.7</v>
      </c>
      <c r="J300" s="104"/>
      <c r="K300" s="104"/>
      <c r="L300" s="104"/>
      <c r="M300" s="104"/>
      <c r="N300" s="104"/>
      <c r="O300" s="104"/>
      <c r="P300" s="104"/>
      <c r="Q300" s="104"/>
    </row>
    <row r="301" spans="1:17" s="26" customFormat="1" ht="25.5" x14ac:dyDescent="0.2">
      <c r="A301" s="28" t="s">
        <v>75</v>
      </c>
      <c r="B301" s="31">
        <v>911</v>
      </c>
      <c r="C301" s="24" t="s">
        <v>18</v>
      </c>
      <c r="D301" s="24" t="s">
        <v>25</v>
      </c>
      <c r="E301" s="24" t="s">
        <v>194</v>
      </c>
      <c r="F301" s="24" t="s">
        <v>67</v>
      </c>
      <c r="G301" s="25">
        <f>4-1</f>
        <v>3</v>
      </c>
      <c r="H301" s="25">
        <v>4</v>
      </c>
      <c r="I301" s="25">
        <v>4</v>
      </c>
      <c r="J301" s="105"/>
      <c r="K301" s="105"/>
      <c r="L301" s="105"/>
      <c r="M301" s="105"/>
      <c r="N301" s="105"/>
      <c r="O301" s="105"/>
      <c r="P301" s="105"/>
      <c r="Q301" s="105"/>
    </row>
    <row r="302" spans="1:17" s="26" customFormat="1" x14ac:dyDescent="0.2">
      <c r="A302" s="28" t="s">
        <v>68</v>
      </c>
      <c r="B302" s="31">
        <v>911</v>
      </c>
      <c r="C302" s="24" t="s">
        <v>18</v>
      </c>
      <c r="D302" s="24" t="s">
        <v>25</v>
      </c>
      <c r="E302" s="24" t="s">
        <v>194</v>
      </c>
      <c r="F302" s="24" t="s">
        <v>69</v>
      </c>
      <c r="G302" s="25">
        <f>1177.8-1177.8</f>
        <v>0</v>
      </c>
      <c r="H302" s="25">
        <v>0</v>
      </c>
      <c r="I302" s="25">
        <v>0</v>
      </c>
    </row>
    <row r="303" spans="1:17" s="76" customFormat="1" ht="25.5" x14ac:dyDescent="0.2">
      <c r="A303" s="79" t="s">
        <v>143</v>
      </c>
      <c r="B303" s="78">
        <v>911</v>
      </c>
      <c r="C303" s="74" t="s">
        <v>18</v>
      </c>
      <c r="D303" s="74" t="s">
        <v>25</v>
      </c>
      <c r="E303" s="74" t="s">
        <v>194</v>
      </c>
      <c r="F303" s="74" t="s">
        <v>64</v>
      </c>
      <c r="G303" s="58">
        <f>315.7-58.1+54+75.1</f>
        <v>386.69999999999993</v>
      </c>
      <c r="H303" s="58">
        <v>315.7</v>
      </c>
      <c r="I303" s="58">
        <v>315.7</v>
      </c>
    </row>
    <row r="304" spans="1:17" ht="51" x14ac:dyDescent="0.2">
      <c r="A304" s="18" t="s">
        <v>357</v>
      </c>
      <c r="B304" s="22">
        <v>911</v>
      </c>
      <c r="C304" s="19" t="s">
        <v>18</v>
      </c>
      <c r="D304" s="19" t="s">
        <v>25</v>
      </c>
      <c r="E304" s="19" t="s">
        <v>247</v>
      </c>
      <c r="F304" s="19"/>
      <c r="G304" s="20">
        <f>G305+G306</f>
        <v>711.40000000000009</v>
      </c>
      <c r="H304" s="20">
        <f>H305+H306</f>
        <v>491.4</v>
      </c>
      <c r="I304" s="20">
        <f>I305+I306</f>
        <v>491.4</v>
      </c>
      <c r="J304" s="104"/>
      <c r="K304" s="104"/>
      <c r="L304" s="104"/>
      <c r="M304" s="104"/>
      <c r="N304" s="104"/>
      <c r="O304" s="104"/>
      <c r="P304" s="104"/>
      <c r="Q304" s="104"/>
    </row>
    <row r="305" spans="1:17" s="26" customFormat="1" ht="49.5" customHeight="1" x14ac:dyDescent="0.2">
      <c r="A305" s="30" t="s">
        <v>65</v>
      </c>
      <c r="B305" s="32">
        <v>911</v>
      </c>
      <c r="C305" s="24" t="s">
        <v>18</v>
      </c>
      <c r="D305" s="24" t="s">
        <v>25</v>
      </c>
      <c r="E305" s="24" t="s">
        <v>247</v>
      </c>
      <c r="F305" s="27" t="s">
        <v>66</v>
      </c>
      <c r="G305" s="25">
        <f>36.9+17.5-1.3</f>
        <v>53.1</v>
      </c>
      <c r="H305" s="25">
        <v>36.9</v>
      </c>
      <c r="I305" s="25">
        <v>36.9</v>
      </c>
      <c r="J305" s="105"/>
      <c r="K305" s="105"/>
      <c r="L305" s="105"/>
      <c r="M305" s="105"/>
      <c r="N305" s="105"/>
      <c r="O305" s="105"/>
      <c r="P305" s="105"/>
      <c r="Q305" s="105"/>
    </row>
    <row r="306" spans="1:17" s="26" customFormat="1" ht="25.5" x14ac:dyDescent="0.2">
      <c r="A306" s="28" t="s">
        <v>143</v>
      </c>
      <c r="B306" s="31">
        <v>911</v>
      </c>
      <c r="C306" s="24" t="s">
        <v>18</v>
      </c>
      <c r="D306" s="24" t="s">
        <v>25</v>
      </c>
      <c r="E306" s="24" t="s">
        <v>247</v>
      </c>
      <c r="F306" s="24" t="s">
        <v>64</v>
      </c>
      <c r="G306" s="25">
        <f>454.5+205.1-1.3</f>
        <v>658.30000000000007</v>
      </c>
      <c r="H306" s="25">
        <v>454.5</v>
      </c>
      <c r="I306" s="25">
        <v>454.5</v>
      </c>
      <c r="J306" s="105"/>
      <c r="K306" s="105"/>
      <c r="L306" s="105"/>
      <c r="M306" s="105"/>
      <c r="N306" s="105"/>
      <c r="O306" s="105"/>
      <c r="P306" s="105"/>
      <c r="Q306" s="105"/>
    </row>
    <row r="307" spans="1:17" ht="25.5" x14ac:dyDescent="0.2">
      <c r="A307" s="18" t="s">
        <v>249</v>
      </c>
      <c r="B307" s="22">
        <v>911</v>
      </c>
      <c r="C307" s="19" t="s">
        <v>18</v>
      </c>
      <c r="D307" s="19" t="s">
        <v>25</v>
      </c>
      <c r="E307" s="19" t="s">
        <v>248</v>
      </c>
      <c r="F307" s="19"/>
      <c r="G307" s="20">
        <f>G310+G309+G308</f>
        <v>967.59</v>
      </c>
      <c r="H307" s="20">
        <f t="shared" ref="H307:I307" si="47">H310+H309+H308</f>
        <v>430.5</v>
      </c>
      <c r="I307" s="20">
        <f t="shared" si="47"/>
        <v>430.5</v>
      </c>
      <c r="J307" s="104"/>
      <c r="K307" s="104"/>
      <c r="L307" s="104"/>
      <c r="M307" s="104"/>
      <c r="N307" s="104"/>
      <c r="O307" s="104"/>
      <c r="P307" s="104"/>
      <c r="Q307" s="104"/>
    </row>
    <row r="308" spans="1:17" s="26" customFormat="1" ht="54.75" customHeight="1" x14ac:dyDescent="0.2">
      <c r="A308" s="23" t="s">
        <v>65</v>
      </c>
      <c r="B308" s="31">
        <v>911</v>
      </c>
      <c r="C308" s="24" t="s">
        <v>18</v>
      </c>
      <c r="D308" s="24" t="s">
        <v>25</v>
      </c>
      <c r="E308" s="24" t="s">
        <v>248</v>
      </c>
      <c r="F308" s="24" t="s">
        <v>66</v>
      </c>
      <c r="G308" s="25">
        <f>7.6+2.4+5+19.4+5.2+29.4-29.4</f>
        <v>39.6</v>
      </c>
      <c r="H308" s="25">
        <v>0</v>
      </c>
      <c r="I308" s="25">
        <v>0</v>
      </c>
      <c r="J308" s="105"/>
      <c r="K308" s="105"/>
      <c r="L308" s="105"/>
      <c r="M308" s="105"/>
      <c r="N308" s="105"/>
      <c r="O308" s="105"/>
      <c r="P308" s="105"/>
      <c r="Q308" s="105"/>
    </row>
    <row r="309" spans="1:17" s="26" customFormat="1" ht="25.5" x14ac:dyDescent="0.2">
      <c r="A309" s="28" t="s">
        <v>75</v>
      </c>
      <c r="B309" s="31">
        <v>911</v>
      </c>
      <c r="C309" s="24" t="s">
        <v>18</v>
      </c>
      <c r="D309" s="24" t="s">
        <v>25</v>
      </c>
      <c r="E309" s="24" t="s">
        <v>248</v>
      </c>
      <c r="F309" s="24" t="s">
        <v>67</v>
      </c>
      <c r="G309" s="25">
        <f>48.9+21.3-2.2-5.2+29.4+51.8</f>
        <v>144</v>
      </c>
      <c r="H309" s="25">
        <v>0</v>
      </c>
      <c r="I309" s="25">
        <v>0</v>
      </c>
      <c r="J309" s="105"/>
      <c r="K309" s="105"/>
      <c r="L309" s="105"/>
      <c r="M309" s="105"/>
      <c r="N309" s="105"/>
      <c r="O309" s="105"/>
      <c r="P309" s="105"/>
      <c r="Q309" s="105"/>
    </row>
    <row r="310" spans="1:17" s="26" customFormat="1" ht="25.5" x14ac:dyDescent="0.2">
      <c r="A310" s="28" t="s">
        <v>143</v>
      </c>
      <c r="B310" s="31">
        <v>911</v>
      </c>
      <c r="C310" s="24" t="s">
        <v>18</v>
      </c>
      <c r="D310" s="24" t="s">
        <v>25</v>
      </c>
      <c r="E310" s="24" t="s">
        <v>248</v>
      </c>
      <c r="F310" s="24" t="s">
        <v>64</v>
      </c>
      <c r="G310" s="25">
        <f>430.5-48.9-7.6-13.2-2.4+0.2+2.2-60-69.21+423+129.4</f>
        <v>783.99</v>
      </c>
      <c r="H310" s="25">
        <v>430.5</v>
      </c>
      <c r="I310" s="25">
        <v>430.5</v>
      </c>
      <c r="J310" s="105"/>
      <c r="K310" s="105"/>
      <c r="L310" s="105"/>
      <c r="M310" s="105"/>
      <c r="N310" s="105"/>
      <c r="O310" s="105"/>
      <c r="P310" s="105"/>
      <c r="Q310" s="105"/>
    </row>
    <row r="311" spans="1:17" ht="25.5" x14ac:dyDescent="0.2">
      <c r="A311" s="18" t="s">
        <v>250</v>
      </c>
      <c r="B311" s="22">
        <v>911</v>
      </c>
      <c r="C311" s="5" t="s">
        <v>18</v>
      </c>
      <c r="D311" s="5" t="s">
        <v>25</v>
      </c>
      <c r="E311" s="5" t="s">
        <v>122</v>
      </c>
      <c r="F311" s="19"/>
      <c r="G311" s="20">
        <f>G312+G313</f>
        <v>2604.6</v>
      </c>
      <c r="H311" s="20">
        <f>H312+H313</f>
        <v>2354.3000000000002</v>
      </c>
      <c r="I311" s="20">
        <f>I312+I313</f>
        <v>2354.3000000000002</v>
      </c>
      <c r="J311" s="21"/>
      <c r="K311" s="21"/>
      <c r="L311" s="21"/>
      <c r="M311" s="21"/>
      <c r="N311" s="21"/>
      <c r="O311" s="21"/>
      <c r="P311" s="21"/>
      <c r="Q311" s="21"/>
    </row>
    <row r="312" spans="1:17" s="26" customFormat="1" ht="51" customHeight="1" x14ac:dyDescent="0.2">
      <c r="A312" s="23" t="s">
        <v>65</v>
      </c>
      <c r="B312" s="31">
        <v>911</v>
      </c>
      <c r="C312" s="24" t="s">
        <v>18</v>
      </c>
      <c r="D312" s="24" t="s">
        <v>25</v>
      </c>
      <c r="E312" s="24" t="s">
        <v>122</v>
      </c>
      <c r="F312" s="27" t="s">
        <v>66</v>
      </c>
      <c r="G312" s="25">
        <f>1464.5+442.3+2+19+76.3+250.3</f>
        <v>2254.4</v>
      </c>
      <c r="H312" s="25">
        <f>1464.5+442.3+2+19</f>
        <v>1927.8</v>
      </c>
      <c r="I312" s="25">
        <f>1464.5+442.3+2+19</f>
        <v>1927.8</v>
      </c>
    </row>
    <row r="313" spans="1:17" s="26" customFormat="1" ht="25.5" x14ac:dyDescent="0.2">
      <c r="A313" s="28" t="s">
        <v>75</v>
      </c>
      <c r="B313" s="53">
        <v>911</v>
      </c>
      <c r="C313" s="24" t="s">
        <v>18</v>
      </c>
      <c r="D313" s="24" t="s">
        <v>25</v>
      </c>
      <c r="E313" s="24" t="s">
        <v>122</v>
      </c>
      <c r="F313" s="27" t="s">
        <v>67</v>
      </c>
      <c r="G313" s="25">
        <f>10+150+100+166.5-76.3</f>
        <v>350.2</v>
      </c>
      <c r="H313" s="25">
        <f>10+150+100+166.5</f>
        <v>426.5</v>
      </c>
      <c r="I313" s="25">
        <f>10+150+100+166.5</f>
        <v>426.5</v>
      </c>
    </row>
    <row r="314" spans="1:17" s="71" customFormat="1" ht="25.5" x14ac:dyDescent="0.2">
      <c r="A314" s="67" t="s">
        <v>359</v>
      </c>
      <c r="B314" s="68">
        <v>911</v>
      </c>
      <c r="C314" s="69" t="s">
        <v>18</v>
      </c>
      <c r="D314" s="69" t="s">
        <v>25</v>
      </c>
      <c r="E314" s="69" t="s">
        <v>251</v>
      </c>
      <c r="F314" s="69"/>
      <c r="G314" s="70">
        <f>G315+G316</f>
        <v>3975.9</v>
      </c>
      <c r="H314" s="70">
        <f>H315+H316</f>
        <v>3563.4</v>
      </c>
      <c r="I314" s="70">
        <f>I315+I316</f>
        <v>3563.4</v>
      </c>
    </row>
    <row r="315" spans="1:17" s="26" customFormat="1" ht="51" customHeight="1" x14ac:dyDescent="0.2">
      <c r="A315" s="23" t="s">
        <v>65</v>
      </c>
      <c r="B315" s="31">
        <v>911</v>
      </c>
      <c r="C315" s="24" t="s">
        <v>18</v>
      </c>
      <c r="D315" s="24" t="s">
        <v>25</v>
      </c>
      <c r="E315" s="24" t="s">
        <v>251</v>
      </c>
      <c r="F315" s="27" t="s">
        <v>66</v>
      </c>
      <c r="G315" s="25">
        <f>3479.7+33.3+25+437.9</f>
        <v>3975.9</v>
      </c>
      <c r="H315" s="25">
        <f>3479.7+33.3</f>
        <v>3513</v>
      </c>
      <c r="I315" s="25">
        <f>3479.7+33.3</f>
        <v>3513</v>
      </c>
    </row>
    <row r="316" spans="1:17" s="76" customFormat="1" ht="25.5" x14ac:dyDescent="0.2">
      <c r="A316" s="79" t="s">
        <v>75</v>
      </c>
      <c r="B316" s="78">
        <v>911</v>
      </c>
      <c r="C316" s="74" t="s">
        <v>18</v>
      </c>
      <c r="D316" s="74" t="s">
        <v>25</v>
      </c>
      <c r="E316" s="74" t="s">
        <v>251</v>
      </c>
      <c r="F316" s="75" t="s">
        <v>67</v>
      </c>
      <c r="G316" s="58">
        <f>50.4-25-18.4-7</f>
        <v>0</v>
      </c>
      <c r="H316" s="58">
        <v>50.4</v>
      </c>
      <c r="I316" s="58">
        <v>50.4</v>
      </c>
    </row>
    <row r="317" spans="1:17" ht="25.5" x14ac:dyDescent="0.2">
      <c r="A317" s="18" t="s">
        <v>359</v>
      </c>
      <c r="B317" s="22">
        <v>911</v>
      </c>
      <c r="C317" s="19" t="s">
        <v>18</v>
      </c>
      <c r="D317" s="19" t="s">
        <v>25</v>
      </c>
      <c r="E317" s="19" t="s">
        <v>252</v>
      </c>
      <c r="F317" s="19"/>
      <c r="G317" s="20">
        <f>G318</f>
        <v>22359.300000000003</v>
      </c>
      <c r="H317" s="20">
        <f>H318</f>
        <v>16913.600000000002</v>
      </c>
      <c r="I317" s="20">
        <f>I318</f>
        <v>16913.600000000002</v>
      </c>
      <c r="J317" s="104"/>
      <c r="K317" s="104"/>
      <c r="L317" s="104"/>
      <c r="M317" s="104"/>
      <c r="N317" s="104"/>
      <c r="O317" s="104"/>
      <c r="P317" s="104"/>
      <c r="Q317" s="104"/>
    </row>
    <row r="318" spans="1:17" s="26" customFormat="1" ht="25.5" x14ac:dyDescent="0.2">
      <c r="A318" s="28" t="s">
        <v>143</v>
      </c>
      <c r="B318" s="31">
        <v>911</v>
      </c>
      <c r="C318" s="24" t="s">
        <v>18</v>
      </c>
      <c r="D318" s="24" t="s">
        <v>25</v>
      </c>
      <c r="E318" s="24" t="s">
        <v>252</v>
      </c>
      <c r="F318" s="24" t="s">
        <v>64</v>
      </c>
      <c r="G318" s="25">
        <f>16766.2+147.4-6.4+60-30+68.2+4727.2+50+62.8+122.7+461+14.3-180+8+56+11+21.2-0.3</f>
        <v>22359.300000000003</v>
      </c>
      <c r="H318" s="25">
        <f t="shared" ref="H318:I318" si="48">16766.2+147.4</f>
        <v>16913.600000000002</v>
      </c>
      <c r="I318" s="25">
        <f t="shared" si="48"/>
        <v>16913.600000000002</v>
      </c>
      <c r="J318" s="105"/>
      <c r="K318" s="105"/>
      <c r="L318" s="105"/>
      <c r="M318" s="105"/>
      <c r="N318" s="105"/>
      <c r="O318" s="105"/>
      <c r="P318" s="105"/>
      <c r="Q318" s="105"/>
    </row>
    <row r="319" spans="1:17" ht="25.5" x14ac:dyDescent="0.2">
      <c r="A319" s="18" t="s">
        <v>359</v>
      </c>
      <c r="B319" s="22">
        <v>911</v>
      </c>
      <c r="C319" s="19" t="s">
        <v>18</v>
      </c>
      <c r="D319" s="19" t="s">
        <v>25</v>
      </c>
      <c r="E319" s="19" t="s">
        <v>253</v>
      </c>
      <c r="F319" s="19"/>
      <c r="G319" s="20">
        <f>G320+G321+G322+G323</f>
        <v>46117.100000000006</v>
      </c>
      <c r="H319" s="20">
        <f>H320+H321+H322+H323</f>
        <v>37583.699999999997</v>
      </c>
      <c r="I319" s="20">
        <f>I320+I321+I322+I323</f>
        <v>37583.699999999997</v>
      </c>
      <c r="J319" s="104"/>
      <c r="K319" s="104"/>
      <c r="L319" s="104"/>
      <c r="M319" s="104"/>
      <c r="N319" s="104"/>
      <c r="O319" s="104"/>
      <c r="P319" s="104"/>
      <c r="Q319" s="104"/>
    </row>
    <row r="320" spans="1:17" s="26" customFormat="1" ht="51.75" customHeight="1" x14ac:dyDescent="0.2">
      <c r="A320" s="30" t="s">
        <v>65</v>
      </c>
      <c r="B320" s="32">
        <v>911</v>
      </c>
      <c r="C320" s="24" t="s">
        <v>18</v>
      </c>
      <c r="D320" s="24" t="s">
        <v>25</v>
      </c>
      <c r="E320" s="24" t="s">
        <v>253</v>
      </c>
      <c r="F320" s="27" t="s">
        <v>66</v>
      </c>
      <c r="G320" s="25">
        <f>10646+102.3+12+6407+2970.6-513.2</f>
        <v>19624.699999999997</v>
      </c>
      <c r="H320" s="25">
        <f>10646+102.3</f>
        <v>10748.3</v>
      </c>
      <c r="I320" s="25">
        <f>10646+102.3</f>
        <v>10748.3</v>
      </c>
    </row>
    <row r="321" spans="1:17" s="26" customFormat="1" ht="25.5" x14ac:dyDescent="0.2">
      <c r="A321" s="28" t="s">
        <v>75</v>
      </c>
      <c r="B321" s="32">
        <v>911</v>
      </c>
      <c r="C321" s="24" t="s">
        <v>18</v>
      </c>
      <c r="D321" s="24" t="s">
        <v>25</v>
      </c>
      <c r="E321" s="24" t="s">
        <v>253</v>
      </c>
      <c r="F321" s="27" t="s">
        <v>67</v>
      </c>
      <c r="G321" s="25">
        <f>287-12-37+618.7-10-9.5+412.2+637-14.3-149.9+75+25+110+315.4+13.7+18.2</f>
        <v>2279.4999999999995</v>
      </c>
      <c r="H321" s="25">
        <v>287</v>
      </c>
      <c r="I321" s="25">
        <v>287</v>
      </c>
      <c r="J321" s="105"/>
      <c r="K321" s="105"/>
      <c r="L321" s="105"/>
      <c r="M321" s="105"/>
      <c r="N321" s="105"/>
      <c r="O321" s="105"/>
      <c r="P321" s="105"/>
      <c r="Q321" s="105"/>
    </row>
    <row r="322" spans="1:17" s="26" customFormat="1" ht="25.5" x14ac:dyDescent="0.2">
      <c r="A322" s="28" t="s">
        <v>143</v>
      </c>
      <c r="B322" s="31">
        <v>911</v>
      </c>
      <c r="C322" s="24" t="s">
        <v>18</v>
      </c>
      <c r="D322" s="24" t="s">
        <v>25</v>
      </c>
      <c r="E322" s="24" t="s">
        <v>253</v>
      </c>
      <c r="F322" s="24" t="s">
        <v>64</v>
      </c>
      <c r="G322" s="25">
        <f>26235.2+213.2+1.4+357.5+10-90-7037.8+22+10-17+155+2502.4-20+50.9+233.3+513.2-5.5+17.2+520-1+50+171.2+60+100+85+0.6+143.2-157.3+3.1+3.9</f>
        <v>24129.700000000008</v>
      </c>
      <c r="H322" s="25">
        <f>26235.2+213.2</f>
        <v>26448.400000000001</v>
      </c>
      <c r="I322" s="25">
        <f>26235.2+213.2</f>
        <v>26448.400000000001</v>
      </c>
      <c r="J322" s="105"/>
      <c r="K322" s="105"/>
      <c r="L322" s="105"/>
      <c r="M322" s="105"/>
      <c r="N322" s="105"/>
      <c r="O322" s="105"/>
      <c r="P322" s="105"/>
      <c r="Q322" s="105"/>
    </row>
    <row r="323" spans="1:17" s="26" customFormat="1" x14ac:dyDescent="0.2">
      <c r="A323" s="28" t="s">
        <v>71</v>
      </c>
      <c r="B323" s="31">
        <v>911</v>
      </c>
      <c r="C323" s="24" t="s">
        <v>18</v>
      </c>
      <c r="D323" s="24" t="s">
        <v>25</v>
      </c>
      <c r="E323" s="24" t="s">
        <v>253</v>
      </c>
      <c r="F323" s="24" t="s">
        <v>72</v>
      </c>
      <c r="G323" s="25">
        <f>100+12.1+13-45-23.4+14.9+1+10.6</f>
        <v>83.199999999999989</v>
      </c>
      <c r="H323" s="25">
        <v>100</v>
      </c>
      <c r="I323" s="25">
        <v>100</v>
      </c>
      <c r="J323" s="105"/>
      <c r="K323" s="105"/>
      <c r="L323" s="105"/>
      <c r="M323" s="105"/>
      <c r="N323" s="105"/>
      <c r="O323" s="105"/>
      <c r="P323" s="105"/>
      <c r="Q323" s="105"/>
    </row>
    <row r="324" spans="1:17" s="91" customFormat="1" x14ac:dyDescent="0.2">
      <c r="A324" s="90" t="s">
        <v>51</v>
      </c>
      <c r="B324" s="59">
        <v>911</v>
      </c>
      <c r="C324" s="60" t="s">
        <v>50</v>
      </c>
      <c r="D324" s="60"/>
      <c r="E324" s="60"/>
      <c r="F324" s="60"/>
      <c r="G324" s="61">
        <f>G325+G342</f>
        <v>51258.7</v>
      </c>
      <c r="H324" s="61">
        <f>H325+H342</f>
        <v>52413.4</v>
      </c>
      <c r="I324" s="61">
        <f>I325+I342</f>
        <v>52125.4</v>
      </c>
    </row>
    <row r="325" spans="1:17" s="66" customFormat="1" x14ac:dyDescent="0.2">
      <c r="A325" s="62" t="s">
        <v>54</v>
      </c>
      <c r="B325" s="63">
        <v>911</v>
      </c>
      <c r="C325" s="64" t="s">
        <v>50</v>
      </c>
      <c r="D325" s="64" t="s">
        <v>15</v>
      </c>
      <c r="E325" s="64"/>
      <c r="F325" s="64"/>
      <c r="G325" s="65">
        <f>G326+G331+G333+G329+G338+G340+G335</f>
        <v>11011.7</v>
      </c>
      <c r="H325" s="65">
        <f>H326+H331+H333+H329+H338+H340+H335</f>
        <v>11529.4</v>
      </c>
      <c r="I325" s="65">
        <f>I326+I331+I333+I329+I338+I340+I335</f>
        <v>11529.4</v>
      </c>
    </row>
    <row r="326" spans="1:17" ht="25.5" x14ac:dyDescent="0.2">
      <c r="A326" s="56" t="s">
        <v>372</v>
      </c>
      <c r="B326" s="22">
        <v>911</v>
      </c>
      <c r="C326" s="19" t="s">
        <v>50</v>
      </c>
      <c r="D326" s="19" t="s">
        <v>15</v>
      </c>
      <c r="E326" s="19" t="s">
        <v>85</v>
      </c>
      <c r="F326" s="19"/>
      <c r="G326" s="20">
        <f>G328+G327</f>
        <v>1596</v>
      </c>
      <c r="H326" s="20">
        <f>H328+H327</f>
        <v>1615</v>
      </c>
      <c r="I326" s="20">
        <f>I328+I327</f>
        <v>1615</v>
      </c>
      <c r="J326" s="21"/>
      <c r="K326" s="21"/>
      <c r="L326" s="21"/>
      <c r="M326" s="21"/>
      <c r="N326" s="21"/>
      <c r="O326" s="21"/>
      <c r="P326" s="21"/>
      <c r="Q326" s="21"/>
    </row>
    <row r="327" spans="1:17" x14ac:dyDescent="0.2">
      <c r="A327" s="55" t="s">
        <v>68</v>
      </c>
      <c r="B327" s="23">
        <v>911</v>
      </c>
      <c r="C327" s="24" t="s">
        <v>50</v>
      </c>
      <c r="D327" s="24" t="s">
        <v>15</v>
      </c>
      <c r="E327" s="24" t="s">
        <v>85</v>
      </c>
      <c r="F327" s="27" t="s">
        <v>69</v>
      </c>
      <c r="G327" s="25">
        <f>35.6</f>
        <v>35.6</v>
      </c>
      <c r="H327" s="25">
        <f>35.6</f>
        <v>35.6</v>
      </c>
      <c r="I327" s="25">
        <f>35.6</f>
        <v>35.6</v>
      </c>
      <c r="J327" s="21"/>
      <c r="K327" s="21"/>
      <c r="L327" s="21"/>
      <c r="M327" s="21"/>
      <c r="N327" s="21"/>
      <c r="O327" s="21"/>
      <c r="P327" s="21"/>
      <c r="Q327" s="21"/>
    </row>
    <row r="328" spans="1:17" s="26" customFormat="1" ht="25.5" x14ac:dyDescent="0.2">
      <c r="A328" s="28" t="s">
        <v>143</v>
      </c>
      <c r="B328" s="31">
        <v>911</v>
      </c>
      <c r="C328" s="24" t="s">
        <v>50</v>
      </c>
      <c r="D328" s="24" t="s">
        <v>15</v>
      </c>
      <c r="E328" s="24" t="s">
        <v>85</v>
      </c>
      <c r="F328" s="24" t="s">
        <v>64</v>
      </c>
      <c r="G328" s="25">
        <f>1499.4+80-19</f>
        <v>1560.4</v>
      </c>
      <c r="H328" s="25">
        <f>1499.4+80</f>
        <v>1579.4</v>
      </c>
      <c r="I328" s="25">
        <f>1499.4+80</f>
        <v>1579.4</v>
      </c>
    </row>
    <row r="329" spans="1:17" ht="51" x14ac:dyDescent="0.2">
      <c r="A329" s="18" t="s">
        <v>254</v>
      </c>
      <c r="B329" s="22">
        <v>911</v>
      </c>
      <c r="C329" s="19" t="s">
        <v>50</v>
      </c>
      <c r="D329" s="19" t="s">
        <v>15</v>
      </c>
      <c r="E329" s="19" t="s">
        <v>126</v>
      </c>
      <c r="F329" s="19"/>
      <c r="G329" s="20">
        <f>G330</f>
        <v>207</v>
      </c>
      <c r="H329" s="20">
        <f>H330</f>
        <v>207</v>
      </c>
      <c r="I329" s="20">
        <f>I330</f>
        <v>207</v>
      </c>
      <c r="J329" s="21"/>
      <c r="K329" s="21"/>
      <c r="L329" s="21"/>
      <c r="M329" s="21"/>
      <c r="N329" s="21"/>
      <c r="O329" s="21"/>
      <c r="P329" s="21"/>
      <c r="Q329" s="21"/>
    </row>
    <row r="330" spans="1:17" s="26" customFormat="1" x14ac:dyDescent="0.2">
      <c r="A330" s="55" t="s">
        <v>68</v>
      </c>
      <c r="B330" s="31">
        <v>911</v>
      </c>
      <c r="C330" s="24" t="s">
        <v>50</v>
      </c>
      <c r="D330" s="24" t="s">
        <v>15</v>
      </c>
      <c r="E330" s="24" t="s">
        <v>126</v>
      </c>
      <c r="F330" s="29">
        <v>300</v>
      </c>
      <c r="G330" s="25">
        <v>207</v>
      </c>
      <c r="H330" s="25">
        <v>207</v>
      </c>
      <c r="I330" s="25">
        <v>207</v>
      </c>
    </row>
    <row r="331" spans="1:17" ht="63.75" x14ac:dyDescent="0.2">
      <c r="A331" s="18" t="s">
        <v>255</v>
      </c>
      <c r="B331" s="22">
        <v>911</v>
      </c>
      <c r="C331" s="19" t="s">
        <v>50</v>
      </c>
      <c r="D331" s="19" t="s">
        <v>15</v>
      </c>
      <c r="E331" s="24" t="s">
        <v>125</v>
      </c>
      <c r="F331" s="19"/>
      <c r="G331" s="20">
        <f>G332</f>
        <v>66.199999999999989</v>
      </c>
      <c r="H331" s="20">
        <f>H332</f>
        <v>0</v>
      </c>
      <c r="I331" s="20">
        <f>I332</f>
        <v>0</v>
      </c>
      <c r="J331" s="21"/>
      <c r="K331" s="21"/>
      <c r="L331" s="21"/>
      <c r="M331" s="21"/>
      <c r="N331" s="21"/>
      <c r="O331" s="21"/>
      <c r="P331" s="21"/>
      <c r="Q331" s="21"/>
    </row>
    <row r="332" spans="1:17" s="26" customFormat="1" x14ac:dyDescent="0.2">
      <c r="A332" s="55" t="s">
        <v>68</v>
      </c>
      <c r="B332" s="31">
        <v>911</v>
      </c>
      <c r="C332" s="24" t="s">
        <v>50</v>
      </c>
      <c r="D332" s="24" t="s">
        <v>15</v>
      </c>
      <c r="E332" s="24" t="s">
        <v>125</v>
      </c>
      <c r="F332" s="29">
        <v>300</v>
      </c>
      <c r="G332" s="25">
        <f>387-320.8</f>
        <v>66.199999999999989</v>
      </c>
      <c r="H332" s="25">
        <f>387-387</f>
        <v>0</v>
      </c>
      <c r="I332" s="25">
        <f>387-387</f>
        <v>0</v>
      </c>
    </row>
    <row r="333" spans="1:17" ht="38.25" x14ac:dyDescent="0.2">
      <c r="A333" s="47" t="s">
        <v>256</v>
      </c>
      <c r="B333" s="22">
        <v>911</v>
      </c>
      <c r="C333" s="19" t="s">
        <v>50</v>
      </c>
      <c r="D333" s="19" t="s">
        <v>15</v>
      </c>
      <c r="E333" s="19" t="s">
        <v>124</v>
      </c>
      <c r="F333" s="19"/>
      <c r="G333" s="20">
        <f>G334</f>
        <v>570</v>
      </c>
      <c r="H333" s="20">
        <f>H334</f>
        <v>570</v>
      </c>
      <c r="I333" s="20">
        <f>I334</f>
        <v>570</v>
      </c>
      <c r="J333" s="21"/>
      <c r="K333" s="21"/>
      <c r="L333" s="21"/>
      <c r="M333" s="21"/>
      <c r="N333" s="21"/>
      <c r="O333" s="21"/>
      <c r="P333" s="21"/>
      <c r="Q333" s="21"/>
    </row>
    <row r="334" spans="1:17" s="26" customFormat="1" x14ac:dyDescent="0.2">
      <c r="A334" s="55" t="s">
        <v>68</v>
      </c>
      <c r="B334" s="31">
        <v>911</v>
      </c>
      <c r="C334" s="24" t="s">
        <v>50</v>
      </c>
      <c r="D334" s="24" t="s">
        <v>15</v>
      </c>
      <c r="E334" s="24" t="s">
        <v>124</v>
      </c>
      <c r="F334" s="24" t="s">
        <v>69</v>
      </c>
      <c r="G334" s="25">
        <v>570</v>
      </c>
      <c r="H334" s="25">
        <v>570</v>
      </c>
      <c r="I334" s="25">
        <v>570</v>
      </c>
    </row>
    <row r="335" spans="1:17" s="71" customFormat="1" ht="25.5" x14ac:dyDescent="0.2">
      <c r="A335" s="96" t="s">
        <v>257</v>
      </c>
      <c r="B335" s="97" t="s">
        <v>131</v>
      </c>
      <c r="C335" s="69" t="s">
        <v>50</v>
      </c>
      <c r="D335" s="69" t="s">
        <v>15</v>
      </c>
      <c r="E335" s="69" t="s">
        <v>132</v>
      </c>
      <c r="F335" s="69"/>
      <c r="G335" s="70">
        <f>G337+G336</f>
        <v>636</v>
      </c>
      <c r="H335" s="70">
        <f>H337+H336</f>
        <v>550.9</v>
      </c>
      <c r="I335" s="70">
        <f>I337+I336</f>
        <v>550.9</v>
      </c>
    </row>
    <row r="336" spans="1:17" s="71" customFormat="1" ht="25.5" x14ac:dyDescent="0.2">
      <c r="A336" s="79" t="s">
        <v>75</v>
      </c>
      <c r="B336" s="77">
        <v>911</v>
      </c>
      <c r="C336" s="74" t="s">
        <v>50</v>
      </c>
      <c r="D336" s="74" t="s">
        <v>15</v>
      </c>
      <c r="E336" s="74" t="s">
        <v>132</v>
      </c>
      <c r="F336" s="75" t="s">
        <v>67</v>
      </c>
      <c r="G336" s="58">
        <f>89.4+29.4</f>
        <v>118.80000000000001</v>
      </c>
      <c r="H336" s="58">
        <v>89.4</v>
      </c>
      <c r="I336" s="58">
        <v>89.4</v>
      </c>
    </row>
    <row r="337" spans="1:17" s="71" customFormat="1" ht="25.5" x14ac:dyDescent="0.2">
      <c r="A337" s="79" t="s">
        <v>143</v>
      </c>
      <c r="B337" s="79">
        <v>911</v>
      </c>
      <c r="C337" s="74" t="s">
        <v>50</v>
      </c>
      <c r="D337" s="74" t="s">
        <v>15</v>
      </c>
      <c r="E337" s="74" t="s">
        <v>132</v>
      </c>
      <c r="F337" s="74" t="s">
        <v>64</v>
      </c>
      <c r="G337" s="58">
        <f>432+29.5+55.7</f>
        <v>517.20000000000005</v>
      </c>
      <c r="H337" s="58">
        <f>432+29.5</f>
        <v>461.5</v>
      </c>
      <c r="I337" s="58">
        <f>432+29.5</f>
        <v>461.5</v>
      </c>
    </row>
    <row r="338" spans="1:17" ht="76.5" x14ac:dyDescent="0.2">
      <c r="A338" s="18" t="s">
        <v>258</v>
      </c>
      <c r="B338" s="22">
        <v>911</v>
      </c>
      <c r="C338" s="19" t="s">
        <v>50</v>
      </c>
      <c r="D338" s="19" t="s">
        <v>15</v>
      </c>
      <c r="E338" s="19" t="s">
        <v>127</v>
      </c>
      <c r="F338" s="19"/>
      <c r="G338" s="20">
        <f>G339</f>
        <v>350</v>
      </c>
      <c r="H338" s="20">
        <f>H339</f>
        <v>1000</v>
      </c>
      <c r="I338" s="20">
        <f>I339</f>
        <v>1000</v>
      </c>
      <c r="J338" s="21"/>
      <c r="K338" s="21"/>
      <c r="L338" s="21"/>
      <c r="M338" s="21"/>
      <c r="N338" s="21"/>
      <c r="O338" s="21"/>
      <c r="P338" s="21"/>
      <c r="Q338" s="21"/>
    </row>
    <row r="339" spans="1:17" s="76" customFormat="1" x14ac:dyDescent="0.2">
      <c r="A339" s="79" t="s">
        <v>68</v>
      </c>
      <c r="B339" s="78">
        <v>911</v>
      </c>
      <c r="C339" s="74" t="s">
        <v>50</v>
      </c>
      <c r="D339" s="74" t="s">
        <v>15</v>
      </c>
      <c r="E339" s="74" t="s">
        <v>127</v>
      </c>
      <c r="F339" s="74" t="s">
        <v>69</v>
      </c>
      <c r="G339" s="58">
        <f>1000-650</f>
        <v>350</v>
      </c>
      <c r="H339" s="58">
        <v>1000</v>
      </c>
      <c r="I339" s="58">
        <v>1000</v>
      </c>
    </row>
    <row r="340" spans="1:17" ht="51" x14ac:dyDescent="0.2">
      <c r="A340" s="18" t="s">
        <v>259</v>
      </c>
      <c r="B340" s="22">
        <v>911</v>
      </c>
      <c r="C340" s="19" t="s">
        <v>50</v>
      </c>
      <c r="D340" s="19" t="s">
        <v>15</v>
      </c>
      <c r="E340" s="19" t="s">
        <v>108</v>
      </c>
      <c r="F340" s="19"/>
      <c r="G340" s="20">
        <f>G341</f>
        <v>7586.5</v>
      </c>
      <c r="H340" s="20">
        <f>H341</f>
        <v>7586.5</v>
      </c>
      <c r="I340" s="20">
        <f>I341</f>
        <v>7586.5</v>
      </c>
      <c r="J340" s="21"/>
      <c r="K340" s="21"/>
      <c r="L340" s="21"/>
      <c r="M340" s="21"/>
      <c r="N340" s="21"/>
      <c r="O340" s="21"/>
      <c r="P340" s="21"/>
      <c r="Q340" s="21"/>
    </row>
    <row r="341" spans="1:17" s="26" customFormat="1" ht="25.5" x14ac:dyDescent="0.2">
      <c r="A341" s="28" t="s">
        <v>143</v>
      </c>
      <c r="B341" s="31">
        <v>911</v>
      </c>
      <c r="C341" s="24" t="s">
        <v>50</v>
      </c>
      <c r="D341" s="24" t="s">
        <v>15</v>
      </c>
      <c r="E341" s="24" t="s">
        <v>108</v>
      </c>
      <c r="F341" s="24" t="s">
        <v>64</v>
      </c>
      <c r="G341" s="25">
        <v>7586.5</v>
      </c>
      <c r="H341" s="25">
        <v>7586.5</v>
      </c>
      <c r="I341" s="25">
        <v>7586.5</v>
      </c>
    </row>
    <row r="342" spans="1:17" s="66" customFormat="1" x14ac:dyDescent="0.2">
      <c r="A342" s="62" t="s">
        <v>55</v>
      </c>
      <c r="B342" s="63">
        <v>911</v>
      </c>
      <c r="C342" s="64" t="s">
        <v>50</v>
      </c>
      <c r="D342" s="64" t="s">
        <v>17</v>
      </c>
      <c r="E342" s="64"/>
      <c r="F342" s="64"/>
      <c r="G342" s="65">
        <f>G343+G345+G349</f>
        <v>40247</v>
      </c>
      <c r="H342" s="65">
        <f t="shared" ref="H342:I342" si="49">H343+H345+H349</f>
        <v>40884</v>
      </c>
      <c r="I342" s="65">
        <f t="shared" si="49"/>
        <v>40596</v>
      </c>
    </row>
    <row r="343" spans="1:17" ht="38.25" x14ac:dyDescent="0.2">
      <c r="A343" s="18" t="s">
        <v>260</v>
      </c>
      <c r="B343" s="22">
        <v>911</v>
      </c>
      <c r="C343" s="19" t="s">
        <v>50</v>
      </c>
      <c r="D343" s="19" t="s">
        <v>17</v>
      </c>
      <c r="E343" s="19" t="s">
        <v>130</v>
      </c>
      <c r="F343" s="19"/>
      <c r="G343" s="20">
        <f>G344</f>
        <v>1200</v>
      </c>
      <c r="H343" s="20">
        <f>H344</f>
        <v>1288</v>
      </c>
      <c r="I343" s="20">
        <f>I344</f>
        <v>1000</v>
      </c>
      <c r="J343" s="21"/>
      <c r="K343" s="21"/>
      <c r="L343" s="21"/>
      <c r="M343" s="21"/>
      <c r="N343" s="21"/>
      <c r="O343" s="21"/>
      <c r="P343" s="21"/>
      <c r="Q343" s="21"/>
    </row>
    <row r="344" spans="1:17" s="26" customFormat="1" x14ac:dyDescent="0.2">
      <c r="A344" s="28" t="s">
        <v>68</v>
      </c>
      <c r="B344" s="31">
        <v>911</v>
      </c>
      <c r="C344" s="24" t="s">
        <v>50</v>
      </c>
      <c r="D344" s="24" t="s">
        <v>17</v>
      </c>
      <c r="E344" s="24" t="s">
        <v>130</v>
      </c>
      <c r="F344" s="24" t="s">
        <v>69</v>
      </c>
      <c r="G344" s="25">
        <v>1200</v>
      </c>
      <c r="H344" s="25">
        <v>1288</v>
      </c>
      <c r="I344" s="25">
        <v>1000</v>
      </c>
    </row>
    <row r="345" spans="1:17" s="71" customFormat="1" ht="38.25" customHeight="1" x14ac:dyDescent="0.2">
      <c r="A345" s="67" t="s">
        <v>261</v>
      </c>
      <c r="B345" s="68">
        <v>911</v>
      </c>
      <c r="C345" s="69" t="s">
        <v>50</v>
      </c>
      <c r="D345" s="69" t="s">
        <v>17</v>
      </c>
      <c r="E345" s="69" t="s">
        <v>128</v>
      </c>
      <c r="F345" s="69"/>
      <c r="G345" s="70">
        <f>G347+G348+G346</f>
        <v>3205</v>
      </c>
      <c r="H345" s="70">
        <f>H347+H348+H346</f>
        <v>3754</v>
      </c>
      <c r="I345" s="70">
        <f>I347+I348+I346</f>
        <v>3754</v>
      </c>
    </row>
    <row r="346" spans="1:17" s="76" customFormat="1" ht="25.5" x14ac:dyDescent="0.2">
      <c r="A346" s="79" t="s">
        <v>75</v>
      </c>
      <c r="B346" s="73">
        <v>911</v>
      </c>
      <c r="C346" s="74" t="s">
        <v>50</v>
      </c>
      <c r="D346" s="74" t="s">
        <v>17</v>
      </c>
      <c r="E346" s="74" t="s">
        <v>128</v>
      </c>
      <c r="F346" s="75" t="s">
        <v>67</v>
      </c>
      <c r="G346" s="58">
        <f>3.2+0.7-0.406</f>
        <v>3.4940000000000002</v>
      </c>
      <c r="H346" s="58">
        <v>3.2</v>
      </c>
      <c r="I346" s="58">
        <v>3.2</v>
      </c>
    </row>
    <row r="347" spans="1:17" s="76" customFormat="1" x14ac:dyDescent="0.2">
      <c r="A347" s="94" t="s">
        <v>68</v>
      </c>
      <c r="B347" s="78">
        <v>911</v>
      </c>
      <c r="C347" s="74" t="s">
        <v>50</v>
      </c>
      <c r="D347" s="74" t="s">
        <v>17</v>
      </c>
      <c r="E347" s="74" t="s">
        <v>128</v>
      </c>
      <c r="F347" s="95">
        <v>300</v>
      </c>
      <c r="G347" s="58">
        <f>320+74.7-40.564</f>
        <v>354.13599999999997</v>
      </c>
      <c r="H347" s="58">
        <v>320</v>
      </c>
      <c r="I347" s="58">
        <v>320</v>
      </c>
    </row>
    <row r="348" spans="1:17" s="76" customFormat="1" ht="25.5" x14ac:dyDescent="0.2">
      <c r="A348" s="79" t="s">
        <v>143</v>
      </c>
      <c r="B348" s="78">
        <v>911</v>
      </c>
      <c r="C348" s="74" t="s">
        <v>50</v>
      </c>
      <c r="D348" s="74" t="s">
        <v>17</v>
      </c>
      <c r="E348" s="74" t="s">
        <v>128</v>
      </c>
      <c r="F348" s="74" t="s">
        <v>64</v>
      </c>
      <c r="G348" s="58">
        <f>31+3066.5+3.3+330-75.4-508.03</f>
        <v>2847.37</v>
      </c>
      <c r="H348" s="58">
        <f>31+3066.5+3.3+330</f>
        <v>3430.8</v>
      </c>
      <c r="I348" s="58">
        <f>31+3066.5+3.3+330</f>
        <v>3430.8</v>
      </c>
    </row>
    <row r="349" spans="1:17" ht="112.5" customHeight="1" x14ac:dyDescent="0.2">
      <c r="A349" s="56" t="s">
        <v>373</v>
      </c>
      <c r="B349" s="22">
        <v>911</v>
      </c>
      <c r="C349" s="19" t="s">
        <v>50</v>
      </c>
      <c r="D349" s="19" t="s">
        <v>17</v>
      </c>
      <c r="E349" s="19" t="s">
        <v>129</v>
      </c>
      <c r="F349" s="19"/>
      <c r="G349" s="20">
        <f>G350</f>
        <v>35842</v>
      </c>
      <c r="H349" s="20">
        <f>H350</f>
        <v>35842</v>
      </c>
      <c r="I349" s="20">
        <f>I350</f>
        <v>35842</v>
      </c>
      <c r="J349" s="21"/>
      <c r="K349" s="21"/>
      <c r="L349" s="21"/>
      <c r="M349" s="21"/>
      <c r="N349" s="21"/>
      <c r="O349" s="21"/>
      <c r="P349" s="21"/>
      <c r="Q349" s="21"/>
    </row>
    <row r="350" spans="1:17" s="26" customFormat="1" x14ac:dyDescent="0.2">
      <c r="A350" s="28" t="s">
        <v>68</v>
      </c>
      <c r="B350" s="31">
        <v>911</v>
      </c>
      <c r="C350" s="24" t="s">
        <v>50</v>
      </c>
      <c r="D350" s="24" t="s">
        <v>17</v>
      </c>
      <c r="E350" s="24" t="s">
        <v>129</v>
      </c>
      <c r="F350" s="24" t="s">
        <v>69</v>
      </c>
      <c r="G350" s="25">
        <v>35842</v>
      </c>
      <c r="H350" s="25">
        <v>35842</v>
      </c>
      <c r="I350" s="25">
        <v>35842</v>
      </c>
    </row>
    <row r="351" spans="1:17" s="9" customFormat="1" ht="25.5" x14ac:dyDescent="0.2">
      <c r="A351" s="40" t="s">
        <v>6</v>
      </c>
      <c r="B351" s="37">
        <v>913</v>
      </c>
      <c r="C351" s="41"/>
      <c r="D351" s="41"/>
      <c r="E351" s="41"/>
      <c r="F351" s="41"/>
      <c r="G351" s="39">
        <f>G352+G364+G390</f>
        <v>145974.09999999998</v>
      </c>
      <c r="H351" s="39">
        <f>H352+H364+H390</f>
        <v>105176.8</v>
      </c>
      <c r="I351" s="39">
        <f>I352+I364+I390</f>
        <v>105176.80000000002</v>
      </c>
    </row>
    <row r="352" spans="1:17" s="3" customFormat="1" x14ac:dyDescent="0.2">
      <c r="A352" s="13" t="s">
        <v>36</v>
      </c>
      <c r="B352" s="42">
        <v>913</v>
      </c>
      <c r="C352" s="1" t="s">
        <v>18</v>
      </c>
      <c r="D352" s="1"/>
      <c r="E352" s="1"/>
      <c r="F352" s="1"/>
      <c r="G352" s="2">
        <f>G353</f>
        <v>31113.999999999996</v>
      </c>
      <c r="H352" s="2">
        <f>H353</f>
        <v>34129.100000000006</v>
      </c>
      <c r="I352" s="2">
        <f>I353</f>
        <v>34941.700000000004</v>
      </c>
      <c r="J352" s="120"/>
      <c r="K352" s="120"/>
      <c r="L352" s="120"/>
      <c r="M352" s="120"/>
      <c r="N352" s="120"/>
      <c r="O352" s="120"/>
      <c r="P352" s="120"/>
      <c r="Q352" s="120"/>
    </row>
    <row r="353" spans="1:17" s="9" customFormat="1" x14ac:dyDescent="0.2">
      <c r="A353" s="11" t="s">
        <v>340</v>
      </c>
      <c r="B353" s="14">
        <v>913</v>
      </c>
      <c r="C353" s="8" t="s">
        <v>18</v>
      </c>
      <c r="D353" s="8" t="s">
        <v>15</v>
      </c>
      <c r="E353" s="8"/>
      <c r="F353" s="8"/>
      <c r="G353" s="4">
        <f>G358+G362+G356+G354</f>
        <v>31113.999999999996</v>
      </c>
      <c r="H353" s="4">
        <f t="shared" ref="H353:I353" si="50">H358+H362+H356+H354</f>
        <v>34129.100000000006</v>
      </c>
      <c r="I353" s="4">
        <f t="shared" si="50"/>
        <v>34941.700000000004</v>
      </c>
      <c r="J353" s="106"/>
      <c r="K353" s="106"/>
      <c r="L353" s="106"/>
      <c r="M353" s="106"/>
      <c r="N353" s="106"/>
      <c r="O353" s="106"/>
      <c r="P353" s="106"/>
      <c r="Q353" s="106"/>
    </row>
    <row r="354" spans="1:17" s="71" customFormat="1" x14ac:dyDescent="0.2">
      <c r="A354" s="67" t="s">
        <v>176</v>
      </c>
      <c r="B354" s="68">
        <v>913</v>
      </c>
      <c r="C354" s="69" t="s">
        <v>18</v>
      </c>
      <c r="D354" s="69" t="s">
        <v>15</v>
      </c>
      <c r="E354" s="69" t="s">
        <v>175</v>
      </c>
      <c r="F354" s="69"/>
      <c r="G354" s="70">
        <f>G355</f>
        <v>0</v>
      </c>
      <c r="H354" s="70">
        <f t="shared" ref="H354:I354" si="51">H355</f>
        <v>8000</v>
      </c>
      <c r="I354" s="70">
        <f t="shared" si="51"/>
        <v>8812.6</v>
      </c>
    </row>
    <row r="355" spans="1:17" s="76" customFormat="1" ht="23.25" customHeight="1" x14ac:dyDescent="0.2">
      <c r="A355" s="79" t="s">
        <v>82</v>
      </c>
      <c r="B355" s="78">
        <v>913</v>
      </c>
      <c r="C355" s="74" t="s">
        <v>18</v>
      </c>
      <c r="D355" s="74" t="s">
        <v>15</v>
      </c>
      <c r="E355" s="74" t="s">
        <v>175</v>
      </c>
      <c r="F355" s="74" t="s">
        <v>70</v>
      </c>
      <c r="G355" s="58">
        <v>0</v>
      </c>
      <c r="H355" s="58">
        <v>8000</v>
      </c>
      <c r="I355" s="58">
        <v>8812.6</v>
      </c>
    </row>
    <row r="356" spans="1:17" ht="25.5" x14ac:dyDescent="0.2">
      <c r="A356" s="18" t="s">
        <v>192</v>
      </c>
      <c r="B356" s="18">
        <v>913</v>
      </c>
      <c r="C356" s="19" t="s">
        <v>18</v>
      </c>
      <c r="D356" s="19" t="s">
        <v>15</v>
      </c>
      <c r="E356" s="19" t="s">
        <v>137</v>
      </c>
      <c r="F356" s="19"/>
      <c r="G356" s="20">
        <f>G357</f>
        <v>54</v>
      </c>
      <c r="H356" s="20">
        <f>H357</f>
        <v>58.4</v>
      </c>
      <c r="I356" s="20">
        <f>I357</f>
        <v>58.4</v>
      </c>
      <c r="J356" s="21"/>
      <c r="K356" s="21"/>
      <c r="L356" s="21"/>
      <c r="M356" s="21"/>
      <c r="N356" s="21"/>
      <c r="O356" s="21"/>
      <c r="P356" s="21"/>
      <c r="Q356" s="21"/>
    </row>
    <row r="357" spans="1:17" ht="25.5" x14ac:dyDescent="0.2">
      <c r="A357" s="28" t="s">
        <v>143</v>
      </c>
      <c r="B357" s="28">
        <v>913</v>
      </c>
      <c r="C357" s="24" t="s">
        <v>18</v>
      </c>
      <c r="D357" s="24" t="s">
        <v>15</v>
      </c>
      <c r="E357" s="24" t="s">
        <v>137</v>
      </c>
      <c r="F357" s="24" t="s">
        <v>64</v>
      </c>
      <c r="G357" s="25">
        <f>58.4-4.4</f>
        <v>54</v>
      </c>
      <c r="H357" s="25">
        <v>58.4</v>
      </c>
      <c r="I357" s="25">
        <v>58.4</v>
      </c>
      <c r="J357" s="21"/>
      <c r="K357" s="21"/>
      <c r="L357" s="21"/>
      <c r="M357" s="21"/>
      <c r="N357" s="21"/>
      <c r="O357" s="21"/>
      <c r="P357" s="21"/>
      <c r="Q357" s="21"/>
    </row>
    <row r="358" spans="1:17" ht="63.75" x14ac:dyDescent="0.2">
      <c r="A358" s="18" t="s">
        <v>354</v>
      </c>
      <c r="B358" s="22">
        <v>913</v>
      </c>
      <c r="C358" s="19" t="s">
        <v>18</v>
      </c>
      <c r="D358" s="19" t="s">
        <v>15</v>
      </c>
      <c r="E358" s="19" t="s">
        <v>239</v>
      </c>
      <c r="F358" s="19"/>
      <c r="G358" s="20">
        <f>G361+G360+G359</f>
        <v>31046.999999999996</v>
      </c>
      <c r="H358" s="20">
        <f>H361+H360</f>
        <v>26003.7</v>
      </c>
      <c r="I358" s="20">
        <f>I361+I360</f>
        <v>26003.7</v>
      </c>
      <c r="J358" s="104"/>
      <c r="K358" s="104"/>
      <c r="L358" s="104"/>
      <c r="M358" s="104"/>
      <c r="N358" s="104"/>
      <c r="O358" s="104"/>
      <c r="P358" s="104"/>
      <c r="Q358" s="104"/>
    </row>
    <row r="359" spans="1:17" ht="25.5" x14ac:dyDescent="0.2">
      <c r="A359" s="18" t="s">
        <v>75</v>
      </c>
      <c r="B359" s="22">
        <v>913</v>
      </c>
      <c r="C359" s="19" t="s">
        <v>18</v>
      </c>
      <c r="D359" s="19" t="s">
        <v>15</v>
      </c>
      <c r="E359" s="19" t="s">
        <v>239</v>
      </c>
      <c r="F359" s="19" t="s">
        <v>67</v>
      </c>
      <c r="G359" s="20">
        <v>200</v>
      </c>
      <c r="H359" s="20"/>
      <c r="I359" s="20"/>
      <c r="J359" s="21"/>
      <c r="K359" s="21"/>
      <c r="L359" s="21"/>
      <c r="M359" s="21"/>
      <c r="N359" s="21"/>
      <c r="O359" s="21"/>
      <c r="P359" s="21"/>
      <c r="Q359" s="21"/>
    </row>
    <row r="360" spans="1:17" s="26" customFormat="1" x14ac:dyDescent="0.2">
      <c r="A360" s="28" t="s">
        <v>68</v>
      </c>
      <c r="B360" s="31">
        <v>913</v>
      </c>
      <c r="C360" s="24" t="s">
        <v>18</v>
      </c>
      <c r="D360" s="24" t="s">
        <v>15</v>
      </c>
      <c r="E360" s="24" t="s">
        <v>239</v>
      </c>
      <c r="F360" s="27" t="s">
        <v>69</v>
      </c>
      <c r="G360" s="25">
        <v>30</v>
      </c>
      <c r="H360" s="25">
        <v>30</v>
      </c>
      <c r="I360" s="25">
        <v>30</v>
      </c>
    </row>
    <row r="361" spans="1:17" s="26" customFormat="1" ht="25.5" x14ac:dyDescent="0.2">
      <c r="A361" s="28" t="s">
        <v>143</v>
      </c>
      <c r="B361" s="28">
        <v>913</v>
      </c>
      <c r="C361" s="24" t="s">
        <v>18</v>
      </c>
      <c r="D361" s="24" t="s">
        <v>15</v>
      </c>
      <c r="E361" s="24" t="s">
        <v>239</v>
      </c>
      <c r="F361" s="24" t="s">
        <v>64</v>
      </c>
      <c r="G361" s="25">
        <f>24006+1967.7-13.2-56.4-19.4-16.6+30.4+1+6.5+3101.8-8.7+154.9-18.6+237.6+52.1-14.2+17.6+10+50.1-5.1+364.3+80+889.2</f>
        <v>30816.999999999996</v>
      </c>
      <c r="H361" s="25">
        <f>24006+1967.7</f>
        <v>25973.7</v>
      </c>
      <c r="I361" s="25">
        <f>24006+1967.7</f>
        <v>25973.7</v>
      </c>
      <c r="J361" s="105"/>
      <c r="K361" s="105"/>
      <c r="L361" s="105"/>
      <c r="M361" s="105"/>
      <c r="N361" s="105"/>
      <c r="O361" s="105"/>
      <c r="P361" s="105"/>
      <c r="Q361" s="105"/>
    </row>
    <row r="362" spans="1:17" ht="25.5" x14ac:dyDescent="0.2">
      <c r="A362" s="18" t="s">
        <v>355</v>
      </c>
      <c r="B362" s="22">
        <v>913</v>
      </c>
      <c r="C362" s="19" t="s">
        <v>18</v>
      </c>
      <c r="D362" s="19" t="s">
        <v>15</v>
      </c>
      <c r="E362" s="19" t="s">
        <v>194</v>
      </c>
      <c r="F362" s="19"/>
      <c r="G362" s="20">
        <f>G363</f>
        <v>13</v>
      </c>
      <c r="H362" s="20">
        <f>H363</f>
        <v>67</v>
      </c>
      <c r="I362" s="20">
        <f>I363</f>
        <v>67</v>
      </c>
      <c r="J362" s="21"/>
      <c r="K362" s="21"/>
      <c r="L362" s="21"/>
      <c r="M362" s="21"/>
      <c r="N362" s="21"/>
      <c r="O362" s="21"/>
      <c r="P362" s="21"/>
      <c r="Q362" s="21"/>
    </row>
    <row r="363" spans="1:17" s="26" customFormat="1" ht="25.5" x14ac:dyDescent="0.2">
      <c r="A363" s="28" t="s">
        <v>143</v>
      </c>
      <c r="B363" s="31">
        <v>913</v>
      </c>
      <c r="C363" s="24" t="s">
        <v>18</v>
      </c>
      <c r="D363" s="24" t="s">
        <v>15</v>
      </c>
      <c r="E363" s="24" t="s">
        <v>194</v>
      </c>
      <c r="F363" s="24" t="s">
        <v>64</v>
      </c>
      <c r="G363" s="25">
        <f>67-54</f>
        <v>13</v>
      </c>
      <c r="H363" s="25">
        <v>67</v>
      </c>
      <c r="I363" s="25">
        <v>67</v>
      </c>
    </row>
    <row r="364" spans="1:17" s="3" customFormat="1" ht="25.5" x14ac:dyDescent="0.2">
      <c r="A364" s="13" t="s">
        <v>41</v>
      </c>
      <c r="B364" s="42">
        <v>913</v>
      </c>
      <c r="C364" s="1" t="s">
        <v>42</v>
      </c>
      <c r="D364" s="1"/>
      <c r="E364" s="1"/>
      <c r="F364" s="1"/>
      <c r="G364" s="2">
        <f>G365+G381</f>
        <v>114656.09999999999</v>
      </c>
      <c r="H364" s="2">
        <f>H365+H381</f>
        <v>70862.7</v>
      </c>
      <c r="I364" s="2">
        <f>I365+I381</f>
        <v>70050.100000000006</v>
      </c>
      <c r="J364" s="120"/>
      <c r="K364" s="120"/>
      <c r="L364" s="120"/>
      <c r="M364" s="120"/>
      <c r="N364" s="120"/>
      <c r="O364" s="120"/>
      <c r="P364" s="120"/>
      <c r="Q364" s="120"/>
    </row>
    <row r="365" spans="1:17" s="9" customFormat="1" x14ac:dyDescent="0.2">
      <c r="A365" s="11" t="s">
        <v>43</v>
      </c>
      <c r="B365" s="14">
        <v>913</v>
      </c>
      <c r="C365" s="8" t="s">
        <v>42</v>
      </c>
      <c r="D365" s="8" t="s">
        <v>11</v>
      </c>
      <c r="E365" s="8"/>
      <c r="F365" s="8"/>
      <c r="G365" s="4">
        <f>G373+G376+G378+G366+G369+G371</f>
        <v>110149.59999999999</v>
      </c>
      <c r="H365" s="4">
        <f t="shared" ref="H365:I365" si="52">H373+H376+H378+H366+H369+H371</f>
        <v>66908.5</v>
      </c>
      <c r="I365" s="4">
        <f t="shared" si="52"/>
        <v>66095.900000000009</v>
      </c>
      <c r="J365" s="106"/>
      <c r="K365" s="106"/>
      <c r="L365" s="106"/>
      <c r="M365" s="106"/>
      <c r="N365" s="106"/>
      <c r="O365" s="106"/>
      <c r="P365" s="106"/>
      <c r="Q365" s="106"/>
    </row>
    <row r="366" spans="1:17" x14ac:dyDescent="0.2">
      <c r="A366" s="18" t="s">
        <v>178</v>
      </c>
      <c r="B366" s="22">
        <v>913</v>
      </c>
      <c r="C366" s="19" t="s">
        <v>42</v>
      </c>
      <c r="D366" s="19" t="s">
        <v>11</v>
      </c>
      <c r="E366" s="24" t="s">
        <v>177</v>
      </c>
      <c r="F366" s="19"/>
      <c r="G366" s="20">
        <f>G368+G367</f>
        <v>8129.7999999999993</v>
      </c>
      <c r="H366" s="20">
        <f>H368</f>
        <v>0</v>
      </c>
      <c r="I366" s="20">
        <f>I368</f>
        <v>0</v>
      </c>
      <c r="J366" s="104"/>
      <c r="K366" s="104"/>
      <c r="L366" s="104"/>
      <c r="M366" s="104"/>
      <c r="N366" s="104"/>
      <c r="O366" s="104"/>
      <c r="P366" s="104"/>
      <c r="Q366" s="104"/>
    </row>
    <row r="367" spans="1:17" s="26" customFormat="1" ht="25.5" x14ac:dyDescent="0.2">
      <c r="A367" s="28" t="s">
        <v>75</v>
      </c>
      <c r="B367" s="22">
        <v>913</v>
      </c>
      <c r="C367" s="24" t="s">
        <v>42</v>
      </c>
      <c r="D367" s="24" t="s">
        <v>11</v>
      </c>
      <c r="E367" s="24" t="s">
        <v>177</v>
      </c>
      <c r="F367" s="24" t="s">
        <v>67</v>
      </c>
      <c r="G367" s="25">
        <f>100+7400-1100-200-139.3-211.7-809-170-200</f>
        <v>4670</v>
      </c>
      <c r="H367" s="25">
        <v>0</v>
      </c>
      <c r="I367" s="25">
        <v>0</v>
      </c>
      <c r="J367" s="105"/>
      <c r="K367" s="105"/>
      <c r="L367" s="105"/>
      <c r="M367" s="105"/>
      <c r="N367" s="105"/>
      <c r="O367" s="105"/>
      <c r="P367" s="105"/>
      <c r="Q367" s="105"/>
    </row>
    <row r="368" spans="1:17" s="76" customFormat="1" ht="25.5" x14ac:dyDescent="0.2">
      <c r="A368" s="79" t="s">
        <v>82</v>
      </c>
      <c r="B368" s="68">
        <v>913</v>
      </c>
      <c r="C368" s="74" t="s">
        <v>42</v>
      </c>
      <c r="D368" s="74" t="s">
        <v>11</v>
      </c>
      <c r="E368" s="74" t="s">
        <v>177</v>
      </c>
      <c r="F368" s="74" t="s">
        <v>70</v>
      </c>
      <c r="G368" s="58">
        <f>12500-100-7768.5+368.5-1000-527.3-12.9</f>
        <v>3459.7999999999997</v>
      </c>
      <c r="H368" s="58">
        <v>0</v>
      </c>
      <c r="I368" s="58">
        <v>0</v>
      </c>
    </row>
    <row r="369" spans="1:17" ht="38.25" x14ac:dyDescent="0.2">
      <c r="A369" s="18" t="s">
        <v>384</v>
      </c>
      <c r="B369" s="18">
        <v>913</v>
      </c>
      <c r="C369" s="19" t="s">
        <v>42</v>
      </c>
      <c r="D369" s="19" t="s">
        <v>11</v>
      </c>
      <c r="E369" s="19" t="s">
        <v>385</v>
      </c>
      <c r="F369" s="19"/>
      <c r="G369" s="20">
        <f>G370</f>
        <v>4564</v>
      </c>
      <c r="H369" s="20">
        <f>H370</f>
        <v>4564</v>
      </c>
      <c r="I369" s="20">
        <f>I370</f>
        <v>4564</v>
      </c>
      <c r="J369" s="21"/>
      <c r="K369" s="21"/>
      <c r="L369" s="21"/>
      <c r="M369" s="21"/>
      <c r="N369" s="21"/>
      <c r="O369" s="21"/>
      <c r="P369" s="21"/>
      <c r="Q369" s="21"/>
    </row>
    <row r="370" spans="1:17" ht="25.5" x14ac:dyDescent="0.2">
      <c r="A370" s="28" t="s">
        <v>143</v>
      </c>
      <c r="B370" s="28">
        <v>913</v>
      </c>
      <c r="C370" s="24" t="s">
        <v>42</v>
      </c>
      <c r="D370" s="24" t="s">
        <v>11</v>
      </c>
      <c r="E370" s="24" t="s">
        <v>385</v>
      </c>
      <c r="F370" s="24" t="s">
        <v>64</v>
      </c>
      <c r="G370" s="25">
        <v>4564</v>
      </c>
      <c r="H370" s="25">
        <v>4564</v>
      </c>
      <c r="I370" s="25">
        <v>4564</v>
      </c>
      <c r="J370" s="21"/>
      <c r="K370" s="21"/>
      <c r="L370" s="21"/>
      <c r="M370" s="21"/>
      <c r="N370" s="21"/>
      <c r="O370" s="21"/>
      <c r="P370" s="21"/>
      <c r="Q370" s="21"/>
    </row>
    <row r="371" spans="1:17" ht="25.5" x14ac:dyDescent="0.2">
      <c r="A371" s="18" t="s">
        <v>396</v>
      </c>
      <c r="B371" s="18">
        <v>913</v>
      </c>
      <c r="C371" s="19" t="s">
        <v>42</v>
      </c>
      <c r="D371" s="19" t="s">
        <v>11</v>
      </c>
      <c r="E371" s="19" t="s">
        <v>395</v>
      </c>
      <c r="F371" s="19"/>
      <c r="G371" s="20">
        <f>G372</f>
        <v>40</v>
      </c>
      <c r="H371" s="20">
        <f>H372</f>
        <v>0</v>
      </c>
      <c r="I371" s="20">
        <f>I372</f>
        <v>0</v>
      </c>
      <c r="J371" s="21"/>
      <c r="K371" s="21"/>
      <c r="L371" s="21"/>
      <c r="M371" s="21"/>
      <c r="N371" s="21"/>
      <c r="O371" s="21"/>
      <c r="P371" s="21"/>
      <c r="Q371" s="21"/>
    </row>
    <row r="372" spans="1:17" ht="25.5" x14ac:dyDescent="0.2">
      <c r="A372" s="28" t="s">
        <v>143</v>
      </c>
      <c r="B372" s="28">
        <v>913</v>
      </c>
      <c r="C372" s="24" t="s">
        <v>42</v>
      </c>
      <c r="D372" s="24" t="s">
        <v>11</v>
      </c>
      <c r="E372" s="24" t="s">
        <v>395</v>
      </c>
      <c r="F372" s="24" t="s">
        <v>64</v>
      </c>
      <c r="G372" s="25">
        <v>40</v>
      </c>
      <c r="H372" s="25">
        <v>0</v>
      </c>
      <c r="I372" s="25">
        <v>0</v>
      </c>
      <c r="J372" s="21"/>
      <c r="K372" s="21"/>
      <c r="L372" s="21"/>
      <c r="M372" s="21"/>
      <c r="N372" s="21"/>
      <c r="O372" s="21"/>
      <c r="P372" s="21"/>
      <c r="Q372" s="21"/>
    </row>
    <row r="373" spans="1:17" x14ac:dyDescent="0.2">
      <c r="A373" s="18" t="s">
        <v>263</v>
      </c>
      <c r="B373" s="22">
        <v>913</v>
      </c>
      <c r="C373" s="19" t="s">
        <v>42</v>
      </c>
      <c r="D373" s="19" t="s">
        <v>11</v>
      </c>
      <c r="E373" s="19" t="s">
        <v>262</v>
      </c>
      <c r="F373" s="19"/>
      <c r="G373" s="20">
        <f>G375+G374</f>
        <v>69968.299999999988</v>
      </c>
      <c r="H373" s="20">
        <f>H375+H374</f>
        <v>42430</v>
      </c>
      <c r="I373" s="20">
        <f>I375+I374</f>
        <v>41617.4</v>
      </c>
      <c r="J373" s="104"/>
      <c r="K373" s="104"/>
      <c r="L373" s="104"/>
      <c r="M373" s="104"/>
      <c r="N373" s="104"/>
      <c r="O373" s="104"/>
      <c r="P373" s="104"/>
      <c r="Q373" s="104"/>
    </row>
    <row r="374" spans="1:17" s="26" customFormat="1" x14ac:dyDescent="0.2">
      <c r="A374" s="28" t="s">
        <v>68</v>
      </c>
      <c r="B374" s="28">
        <v>913</v>
      </c>
      <c r="C374" s="24" t="s">
        <v>42</v>
      </c>
      <c r="D374" s="24" t="s">
        <v>11</v>
      </c>
      <c r="E374" s="24" t="s">
        <v>262</v>
      </c>
      <c r="F374" s="27" t="s">
        <v>69</v>
      </c>
      <c r="G374" s="25">
        <v>15</v>
      </c>
      <c r="H374" s="25">
        <v>15</v>
      </c>
      <c r="I374" s="25">
        <v>15</v>
      </c>
    </row>
    <row r="375" spans="1:17" s="26" customFormat="1" ht="25.5" x14ac:dyDescent="0.2">
      <c r="A375" s="28" t="s">
        <v>143</v>
      </c>
      <c r="B375" s="31">
        <v>913</v>
      </c>
      <c r="C375" s="24" t="s">
        <v>42</v>
      </c>
      <c r="D375" s="24" t="s">
        <v>11</v>
      </c>
      <c r="E375" s="24" t="s">
        <v>262</v>
      </c>
      <c r="F375" s="24" t="s">
        <v>64</v>
      </c>
      <c r="G375" s="25">
        <f>50415+13.2+1.2-103.3+262.2-71.3-29-10-262.2+14450.7-5.6+655.9-68.1+1016.7+247.9+139.3+211.7-32+482.4+717.1+62-2.2+179.7+44.7+271.3+90+1076+200</f>
        <v>69953.299999999988</v>
      </c>
      <c r="H375" s="25">
        <f>50415-8000</f>
        <v>42415</v>
      </c>
      <c r="I375" s="25">
        <f>50415-8812.6</f>
        <v>41602.400000000001</v>
      </c>
      <c r="J375" s="105"/>
      <c r="K375" s="105"/>
      <c r="L375" s="105"/>
      <c r="M375" s="105"/>
      <c r="N375" s="105"/>
      <c r="O375" s="105"/>
      <c r="P375" s="105"/>
      <c r="Q375" s="105"/>
    </row>
    <row r="376" spans="1:17" x14ac:dyDescent="0.2">
      <c r="A376" s="18" t="s">
        <v>265</v>
      </c>
      <c r="B376" s="22">
        <v>913</v>
      </c>
      <c r="C376" s="19" t="s">
        <v>42</v>
      </c>
      <c r="D376" s="19" t="s">
        <v>11</v>
      </c>
      <c r="E376" s="19" t="s">
        <v>264</v>
      </c>
      <c r="F376" s="19"/>
      <c r="G376" s="20">
        <f>G377</f>
        <v>4591.5000000000018</v>
      </c>
      <c r="H376" s="20">
        <f>H377</f>
        <v>3103.8</v>
      </c>
      <c r="I376" s="20">
        <f>I377</f>
        <v>3103.8</v>
      </c>
      <c r="J376" s="104"/>
      <c r="K376" s="104"/>
      <c r="L376" s="104"/>
      <c r="M376" s="104"/>
      <c r="N376" s="104"/>
      <c r="O376" s="104"/>
      <c r="P376" s="104"/>
      <c r="Q376" s="104"/>
    </row>
    <row r="377" spans="1:17" s="26" customFormat="1" ht="25.5" x14ac:dyDescent="0.2">
      <c r="A377" s="28" t="s">
        <v>143</v>
      </c>
      <c r="B377" s="31">
        <v>913</v>
      </c>
      <c r="C377" s="24" t="s">
        <v>42</v>
      </c>
      <c r="D377" s="24" t="s">
        <v>11</v>
      </c>
      <c r="E377" s="24" t="s">
        <v>264</v>
      </c>
      <c r="F377" s="24" t="s">
        <v>64</v>
      </c>
      <c r="G377" s="25">
        <f>3103.8+38.8+73+35.6+3-35.6+877-0.3+175.3+20.1+57.6+16.7-2+25.6-25.2+161.8+66.3</f>
        <v>4591.5000000000018</v>
      </c>
      <c r="H377" s="25">
        <v>3103.8</v>
      </c>
      <c r="I377" s="25">
        <v>3103.8</v>
      </c>
      <c r="J377" s="105"/>
      <c r="K377" s="105"/>
      <c r="L377" s="105"/>
      <c r="M377" s="105"/>
      <c r="N377" s="105"/>
      <c r="O377" s="105"/>
      <c r="P377" s="105"/>
      <c r="Q377" s="105"/>
    </row>
    <row r="378" spans="1:17" x14ac:dyDescent="0.2">
      <c r="A378" s="18" t="s">
        <v>267</v>
      </c>
      <c r="B378" s="22">
        <v>913</v>
      </c>
      <c r="C378" s="19" t="s">
        <v>42</v>
      </c>
      <c r="D378" s="19" t="s">
        <v>11</v>
      </c>
      <c r="E378" s="19" t="s">
        <v>266</v>
      </c>
      <c r="F378" s="19"/>
      <c r="G378" s="20">
        <f>G380+G379</f>
        <v>22856.000000000004</v>
      </c>
      <c r="H378" s="20">
        <f>H380+H379</f>
        <v>16810.7</v>
      </c>
      <c r="I378" s="20">
        <f>I380+I379</f>
        <v>16810.7</v>
      </c>
      <c r="J378" s="104"/>
      <c r="K378" s="104"/>
      <c r="L378" s="104"/>
      <c r="M378" s="104"/>
      <c r="N378" s="104"/>
      <c r="O378" s="104"/>
      <c r="P378" s="104"/>
      <c r="Q378" s="104"/>
    </row>
    <row r="379" spans="1:17" s="26" customFormat="1" x14ac:dyDescent="0.2">
      <c r="A379" s="28" t="s">
        <v>68</v>
      </c>
      <c r="B379" s="28">
        <v>913</v>
      </c>
      <c r="C379" s="24" t="s">
        <v>42</v>
      </c>
      <c r="D379" s="24" t="s">
        <v>11</v>
      </c>
      <c r="E379" s="24" t="s">
        <v>266</v>
      </c>
      <c r="F379" s="27" t="s">
        <v>69</v>
      </c>
      <c r="G379" s="25">
        <v>15</v>
      </c>
      <c r="H379" s="25">
        <v>15</v>
      </c>
      <c r="I379" s="25">
        <v>15</v>
      </c>
    </row>
    <row r="380" spans="1:17" s="26" customFormat="1" ht="25.5" x14ac:dyDescent="0.2">
      <c r="A380" s="28" t="s">
        <v>143</v>
      </c>
      <c r="B380" s="31">
        <v>913</v>
      </c>
      <c r="C380" s="24" t="s">
        <v>42</v>
      </c>
      <c r="D380" s="24" t="s">
        <v>11</v>
      </c>
      <c r="E380" s="24" t="s">
        <v>266</v>
      </c>
      <c r="F380" s="24" t="s">
        <v>64</v>
      </c>
      <c r="G380" s="25">
        <f>16795.7+16.4+49.7+70.7+16.6+40.9+24+3.5-70.7+4604.3+14.6+231.7+66.6+279.5-10.1-0.6+131.4-14.4+12.9+213.6+364.7</f>
        <v>22841.000000000004</v>
      </c>
      <c r="H380" s="25">
        <v>16795.7</v>
      </c>
      <c r="I380" s="25">
        <v>16795.7</v>
      </c>
      <c r="J380" s="105"/>
      <c r="K380" s="105"/>
      <c r="L380" s="105"/>
      <c r="M380" s="105"/>
      <c r="N380" s="105"/>
      <c r="O380" s="105"/>
      <c r="P380" s="105"/>
      <c r="Q380" s="105"/>
    </row>
    <row r="381" spans="1:17" s="66" customFormat="1" ht="16.5" customHeight="1" x14ac:dyDescent="0.2">
      <c r="A381" s="62" t="s">
        <v>24</v>
      </c>
      <c r="B381" s="63">
        <v>913</v>
      </c>
      <c r="C381" s="64" t="s">
        <v>42</v>
      </c>
      <c r="D381" s="64" t="s">
        <v>17</v>
      </c>
      <c r="E381" s="64"/>
      <c r="F381" s="64"/>
      <c r="G381" s="65">
        <f>G382+G386</f>
        <v>4506.5</v>
      </c>
      <c r="H381" s="65">
        <f>H382+H386</f>
        <v>3954.2</v>
      </c>
      <c r="I381" s="65">
        <f>I382+I386</f>
        <v>3954.2</v>
      </c>
    </row>
    <row r="382" spans="1:17" s="71" customFormat="1" x14ac:dyDescent="0.2">
      <c r="A382" s="67" t="s">
        <v>360</v>
      </c>
      <c r="B382" s="68">
        <v>913</v>
      </c>
      <c r="C382" s="69" t="s">
        <v>42</v>
      </c>
      <c r="D382" s="69" t="s">
        <v>17</v>
      </c>
      <c r="E382" s="69" t="s">
        <v>268</v>
      </c>
      <c r="F382" s="69"/>
      <c r="G382" s="70">
        <f>G383+G384+G385</f>
        <v>1159</v>
      </c>
      <c r="H382" s="70">
        <f>H383+H384+H385</f>
        <v>1018.3</v>
      </c>
      <c r="I382" s="70">
        <f>I383+I384+I385</f>
        <v>1018.3</v>
      </c>
    </row>
    <row r="383" spans="1:17" s="76" customFormat="1" ht="51.75" customHeight="1" x14ac:dyDescent="0.2">
      <c r="A383" s="77" t="s">
        <v>65</v>
      </c>
      <c r="B383" s="78">
        <v>913</v>
      </c>
      <c r="C383" s="74" t="s">
        <v>42</v>
      </c>
      <c r="D383" s="74" t="s">
        <v>17</v>
      </c>
      <c r="E383" s="74" t="s">
        <v>268</v>
      </c>
      <c r="F383" s="75" t="s">
        <v>66</v>
      </c>
      <c r="G383" s="58">
        <f>936.3+9+117.9-2</f>
        <v>1061.2</v>
      </c>
      <c r="H383" s="58">
        <f>936.3+9</f>
        <v>945.3</v>
      </c>
      <c r="I383" s="58">
        <f>936.3+9</f>
        <v>945.3</v>
      </c>
    </row>
    <row r="384" spans="1:17" s="76" customFormat="1" ht="25.5" x14ac:dyDescent="0.2">
      <c r="A384" s="79" t="s">
        <v>75</v>
      </c>
      <c r="B384" s="78">
        <v>913</v>
      </c>
      <c r="C384" s="74" t="s">
        <v>42</v>
      </c>
      <c r="D384" s="74" t="s">
        <v>17</v>
      </c>
      <c r="E384" s="74" t="s">
        <v>268</v>
      </c>
      <c r="F384" s="75" t="s">
        <v>67</v>
      </c>
      <c r="G384" s="58">
        <f>64.5+30-5.2</f>
        <v>89.3</v>
      </c>
      <c r="H384" s="58">
        <v>64.5</v>
      </c>
      <c r="I384" s="58">
        <v>64.5</v>
      </c>
    </row>
    <row r="385" spans="1:17" s="26" customFormat="1" x14ac:dyDescent="0.2">
      <c r="A385" s="28" t="s">
        <v>71</v>
      </c>
      <c r="B385" s="31">
        <v>913</v>
      </c>
      <c r="C385" s="24" t="s">
        <v>42</v>
      </c>
      <c r="D385" s="24" t="s">
        <v>17</v>
      </c>
      <c r="E385" s="24" t="s">
        <v>268</v>
      </c>
      <c r="F385" s="24" t="s">
        <v>72</v>
      </c>
      <c r="G385" s="25">
        <v>8.5</v>
      </c>
      <c r="H385" s="25">
        <v>8.5</v>
      </c>
      <c r="I385" s="25">
        <v>8.5</v>
      </c>
    </row>
    <row r="386" spans="1:17" s="71" customFormat="1" x14ac:dyDescent="0.2">
      <c r="A386" s="67" t="s">
        <v>360</v>
      </c>
      <c r="B386" s="68">
        <v>913</v>
      </c>
      <c r="C386" s="69" t="s">
        <v>42</v>
      </c>
      <c r="D386" s="69" t="s">
        <v>17</v>
      </c>
      <c r="E386" s="69" t="s">
        <v>269</v>
      </c>
      <c r="F386" s="69"/>
      <c r="G386" s="70">
        <f>G387+G388+G389</f>
        <v>3347.5</v>
      </c>
      <c r="H386" s="70">
        <f t="shared" ref="H386:I386" si="53">H387+H388+H389</f>
        <v>2935.8999999999996</v>
      </c>
      <c r="I386" s="70">
        <f t="shared" si="53"/>
        <v>2935.8999999999996</v>
      </c>
    </row>
    <row r="387" spans="1:17" s="76" customFormat="1" ht="52.5" customHeight="1" x14ac:dyDescent="0.2">
      <c r="A387" s="77" t="s">
        <v>65</v>
      </c>
      <c r="B387" s="78">
        <v>913</v>
      </c>
      <c r="C387" s="74" t="s">
        <v>42</v>
      </c>
      <c r="D387" s="74" t="s">
        <v>17</v>
      </c>
      <c r="E387" s="74" t="s">
        <v>269</v>
      </c>
      <c r="F387" s="75" t="s">
        <v>66</v>
      </c>
      <c r="G387" s="58">
        <f>2671.7+25.7+341.8-1.6</f>
        <v>3037.6</v>
      </c>
      <c r="H387" s="58">
        <f>2671.7+25.7</f>
        <v>2697.3999999999996</v>
      </c>
      <c r="I387" s="58">
        <f>2671.7+25.7</f>
        <v>2697.3999999999996</v>
      </c>
    </row>
    <row r="388" spans="1:17" s="76" customFormat="1" ht="25.5" x14ac:dyDescent="0.2">
      <c r="A388" s="79" t="s">
        <v>75</v>
      </c>
      <c r="B388" s="78">
        <v>913</v>
      </c>
      <c r="C388" s="74" t="s">
        <v>42</v>
      </c>
      <c r="D388" s="74" t="s">
        <v>17</v>
      </c>
      <c r="E388" s="74" t="s">
        <v>269</v>
      </c>
      <c r="F388" s="75" t="s">
        <v>67</v>
      </c>
      <c r="G388" s="58">
        <f>238.5+3.6+39.6+27.2</f>
        <v>308.89999999999998</v>
      </c>
      <c r="H388" s="58">
        <v>238.5</v>
      </c>
      <c r="I388" s="58">
        <v>238.5</v>
      </c>
    </row>
    <row r="389" spans="1:17" s="26" customFormat="1" x14ac:dyDescent="0.2">
      <c r="A389" s="28" t="s">
        <v>71</v>
      </c>
      <c r="B389" s="31">
        <v>913</v>
      </c>
      <c r="C389" s="24" t="s">
        <v>42</v>
      </c>
      <c r="D389" s="24" t="s">
        <v>17</v>
      </c>
      <c r="E389" s="24" t="s">
        <v>269</v>
      </c>
      <c r="F389" s="27" t="s">
        <v>72</v>
      </c>
      <c r="G389" s="25">
        <v>1</v>
      </c>
      <c r="H389" s="25"/>
      <c r="I389" s="25"/>
    </row>
    <row r="390" spans="1:17" s="3" customFormat="1" x14ac:dyDescent="0.2">
      <c r="A390" s="13" t="s">
        <v>51</v>
      </c>
      <c r="B390" s="42">
        <v>913</v>
      </c>
      <c r="C390" s="1" t="s">
        <v>50</v>
      </c>
      <c r="D390" s="1"/>
      <c r="E390" s="1"/>
      <c r="F390" s="1"/>
      <c r="G390" s="2">
        <f>G391</f>
        <v>204</v>
      </c>
      <c r="H390" s="2">
        <f>H391</f>
        <v>185</v>
      </c>
      <c r="I390" s="2">
        <f>I391</f>
        <v>185</v>
      </c>
    </row>
    <row r="391" spans="1:17" s="9" customFormat="1" x14ac:dyDescent="0.2">
      <c r="A391" s="11" t="s">
        <v>54</v>
      </c>
      <c r="B391" s="14">
        <v>913</v>
      </c>
      <c r="C391" s="8" t="s">
        <v>50</v>
      </c>
      <c r="D391" s="8" t="s">
        <v>15</v>
      </c>
      <c r="E391" s="8"/>
      <c r="F391" s="8"/>
      <c r="G391" s="4">
        <f>SUM(G392)</f>
        <v>204</v>
      </c>
      <c r="H391" s="4">
        <f>SUM(H392)</f>
        <v>185</v>
      </c>
      <c r="I391" s="4">
        <f>SUM(I392)</f>
        <v>185</v>
      </c>
    </row>
    <row r="392" spans="1:17" ht="25.5" customHeight="1" x14ac:dyDescent="0.2">
      <c r="A392" s="18" t="s">
        <v>370</v>
      </c>
      <c r="B392" s="22">
        <v>913</v>
      </c>
      <c r="C392" s="19">
        <v>10</v>
      </c>
      <c r="D392" s="19" t="s">
        <v>15</v>
      </c>
      <c r="E392" s="19" t="s">
        <v>85</v>
      </c>
      <c r="F392" s="19"/>
      <c r="G392" s="20">
        <f>G393</f>
        <v>204</v>
      </c>
      <c r="H392" s="20">
        <f>H393</f>
        <v>185</v>
      </c>
      <c r="I392" s="20">
        <f>I393</f>
        <v>185</v>
      </c>
      <c r="J392" s="21"/>
      <c r="K392" s="21"/>
      <c r="L392" s="21"/>
      <c r="M392" s="21"/>
      <c r="N392" s="21"/>
      <c r="O392" s="21"/>
      <c r="P392" s="21"/>
      <c r="Q392" s="21"/>
    </row>
    <row r="393" spans="1:17" s="26" customFormat="1" x14ac:dyDescent="0.2">
      <c r="A393" s="55" t="s">
        <v>68</v>
      </c>
      <c r="B393" s="31">
        <v>913</v>
      </c>
      <c r="C393" s="24">
        <v>10</v>
      </c>
      <c r="D393" s="24" t="s">
        <v>15</v>
      </c>
      <c r="E393" s="24" t="s">
        <v>85</v>
      </c>
      <c r="F393" s="24" t="s">
        <v>69</v>
      </c>
      <c r="G393" s="25">
        <f>185+19</f>
        <v>204</v>
      </c>
      <c r="H393" s="25">
        <v>185</v>
      </c>
      <c r="I393" s="25">
        <v>185</v>
      </c>
    </row>
    <row r="394" spans="1:17" s="9" customFormat="1" ht="29.25" customHeight="1" x14ac:dyDescent="0.2">
      <c r="A394" s="40" t="s">
        <v>48</v>
      </c>
      <c r="B394" s="37">
        <v>915</v>
      </c>
      <c r="C394" s="41"/>
      <c r="D394" s="41"/>
      <c r="E394" s="41"/>
      <c r="F394" s="41"/>
      <c r="G394" s="39">
        <f>G399+G395</f>
        <v>661269.50088000007</v>
      </c>
      <c r="H394" s="39">
        <f t="shared" ref="H394:I394" si="54">H399+H395</f>
        <v>625205</v>
      </c>
      <c r="I394" s="39">
        <f t="shared" si="54"/>
        <v>630333</v>
      </c>
    </row>
    <row r="395" spans="1:17" s="3" customFormat="1" x14ac:dyDescent="0.2">
      <c r="A395" s="13" t="s">
        <v>36</v>
      </c>
      <c r="B395" s="42">
        <v>915</v>
      </c>
      <c r="C395" s="1" t="s">
        <v>18</v>
      </c>
      <c r="D395" s="1"/>
      <c r="E395" s="1"/>
      <c r="F395" s="1"/>
      <c r="G395" s="2">
        <f t="shared" ref="G395:I397" si="55">G396</f>
        <v>193</v>
      </c>
      <c r="H395" s="2">
        <f t="shared" si="55"/>
        <v>193</v>
      </c>
      <c r="I395" s="2">
        <f t="shared" si="55"/>
        <v>193</v>
      </c>
    </row>
    <row r="396" spans="1:17" x14ac:dyDescent="0.2">
      <c r="A396" s="11" t="s">
        <v>39</v>
      </c>
      <c r="B396" s="11">
        <v>915</v>
      </c>
      <c r="C396" s="8" t="s">
        <v>18</v>
      </c>
      <c r="D396" s="8" t="s">
        <v>18</v>
      </c>
      <c r="E396" s="8"/>
      <c r="F396" s="8"/>
      <c r="G396" s="4">
        <f t="shared" si="55"/>
        <v>193</v>
      </c>
      <c r="H396" s="4">
        <f t="shared" si="55"/>
        <v>193</v>
      </c>
      <c r="I396" s="4">
        <f t="shared" si="55"/>
        <v>193</v>
      </c>
      <c r="J396" s="21"/>
      <c r="K396" s="21"/>
      <c r="L396" s="21"/>
      <c r="M396" s="21"/>
      <c r="N396" s="21"/>
      <c r="O396" s="21"/>
      <c r="P396" s="21"/>
      <c r="Q396" s="21"/>
    </row>
    <row r="397" spans="1:17" ht="25.5" x14ac:dyDescent="0.2">
      <c r="A397" s="18" t="s">
        <v>270</v>
      </c>
      <c r="B397" s="18">
        <v>915</v>
      </c>
      <c r="C397" s="19" t="s">
        <v>18</v>
      </c>
      <c r="D397" s="19" t="s">
        <v>18</v>
      </c>
      <c r="E397" s="19" t="s">
        <v>140</v>
      </c>
      <c r="F397" s="19"/>
      <c r="G397" s="20">
        <f t="shared" si="55"/>
        <v>193</v>
      </c>
      <c r="H397" s="20">
        <f t="shared" si="55"/>
        <v>193</v>
      </c>
      <c r="I397" s="20">
        <f t="shared" si="55"/>
        <v>193</v>
      </c>
      <c r="J397" s="21"/>
      <c r="K397" s="21"/>
      <c r="L397" s="21"/>
      <c r="M397" s="21"/>
      <c r="N397" s="21"/>
      <c r="O397" s="21"/>
      <c r="P397" s="21"/>
      <c r="Q397" s="21"/>
    </row>
    <row r="398" spans="1:17" ht="51" customHeight="1" x14ac:dyDescent="0.2">
      <c r="A398" s="23" t="s">
        <v>65</v>
      </c>
      <c r="B398" s="23">
        <v>915</v>
      </c>
      <c r="C398" s="24" t="s">
        <v>18</v>
      </c>
      <c r="D398" s="24" t="s">
        <v>18</v>
      </c>
      <c r="E398" s="24" t="s">
        <v>140</v>
      </c>
      <c r="F398" s="27" t="s">
        <v>66</v>
      </c>
      <c r="G398" s="25">
        <f>195.4-2.4</f>
        <v>193</v>
      </c>
      <c r="H398" s="25">
        <v>193</v>
      </c>
      <c r="I398" s="25">
        <v>193</v>
      </c>
      <c r="J398" s="21"/>
      <c r="K398" s="21"/>
      <c r="L398" s="21"/>
      <c r="M398" s="21"/>
      <c r="N398" s="21"/>
      <c r="O398" s="21"/>
      <c r="P398" s="21"/>
      <c r="Q398" s="21"/>
    </row>
    <row r="399" spans="1:17" s="3" customFormat="1" x14ac:dyDescent="0.2">
      <c r="A399" s="13" t="s">
        <v>51</v>
      </c>
      <c r="B399" s="42">
        <v>915</v>
      </c>
      <c r="C399" s="1" t="s">
        <v>50</v>
      </c>
      <c r="D399" s="1"/>
      <c r="E399" s="1"/>
      <c r="F399" s="1"/>
      <c r="G399" s="2">
        <f>G400+G404+G417+G477+G493</f>
        <v>661076.50088000007</v>
      </c>
      <c r="H399" s="2">
        <f>H400+H404+H417+H477+H493</f>
        <v>625012</v>
      </c>
      <c r="I399" s="2">
        <f>I400+I404+I417+I477+I493</f>
        <v>630140</v>
      </c>
      <c r="J399" s="120"/>
      <c r="K399" s="120"/>
      <c r="L399" s="120"/>
      <c r="M399" s="120"/>
      <c r="N399" s="120"/>
      <c r="O399" s="120"/>
      <c r="P399" s="120"/>
      <c r="Q399" s="120"/>
    </row>
    <row r="400" spans="1:17" s="66" customFormat="1" x14ac:dyDescent="0.2">
      <c r="A400" s="62" t="s">
        <v>52</v>
      </c>
      <c r="B400" s="63">
        <v>915</v>
      </c>
      <c r="C400" s="64" t="s">
        <v>50</v>
      </c>
      <c r="D400" s="64" t="s">
        <v>11</v>
      </c>
      <c r="E400" s="64"/>
      <c r="F400" s="64"/>
      <c r="G400" s="65">
        <f>G401</f>
        <v>7288.7</v>
      </c>
      <c r="H400" s="65">
        <f>H401</f>
        <v>5805.4</v>
      </c>
      <c r="I400" s="65">
        <f>I401</f>
        <v>5805.4</v>
      </c>
    </row>
    <row r="401" spans="1:17" s="71" customFormat="1" ht="75" customHeight="1" x14ac:dyDescent="0.2">
      <c r="A401" s="67" t="s">
        <v>271</v>
      </c>
      <c r="B401" s="68">
        <v>915</v>
      </c>
      <c r="C401" s="69" t="s">
        <v>50</v>
      </c>
      <c r="D401" s="69" t="s">
        <v>11</v>
      </c>
      <c r="E401" s="69" t="s">
        <v>272</v>
      </c>
      <c r="F401" s="69"/>
      <c r="G401" s="70">
        <f>G403+G402</f>
        <v>7288.7</v>
      </c>
      <c r="H401" s="70">
        <f>H403+H402</f>
        <v>5805.4</v>
      </c>
      <c r="I401" s="70">
        <f>I403+I402</f>
        <v>5805.4</v>
      </c>
    </row>
    <row r="402" spans="1:17" s="71" customFormat="1" ht="24.75" customHeight="1" x14ac:dyDescent="0.2">
      <c r="A402" s="79" t="s">
        <v>75</v>
      </c>
      <c r="B402" s="77">
        <v>915</v>
      </c>
      <c r="C402" s="74" t="s">
        <v>50</v>
      </c>
      <c r="D402" s="74" t="s">
        <v>11</v>
      </c>
      <c r="E402" s="74" t="s">
        <v>272</v>
      </c>
      <c r="F402" s="75" t="s">
        <v>67</v>
      </c>
      <c r="G402" s="58">
        <f>28.9+6+1.4</f>
        <v>36.299999999999997</v>
      </c>
      <c r="H402" s="58">
        <v>28.9</v>
      </c>
      <c r="I402" s="58">
        <v>28.9</v>
      </c>
    </row>
    <row r="403" spans="1:17" s="76" customFormat="1" x14ac:dyDescent="0.2">
      <c r="A403" s="79" t="s">
        <v>68</v>
      </c>
      <c r="B403" s="78">
        <v>915</v>
      </c>
      <c r="C403" s="74" t="s">
        <v>50</v>
      </c>
      <c r="D403" s="74" t="s">
        <v>11</v>
      </c>
      <c r="E403" s="74" t="s">
        <v>272</v>
      </c>
      <c r="F403" s="74" t="s">
        <v>69</v>
      </c>
      <c r="G403" s="58">
        <f>5776.5+1194+281.9</f>
        <v>7252.4</v>
      </c>
      <c r="H403" s="58">
        <v>5776.5</v>
      </c>
      <c r="I403" s="58">
        <v>5776.5</v>
      </c>
    </row>
    <row r="404" spans="1:17" s="66" customFormat="1" x14ac:dyDescent="0.2">
      <c r="A404" s="62" t="s">
        <v>53</v>
      </c>
      <c r="B404" s="63">
        <v>915</v>
      </c>
      <c r="C404" s="64" t="s">
        <v>50</v>
      </c>
      <c r="D404" s="64" t="s">
        <v>13</v>
      </c>
      <c r="E404" s="64"/>
      <c r="F404" s="64"/>
      <c r="G404" s="65">
        <f>G405+G407+G412+G415</f>
        <v>160290.40599999999</v>
      </c>
      <c r="H404" s="65">
        <f>H405+H407+H412+H415</f>
        <v>149192</v>
      </c>
      <c r="I404" s="65">
        <f>I405+I407+I412+I415</f>
        <v>149192</v>
      </c>
    </row>
    <row r="405" spans="1:17" s="71" customFormat="1" ht="51" x14ac:dyDescent="0.2">
      <c r="A405" s="67" t="s">
        <v>273</v>
      </c>
      <c r="B405" s="68">
        <v>915</v>
      </c>
      <c r="C405" s="69" t="s">
        <v>50</v>
      </c>
      <c r="D405" s="69" t="s">
        <v>13</v>
      </c>
      <c r="E405" s="69" t="s">
        <v>97</v>
      </c>
      <c r="F405" s="69"/>
      <c r="G405" s="70">
        <f>G406</f>
        <v>113086.5</v>
      </c>
      <c r="H405" s="70">
        <f>H406</f>
        <v>107263</v>
      </c>
      <c r="I405" s="70">
        <f>I406</f>
        <v>107263</v>
      </c>
    </row>
    <row r="406" spans="1:17" s="76" customFormat="1" ht="25.5" x14ac:dyDescent="0.2">
      <c r="A406" s="79" t="s">
        <v>143</v>
      </c>
      <c r="B406" s="78">
        <v>915</v>
      </c>
      <c r="C406" s="74" t="s">
        <v>50</v>
      </c>
      <c r="D406" s="74" t="s">
        <v>13</v>
      </c>
      <c r="E406" s="74" t="s">
        <v>98</v>
      </c>
      <c r="F406" s="74" t="s">
        <v>64</v>
      </c>
      <c r="G406" s="58">
        <f>85897+21366+4032.5+452+1339</f>
        <v>113086.5</v>
      </c>
      <c r="H406" s="58">
        <f>85897+21366</f>
        <v>107263</v>
      </c>
      <c r="I406" s="58">
        <f>85897+21366</f>
        <v>107263</v>
      </c>
    </row>
    <row r="407" spans="1:17" ht="62.25" customHeight="1" x14ac:dyDescent="0.2">
      <c r="A407" s="18" t="s">
        <v>274</v>
      </c>
      <c r="B407" s="22">
        <v>915</v>
      </c>
      <c r="C407" s="19" t="s">
        <v>50</v>
      </c>
      <c r="D407" s="19" t="s">
        <v>13</v>
      </c>
      <c r="E407" s="19" t="s">
        <v>100</v>
      </c>
      <c r="F407" s="19"/>
      <c r="G407" s="20">
        <f>G408+G410+G411+G409</f>
        <v>46342.8</v>
      </c>
      <c r="H407" s="20">
        <f t="shared" ref="H407:I407" si="56">H408+H410+H411+H409</f>
        <v>41745</v>
      </c>
      <c r="I407" s="20">
        <f t="shared" si="56"/>
        <v>41745</v>
      </c>
      <c r="J407" s="104"/>
      <c r="K407" s="104"/>
      <c r="L407" s="104"/>
      <c r="M407" s="104"/>
      <c r="N407" s="104"/>
      <c r="O407" s="104"/>
      <c r="P407" s="104"/>
      <c r="Q407" s="104"/>
    </row>
    <row r="408" spans="1:17" s="26" customFormat="1" ht="54" customHeight="1" x14ac:dyDescent="0.2">
      <c r="A408" s="23" t="s">
        <v>65</v>
      </c>
      <c r="B408" s="31">
        <v>915</v>
      </c>
      <c r="C408" s="24" t="s">
        <v>50</v>
      </c>
      <c r="D408" s="24" t="s">
        <v>13</v>
      </c>
      <c r="E408" s="24" t="s">
        <v>100</v>
      </c>
      <c r="F408" s="27" t="s">
        <v>66</v>
      </c>
      <c r="G408" s="25">
        <f>33290+1417+4357.8+0.1+26+4+110-7.4</f>
        <v>39197.5</v>
      </c>
      <c r="H408" s="25">
        <f>33290+1417</f>
        <v>34707</v>
      </c>
      <c r="I408" s="25">
        <f>33290+1417</f>
        <v>34707</v>
      </c>
      <c r="J408" s="105"/>
      <c r="K408" s="105"/>
      <c r="L408" s="105"/>
      <c r="M408" s="105"/>
      <c r="N408" s="105"/>
      <c r="O408" s="105"/>
      <c r="P408" s="105"/>
      <c r="Q408" s="105"/>
    </row>
    <row r="409" spans="1:17" s="26" customFormat="1" ht="25.5" x14ac:dyDescent="0.2">
      <c r="A409" s="28" t="s">
        <v>75</v>
      </c>
      <c r="B409" s="31">
        <v>915</v>
      </c>
      <c r="C409" s="24" t="s">
        <v>50</v>
      </c>
      <c r="D409" s="24" t="s">
        <v>13</v>
      </c>
      <c r="E409" s="24" t="s">
        <v>100</v>
      </c>
      <c r="F409" s="27" t="s">
        <v>67</v>
      </c>
      <c r="G409" s="25">
        <f>180+6544-2.3+100+30-0.1-26+26-30+12.7+7.4+3.2</f>
        <v>6844.8999999999987</v>
      </c>
      <c r="H409" s="25">
        <f>180+6544</f>
        <v>6724</v>
      </c>
      <c r="I409" s="25">
        <f>180+6544</f>
        <v>6724</v>
      </c>
      <c r="J409" s="105"/>
      <c r="K409" s="105"/>
      <c r="L409" s="105"/>
      <c r="M409" s="105"/>
      <c r="N409" s="105"/>
      <c r="O409" s="105"/>
      <c r="P409" s="105"/>
      <c r="Q409" s="105"/>
    </row>
    <row r="410" spans="1:17" s="26" customFormat="1" x14ac:dyDescent="0.2">
      <c r="A410" s="28" t="s">
        <v>68</v>
      </c>
      <c r="B410" s="31">
        <v>915</v>
      </c>
      <c r="C410" s="24" t="s">
        <v>50</v>
      </c>
      <c r="D410" s="24" t="s">
        <v>13</v>
      </c>
      <c r="E410" s="24" t="s">
        <v>100</v>
      </c>
      <c r="F410" s="27" t="s">
        <v>69</v>
      </c>
      <c r="G410" s="25">
        <v>2.2999999999999998</v>
      </c>
      <c r="H410" s="25">
        <v>0</v>
      </c>
      <c r="I410" s="25">
        <v>0</v>
      </c>
    </row>
    <row r="411" spans="1:17" s="26" customFormat="1" x14ac:dyDescent="0.2">
      <c r="A411" s="28" t="s">
        <v>71</v>
      </c>
      <c r="B411" s="31">
        <v>915</v>
      </c>
      <c r="C411" s="24" t="s">
        <v>50</v>
      </c>
      <c r="D411" s="24" t="s">
        <v>13</v>
      </c>
      <c r="E411" s="24" t="s">
        <v>100</v>
      </c>
      <c r="F411" s="24" t="s">
        <v>72</v>
      </c>
      <c r="G411" s="25">
        <f>314-12.7-3.2</f>
        <v>298.10000000000002</v>
      </c>
      <c r="H411" s="25">
        <v>314</v>
      </c>
      <c r="I411" s="25">
        <v>314</v>
      </c>
      <c r="J411" s="105"/>
      <c r="K411" s="105"/>
      <c r="L411" s="105"/>
      <c r="M411" s="105"/>
      <c r="N411" s="105"/>
      <c r="O411" s="105"/>
      <c r="P411" s="105"/>
      <c r="Q411" s="105"/>
    </row>
    <row r="412" spans="1:17" ht="25.5" x14ac:dyDescent="0.2">
      <c r="A412" s="18" t="s">
        <v>275</v>
      </c>
      <c r="B412" s="22">
        <v>915</v>
      </c>
      <c r="C412" s="19" t="s">
        <v>50</v>
      </c>
      <c r="D412" s="19" t="s">
        <v>13</v>
      </c>
      <c r="E412" s="19" t="s">
        <v>349</v>
      </c>
      <c r="F412" s="19"/>
      <c r="G412" s="20">
        <f>G413+G414</f>
        <v>718.10599999999999</v>
      </c>
      <c r="H412" s="20">
        <f>H413+H414</f>
        <v>31</v>
      </c>
      <c r="I412" s="20">
        <f>I413+I414</f>
        <v>31</v>
      </c>
      <c r="J412" s="21"/>
      <c r="K412" s="21"/>
      <c r="L412" s="21"/>
      <c r="M412" s="21"/>
      <c r="N412" s="21"/>
      <c r="O412" s="21"/>
      <c r="P412" s="21"/>
      <c r="Q412" s="21"/>
    </row>
    <row r="413" spans="1:17" s="26" customFormat="1" ht="51.75" customHeight="1" x14ac:dyDescent="0.2">
      <c r="A413" s="30" t="s">
        <v>65</v>
      </c>
      <c r="B413" s="32">
        <v>915</v>
      </c>
      <c r="C413" s="24" t="s">
        <v>50</v>
      </c>
      <c r="D413" s="24" t="s">
        <v>13</v>
      </c>
      <c r="E413" s="24" t="s">
        <v>349</v>
      </c>
      <c r="F413" s="27" t="s">
        <v>66</v>
      </c>
      <c r="G413" s="25">
        <f>17.2</f>
        <v>17.2</v>
      </c>
      <c r="H413" s="25">
        <v>17.2</v>
      </c>
      <c r="I413" s="25">
        <v>17.2</v>
      </c>
    </row>
    <row r="414" spans="1:17" s="26" customFormat="1" ht="25.5" x14ac:dyDescent="0.2">
      <c r="A414" s="28" t="s">
        <v>75</v>
      </c>
      <c r="B414" s="31">
        <v>915</v>
      </c>
      <c r="C414" s="24" t="s">
        <v>50</v>
      </c>
      <c r="D414" s="24" t="s">
        <v>13</v>
      </c>
      <c r="E414" s="24" t="s">
        <v>349</v>
      </c>
      <c r="F414" s="27" t="s">
        <v>67</v>
      </c>
      <c r="G414" s="25">
        <f>699.906+1</f>
        <v>700.90599999999995</v>
      </c>
      <c r="H414" s="25">
        <v>13.8</v>
      </c>
      <c r="I414" s="25">
        <v>13.8</v>
      </c>
    </row>
    <row r="415" spans="1:17" ht="75" customHeight="1" x14ac:dyDescent="0.2">
      <c r="A415" s="18" t="s">
        <v>281</v>
      </c>
      <c r="B415" s="22">
        <v>915</v>
      </c>
      <c r="C415" s="19" t="s">
        <v>50</v>
      </c>
      <c r="D415" s="19" t="s">
        <v>13</v>
      </c>
      <c r="E415" s="19" t="s">
        <v>118</v>
      </c>
      <c r="F415" s="19"/>
      <c r="G415" s="20">
        <f>G416</f>
        <v>143</v>
      </c>
      <c r="H415" s="20">
        <f>H416</f>
        <v>153</v>
      </c>
      <c r="I415" s="20">
        <f>I416</f>
        <v>153</v>
      </c>
      <c r="J415" s="21"/>
      <c r="K415" s="21"/>
      <c r="L415" s="21"/>
      <c r="M415" s="21"/>
      <c r="N415" s="21"/>
      <c r="O415" s="21"/>
      <c r="P415" s="21"/>
      <c r="Q415" s="21"/>
    </row>
    <row r="416" spans="1:17" s="76" customFormat="1" ht="50.25" customHeight="1" x14ac:dyDescent="0.2">
      <c r="A416" s="72" t="s">
        <v>65</v>
      </c>
      <c r="B416" s="78">
        <v>915</v>
      </c>
      <c r="C416" s="74" t="s">
        <v>50</v>
      </c>
      <c r="D416" s="74" t="s">
        <v>13</v>
      </c>
      <c r="E416" s="74" t="s">
        <v>118</v>
      </c>
      <c r="F416" s="74" t="s">
        <v>66</v>
      </c>
      <c r="G416" s="58">
        <f>153-25+15</f>
        <v>143</v>
      </c>
      <c r="H416" s="58">
        <v>153</v>
      </c>
      <c r="I416" s="58">
        <v>153</v>
      </c>
    </row>
    <row r="417" spans="1:17" s="66" customFormat="1" x14ac:dyDescent="0.2">
      <c r="A417" s="62" t="s">
        <v>54</v>
      </c>
      <c r="B417" s="63">
        <v>915</v>
      </c>
      <c r="C417" s="64" t="s">
        <v>50</v>
      </c>
      <c r="D417" s="64" t="s">
        <v>15</v>
      </c>
      <c r="E417" s="64"/>
      <c r="F417" s="64"/>
      <c r="G417" s="65">
        <f>G421+G424+G427+G430+G433+G436+G439+G442+G445+G448+G451+G454+G456+G459+G462+G465+G468+G471+G474+G418</f>
        <v>332590.49488000001</v>
      </c>
      <c r="H417" s="65">
        <f t="shared" ref="H417:I417" si="57">H421+H424+H427+H430+H433+H436+H439+H442+H445+H448+H451+H454+H456+H459+H462+H465+H468+H471+H474+H418</f>
        <v>329577.2</v>
      </c>
      <c r="I417" s="65">
        <f t="shared" si="57"/>
        <v>329937.2</v>
      </c>
    </row>
    <row r="418" spans="1:17" ht="40.5" customHeight="1" x14ac:dyDescent="0.2">
      <c r="A418" s="18" t="s">
        <v>276</v>
      </c>
      <c r="B418" s="18">
        <v>915</v>
      </c>
      <c r="C418" s="19" t="s">
        <v>50</v>
      </c>
      <c r="D418" s="19" t="s">
        <v>15</v>
      </c>
      <c r="E418" s="19" t="s">
        <v>117</v>
      </c>
      <c r="F418" s="19"/>
      <c r="G418" s="20">
        <f>G420+G419</f>
        <v>417</v>
      </c>
      <c r="H418" s="20">
        <f>H420+H419</f>
        <v>521</v>
      </c>
      <c r="I418" s="20">
        <f>I420+I419</f>
        <v>541</v>
      </c>
      <c r="J418" s="21"/>
      <c r="K418" s="21"/>
      <c r="L418" s="21"/>
      <c r="M418" s="21"/>
      <c r="N418" s="21"/>
      <c r="O418" s="21"/>
      <c r="P418" s="21"/>
      <c r="Q418" s="21"/>
    </row>
    <row r="419" spans="1:17" ht="25.5" x14ac:dyDescent="0.2">
      <c r="A419" s="28" t="s">
        <v>75</v>
      </c>
      <c r="B419" s="23">
        <v>915</v>
      </c>
      <c r="C419" s="24" t="s">
        <v>50</v>
      </c>
      <c r="D419" s="24" t="s">
        <v>15</v>
      </c>
      <c r="E419" s="24" t="s">
        <v>117</v>
      </c>
      <c r="F419" s="27" t="s">
        <v>67</v>
      </c>
      <c r="G419" s="25">
        <v>2.2000000000000002</v>
      </c>
      <c r="H419" s="25">
        <v>2.2000000000000002</v>
      </c>
      <c r="I419" s="25">
        <v>2.2000000000000002</v>
      </c>
      <c r="J419" s="21"/>
      <c r="K419" s="21"/>
      <c r="L419" s="21"/>
      <c r="M419" s="21"/>
      <c r="N419" s="21"/>
      <c r="O419" s="21"/>
      <c r="P419" s="21"/>
      <c r="Q419" s="21"/>
    </row>
    <row r="420" spans="1:17" s="71" customFormat="1" x14ac:dyDescent="0.2">
      <c r="A420" s="79" t="s">
        <v>68</v>
      </c>
      <c r="B420" s="79">
        <v>915</v>
      </c>
      <c r="C420" s="74" t="s">
        <v>50</v>
      </c>
      <c r="D420" s="74" t="s">
        <v>15</v>
      </c>
      <c r="E420" s="74" t="s">
        <v>117</v>
      </c>
      <c r="F420" s="74" t="s">
        <v>69</v>
      </c>
      <c r="G420" s="58">
        <f>459.8-45</f>
        <v>414.8</v>
      </c>
      <c r="H420" s="58">
        <v>518.79999999999995</v>
      </c>
      <c r="I420" s="58">
        <v>538.79999999999995</v>
      </c>
    </row>
    <row r="421" spans="1:17" s="71" customFormat="1" ht="38.25" x14ac:dyDescent="0.2">
      <c r="A421" s="67" t="s">
        <v>277</v>
      </c>
      <c r="B421" s="68">
        <v>915</v>
      </c>
      <c r="C421" s="69" t="s">
        <v>50</v>
      </c>
      <c r="D421" s="69" t="s">
        <v>15</v>
      </c>
      <c r="E421" s="69" t="s">
        <v>102</v>
      </c>
      <c r="F421" s="69"/>
      <c r="G421" s="70">
        <f>G423+G422</f>
        <v>8815.6948800000009</v>
      </c>
      <c r="H421" s="70">
        <f>H423+H422</f>
        <v>8484</v>
      </c>
      <c r="I421" s="70">
        <f>I423+I422</f>
        <v>8824</v>
      </c>
    </row>
    <row r="422" spans="1:17" s="76" customFormat="1" ht="25.5" x14ac:dyDescent="0.2">
      <c r="A422" s="79" t="s">
        <v>75</v>
      </c>
      <c r="B422" s="77">
        <v>915</v>
      </c>
      <c r="C422" s="74" t="s">
        <v>50</v>
      </c>
      <c r="D422" s="74" t="s">
        <v>15</v>
      </c>
      <c r="E422" s="74" t="s">
        <v>102</v>
      </c>
      <c r="F422" s="75" t="s">
        <v>67</v>
      </c>
      <c r="G422" s="58">
        <f>40+2.30283+0.33907+0.06781+0.20345+0.27126</f>
        <v>43.184419999999996</v>
      </c>
      <c r="H422" s="58">
        <v>43</v>
      </c>
      <c r="I422" s="58">
        <v>44</v>
      </c>
    </row>
    <row r="423" spans="1:17" s="76" customFormat="1" x14ac:dyDescent="0.2">
      <c r="A423" s="79" t="s">
        <v>68</v>
      </c>
      <c r="B423" s="78">
        <v>915</v>
      </c>
      <c r="C423" s="74" t="s">
        <v>50</v>
      </c>
      <c r="D423" s="74" t="s">
        <v>15</v>
      </c>
      <c r="E423" s="74" t="s">
        <v>102</v>
      </c>
      <c r="F423" s="74" t="s">
        <v>69</v>
      </c>
      <c r="G423" s="58">
        <f>8166-48+478.19432+67.8139+13.56278+40.68834+54.25112</f>
        <v>8772.5104600000013</v>
      </c>
      <c r="H423" s="58">
        <f>8491-50</f>
        <v>8441</v>
      </c>
      <c r="I423" s="58">
        <f>8832-52</f>
        <v>8780</v>
      </c>
    </row>
    <row r="424" spans="1:17" ht="25.5" x14ac:dyDescent="0.2">
      <c r="A424" s="18" t="s">
        <v>278</v>
      </c>
      <c r="B424" s="22">
        <v>915</v>
      </c>
      <c r="C424" s="19" t="s">
        <v>50</v>
      </c>
      <c r="D424" s="19" t="s">
        <v>15</v>
      </c>
      <c r="E424" s="19" t="s">
        <v>104</v>
      </c>
      <c r="F424" s="19"/>
      <c r="G424" s="20">
        <f>G426+G425</f>
        <v>56361</v>
      </c>
      <c r="H424" s="20">
        <f>H426+H425</f>
        <v>57502</v>
      </c>
      <c r="I424" s="20">
        <f>I426+I425</f>
        <v>57502</v>
      </c>
      <c r="J424" s="21"/>
      <c r="K424" s="21"/>
      <c r="L424" s="21"/>
      <c r="M424" s="21"/>
      <c r="N424" s="21"/>
      <c r="O424" s="21"/>
      <c r="P424" s="21"/>
      <c r="Q424" s="21"/>
    </row>
    <row r="425" spans="1:17" s="26" customFormat="1" ht="25.5" x14ac:dyDescent="0.2">
      <c r="A425" s="28" t="s">
        <v>75</v>
      </c>
      <c r="B425" s="23">
        <v>915</v>
      </c>
      <c r="C425" s="24" t="s">
        <v>50</v>
      </c>
      <c r="D425" s="24" t="s">
        <v>15</v>
      </c>
      <c r="E425" s="24" t="s">
        <v>104</v>
      </c>
      <c r="F425" s="27" t="s">
        <v>67</v>
      </c>
      <c r="G425" s="25">
        <f>561.5+146.5</f>
        <v>708</v>
      </c>
      <c r="H425" s="25">
        <f>571.5+161.5</f>
        <v>733</v>
      </c>
      <c r="I425" s="25">
        <f>571.5+161.5</f>
        <v>733</v>
      </c>
    </row>
    <row r="426" spans="1:17" s="26" customFormat="1" x14ac:dyDescent="0.2">
      <c r="A426" s="28" t="s">
        <v>68</v>
      </c>
      <c r="B426" s="31">
        <v>915</v>
      </c>
      <c r="C426" s="24" t="s">
        <v>50</v>
      </c>
      <c r="D426" s="24" t="s">
        <v>15</v>
      </c>
      <c r="E426" s="24" t="s">
        <v>104</v>
      </c>
      <c r="F426" s="24" t="s">
        <v>69</v>
      </c>
      <c r="G426" s="25">
        <f>55653</f>
        <v>55653</v>
      </c>
      <c r="H426" s="25">
        <v>56769</v>
      </c>
      <c r="I426" s="25">
        <v>56769</v>
      </c>
    </row>
    <row r="427" spans="1:17" ht="77.25" customHeight="1" x14ac:dyDescent="0.2">
      <c r="A427" s="18" t="s">
        <v>279</v>
      </c>
      <c r="B427" s="22">
        <v>915</v>
      </c>
      <c r="C427" s="19" t="s">
        <v>50</v>
      </c>
      <c r="D427" s="19" t="s">
        <v>15</v>
      </c>
      <c r="E427" s="19" t="s">
        <v>103</v>
      </c>
      <c r="F427" s="19"/>
      <c r="G427" s="20">
        <f>G428+G429</f>
        <v>10.5</v>
      </c>
      <c r="H427" s="20">
        <f>H428+H429</f>
        <v>10</v>
      </c>
      <c r="I427" s="20">
        <f>I428+I429</f>
        <v>10</v>
      </c>
      <c r="J427" s="21"/>
      <c r="K427" s="21"/>
      <c r="L427" s="21"/>
      <c r="M427" s="21"/>
      <c r="N427" s="21"/>
      <c r="O427" s="21"/>
      <c r="P427" s="21"/>
      <c r="Q427" s="21"/>
    </row>
    <row r="428" spans="1:17" s="76" customFormat="1" ht="25.5" x14ac:dyDescent="0.2">
      <c r="A428" s="79" t="s">
        <v>75</v>
      </c>
      <c r="B428" s="77">
        <v>915</v>
      </c>
      <c r="C428" s="74" t="s">
        <v>50</v>
      </c>
      <c r="D428" s="74" t="s">
        <v>15</v>
      </c>
      <c r="E428" s="74" t="s">
        <v>103</v>
      </c>
      <c r="F428" s="75" t="s">
        <v>67</v>
      </c>
      <c r="G428" s="58">
        <f>0.1-0.05403+0.01155</f>
        <v>5.7520000000000002E-2</v>
      </c>
      <c r="H428" s="58">
        <v>0.1</v>
      </c>
      <c r="I428" s="58">
        <v>0.1</v>
      </c>
    </row>
    <row r="429" spans="1:17" s="76" customFormat="1" x14ac:dyDescent="0.2">
      <c r="A429" s="79" t="s">
        <v>68</v>
      </c>
      <c r="B429" s="78">
        <v>915</v>
      </c>
      <c r="C429" s="74" t="s">
        <v>50</v>
      </c>
      <c r="D429" s="74" t="s">
        <v>15</v>
      </c>
      <c r="E429" s="74" t="s">
        <v>103</v>
      </c>
      <c r="F429" s="74" t="s">
        <v>69</v>
      </c>
      <c r="G429" s="58">
        <f>8.9+0.05403+1.48845</f>
        <v>10.44248</v>
      </c>
      <c r="H429" s="58">
        <v>9.9</v>
      </c>
      <c r="I429" s="58">
        <v>9.9</v>
      </c>
    </row>
    <row r="430" spans="1:17" ht="63.75" x14ac:dyDescent="0.2">
      <c r="A430" s="18" t="s">
        <v>184</v>
      </c>
      <c r="B430" s="22">
        <v>915</v>
      </c>
      <c r="C430" s="19" t="s">
        <v>50</v>
      </c>
      <c r="D430" s="19" t="s">
        <v>15</v>
      </c>
      <c r="E430" s="19" t="s">
        <v>92</v>
      </c>
      <c r="F430" s="19"/>
      <c r="G430" s="20">
        <f>G432+G431</f>
        <v>26014</v>
      </c>
      <c r="H430" s="20">
        <f>H432+H431</f>
        <v>26014</v>
      </c>
      <c r="I430" s="20">
        <f>I432+I431</f>
        <v>26014</v>
      </c>
      <c r="J430" s="21"/>
      <c r="K430" s="21"/>
      <c r="L430" s="21"/>
      <c r="M430" s="21"/>
      <c r="N430" s="21"/>
      <c r="O430" s="21"/>
      <c r="P430" s="21"/>
      <c r="Q430" s="21"/>
    </row>
    <row r="431" spans="1:17" s="26" customFormat="1" ht="25.5" x14ac:dyDescent="0.2">
      <c r="A431" s="28" t="s">
        <v>75</v>
      </c>
      <c r="B431" s="23">
        <v>915</v>
      </c>
      <c r="C431" s="24" t="s">
        <v>50</v>
      </c>
      <c r="D431" s="24" t="s">
        <v>15</v>
      </c>
      <c r="E431" s="24" t="s">
        <v>92</v>
      </c>
      <c r="F431" s="27" t="s">
        <v>67</v>
      </c>
      <c r="G431" s="25">
        <f>185.1+72.2</f>
        <v>257.3</v>
      </c>
      <c r="H431" s="25">
        <f>185.1+72.2</f>
        <v>257.3</v>
      </c>
      <c r="I431" s="25">
        <f>185.1+72.2</f>
        <v>257.3</v>
      </c>
    </row>
    <row r="432" spans="1:17" s="26" customFormat="1" x14ac:dyDescent="0.2">
      <c r="A432" s="28" t="s">
        <v>68</v>
      </c>
      <c r="B432" s="31">
        <v>915</v>
      </c>
      <c r="C432" s="24" t="s">
        <v>50</v>
      </c>
      <c r="D432" s="24" t="s">
        <v>15</v>
      </c>
      <c r="E432" s="24" t="s">
        <v>92</v>
      </c>
      <c r="F432" s="24" t="s">
        <v>69</v>
      </c>
      <c r="G432" s="25">
        <f>24301.7+1455</f>
        <v>25756.7</v>
      </c>
      <c r="H432" s="25">
        <f>24301.7+1455</f>
        <v>25756.7</v>
      </c>
      <c r="I432" s="25">
        <f>24301.7+1455</f>
        <v>25756.7</v>
      </c>
    </row>
    <row r="433" spans="1:17" ht="140.25" x14ac:dyDescent="0.2">
      <c r="A433" s="18" t="s">
        <v>341</v>
      </c>
      <c r="B433" s="22">
        <v>915</v>
      </c>
      <c r="C433" s="19" t="s">
        <v>50</v>
      </c>
      <c r="D433" s="19" t="s">
        <v>15</v>
      </c>
      <c r="E433" s="19" t="s">
        <v>93</v>
      </c>
      <c r="F433" s="19"/>
      <c r="G433" s="20">
        <f>G435+G434</f>
        <v>1712</v>
      </c>
      <c r="H433" s="20">
        <f>H435+H434</f>
        <v>1612</v>
      </c>
      <c r="I433" s="20">
        <f>I435+I434</f>
        <v>1612</v>
      </c>
      <c r="J433" s="21"/>
      <c r="K433" s="21"/>
      <c r="L433" s="21"/>
      <c r="M433" s="21"/>
      <c r="N433" s="21"/>
      <c r="O433" s="21"/>
      <c r="P433" s="21"/>
      <c r="Q433" s="21"/>
    </row>
    <row r="434" spans="1:17" s="26" customFormat="1" ht="25.5" x14ac:dyDescent="0.2">
      <c r="A434" s="28" t="s">
        <v>75</v>
      </c>
      <c r="B434" s="31">
        <v>915</v>
      </c>
      <c r="C434" s="24" t="s">
        <v>50</v>
      </c>
      <c r="D434" s="24" t="s">
        <v>15</v>
      </c>
      <c r="E434" s="24" t="s">
        <v>93</v>
      </c>
      <c r="F434" s="27" t="s">
        <v>67</v>
      </c>
      <c r="G434" s="25">
        <f>28+1.6</f>
        <v>29.6</v>
      </c>
      <c r="H434" s="25">
        <f>28+1.6</f>
        <v>29.6</v>
      </c>
      <c r="I434" s="25">
        <f>28+1.6</f>
        <v>29.6</v>
      </c>
    </row>
    <row r="435" spans="1:17" s="76" customFormat="1" x14ac:dyDescent="0.2">
      <c r="A435" s="79" t="s">
        <v>68</v>
      </c>
      <c r="B435" s="78">
        <v>915</v>
      </c>
      <c r="C435" s="74" t="s">
        <v>50</v>
      </c>
      <c r="D435" s="74" t="s">
        <v>15</v>
      </c>
      <c r="E435" s="74" t="s">
        <v>93</v>
      </c>
      <c r="F435" s="74" t="s">
        <v>69</v>
      </c>
      <c r="G435" s="58">
        <f>1562.4+20+100</f>
        <v>1682.4</v>
      </c>
      <c r="H435" s="58">
        <f>1562.4+20</f>
        <v>1582.4</v>
      </c>
      <c r="I435" s="58">
        <f>1562.4+20</f>
        <v>1582.4</v>
      </c>
    </row>
    <row r="436" spans="1:17" ht="76.5" customHeight="1" x14ac:dyDescent="0.2">
      <c r="A436" s="18" t="s">
        <v>185</v>
      </c>
      <c r="B436" s="22">
        <v>915</v>
      </c>
      <c r="C436" s="19" t="s">
        <v>50</v>
      </c>
      <c r="D436" s="19" t="s">
        <v>15</v>
      </c>
      <c r="E436" s="19" t="s">
        <v>94</v>
      </c>
      <c r="F436" s="19"/>
      <c r="G436" s="20">
        <f>G438+G437</f>
        <v>9082</v>
      </c>
      <c r="H436" s="20">
        <f>H438+H437</f>
        <v>9182</v>
      </c>
      <c r="I436" s="20">
        <f>I438+I437</f>
        <v>9182</v>
      </c>
      <c r="J436" s="21"/>
      <c r="K436" s="21"/>
      <c r="L436" s="21"/>
      <c r="M436" s="21"/>
      <c r="N436" s="21"/>
      <c r="O436" s="21"/>
      <c r="P436" s="21"/>
      <c r="Q436" s="21"/>
    </row>
    <row r="437" spans="1:17" s="26" customFormat="1" ht="25.5" x14ac:dyDescent="0.2">
      <c r="A437" s="28" t="s">
        <v>75</v>
      </c>
      <c r="B437" s="23">
        <v>915</v>
      </c>
      <c r="C437" s="24" t="s">
        <v>50</v>
      </c>
      <c r="D437" s="24" t="s">
        <v>15</v>
      </c>
      <c r="E437" s="24" t="s">
        <v>94</v>
      </c>
      <c r="F437" s="27" t="s">
        <v>67</v>
      </c>
      <c r="G437" s="25">
        <f>92.5+20.4</f>
        <v>112.9</v>
      </c>
      <c r="H437" s="25">
        <f>92.5+20.4</f>
        <v>112.9</v>
      </c>
      <c r="I437" s="25">
        <f>92.5+20.4</f>
        <v>112.9</v>
      </c>
    </row>
    <row r="438" spans="1:17" s="76" customFormat="1" x14ac:dyDescent="0.2">
      <c r="A438" s="79" t="s">
        <v>68</v>
      </c>
      <c r="B438" s="78">
        <v>915</v>
      </c>
      <c r="C438" s="74" t="s">
        <v>50</v>
      </c>
      <c r="D438" s="74" t="s">
        <v>15</v>
      </c>
      <c r="E438" s="74" t="s">
        <v>94</v>
      </c>
      <c r="F438" s="74" t="s">
        <v>69</v>
      </c>
      <c r="G438" s="58">
        <f>8903.1+166-100</f>
        <v>8969.1</v>
      </c>
      <c r="H438" s="58">
        <f>8903.1+166</f>
        <v>9069.1</v>
      </c>
      <c r="I438" s="58">
        <f>8903.1+166</f>
        <v>9069.1</v>
      </c>
    </row>
    <row r="439" spans="1:17" ht="51" x14ac:dyDescent="0.2">
      <c r="A439" s="18" t="s">
        <v>259</v>
      </c>
      <c r="B439" s="22">
        <v>915</v>
      </c>
      <c r="C439" s="19" t="s">
        <v>50</v>
      </c>
      <c r="D439" s="19" t="s">
        <v>15</v>
      </c>
      <c r="E439" s="19" t="s">
        <v>108</v>
      </c>
      <c r="F439" s="19"/>
      <c r="G439" s="20">
        <f>G441+G440</f>
        <v>12816.5</v>
      </c>
      <c r="H439" s="20">
        <f>H441+H440</f>
        <v>12816.5</v>
      </c>
      <c r="I439" s="20">
        <f>I441+I440</f>
        <v>12816.5</v>
      </c>
      <c r="J439" s="21"/>
      <c r="K439" s="21"/>
      <c r="L439" s="21"/>
      <c r="M439" s="21"/>
      <c r="N439" s="21"/>
      <c r="O439" s="21"/>
      <c r="P439" s="21"/>
      <c r="Q439" s="21"/>
    </row>
    <row r="440" spans="1:17" s="26" customFormat="1" ht="25.5" x14ac:dyDescent="0.2">
      <c r="A440" s="28" t="s">
        <v>75</v>
      </c>
      <c r="B440" s="23">
        <v>915</v>
      </c>
      <c r="C440" s="24" t="s">
        <v>50</v>
      </c>
      <c r="D440" s="24" t="s">
        <v>15</v>
      </c>
      <c r="E440" s="24" t="s">
        <v>108</v>
      </c>
      <c r="F440" s="27" t="s">
        <v>67</v>
      </c>
      <c r="G440" s="25">
        <f>1+62.9</f>
        <v>63.9</v>
      </c>
      <c r="H440" s="25">
        <f>1+62.9</f>
        <v>63.9</v>
      </c>
      <c r="I440" s="25">
        <f>1+62.9</f>
        <v>63.9</v>
      </c>
    </row>
    <row r="441" spans="1:17" s="26" customFormat="1" x14ac:dyDescent="0.2">
      <c r="A441" s="28" t="s">
        <v>68</v>
      </c>
      <c r="B441" s="31">
        <v>915</v>
      </c>
      <c r="C441" s="24" t="s">
        <v>50</v>
      </c>
      <c r="D441" s="24" t="s">
        <v>15</v>
      </c>
      <c r="E441" s="24" t="s">
        <v>108</v>
      </c>
      <c r="F441" s="24" t="s">
        <v>69</v>
      </c>
      <c r="G441" s="25">
        <f>50+12702.6</f>
        <v>12752.6</v>
      </c>
      <c r="H441" s="25">
        <f>50+12702.6</f>
        <v>12752.6</v>
      </c>
      <c r="I441" s="25">
        <f>50+12702.6</f>
        <v>12752.6</v>
      </c>
    </row>
    <row r="442" spans="1:17" ht="63.75" x14ac:dyDescent="0.2">
      <c r="A442" s="18" t="s">
        <v>186</v>
      </c>
      <c r="B442" s="22">
        <v>915</v>
      </c>
      <c r="C442" s="19" t="s">
        <v>50</v>
      </c>
      <c r="D442" s="19" t="s">
        <v>15</v>
      </c>
      <c r="E442" s="19" t="s">
        <v>95</v>
      </c>
      <c r="F442" s="19"/>
      <c r="G442" s="20">
        <f>G444+G443</f>
        <v>462.29999999999995</v>
      </c>
      <c r="H442" s="20">
        <f>H444+H443</f>
        <v>460.29999999999995</v>
      </c>
      <c r="I442" s="20">
        <f>I444+I443</f>
        <v>460.29999999999995</v>
      </c>
      <c r="J442" s="21"/>
      <c r="K442" s="21"/>
      <c r="L442" s="21"/>
      <c r="M442" s="21"/>
      <c r="N442" s="21"/>
      <c r="O442" s="21"/>
      <c r="P442" s="21"/>
      <c r="Q442" s="21"/>
    </row>
    <row r="443" spans="1:17" s="26" customFormat="1" ht="25.5" x14ac:dyDescent="0.2">
      <c r="A443" s="28" t="s">
        <v>75</v>
      </c>
      <c r="B443" s="23">
        <v>915</v>
      </c>
      <c r="C443" s="24" t="s">
        <v>50</v>
      </c>
      <c r="D443" s="24" t="s">
        <v>15</v>
      </c>
      <c r="E443" s="24" t="s">
        <v>95</v>
      </c>
      <c r="F443" s="27" t="s">
        <v>67</v>
      </c>
      <c r="G443" s="25">
        <f>3.1+1.8</f>
        <v>4.9000000000000004</v>
      </c>
      <c r="H443" s="25">
        <f>3.1+1.8</f>
        <v>4.9000000000000004</v>
      </c>
      <c r="I443" s="25">
        <f>3.1+1.8</f>
        <v>4.9000000000000004</v>
      </c>
    </row>
    <row r="444" spans="1:17" s="76" customFormat="1" x14ac:dyDescent="0.2">
      <c r="A444" s="79" t="s">
        <v>68</v>
      </c>
      <c r="B444" s="78">
        <v>915</v>
      </c>
      <c r="C444" s="74" t="s">
        <v>50</v>
      </c>
      <c r="D444" s="74" t="s">
        <v>15</v>
      </c>
      <c r="E444" s="74" t="s">
        <v>95</v>
      </c>
      <c r="F444" s="74" t="s">
        <v>69</v>
      </c>
      <c r="G444" s="58">
        <f>445.4+10+32-30</f>
        <v>457.4</v>
      </c>
      <c r="H444" s="58">
        <f>445.4+10</f>
        <v>455.4</v>
      </c>
      <c r="I444" s="58">
        <f>445.4+10</f>
        <v>455.4</v>
      </c>
    </row>
    <row r="445" spans="1:17" ht="63.75" x14ac:dyDescent="0.2">
      <c r="A445" s="18" t="s">
        <v>342</v>
      </c>
      <c r="B445" s="49">
        <v>915</v>
      </c>
      <c r="C445" s="19" t="s">
        <v>50</v>
      </c>
      <c r="D445" s="19" t="s">
        <v>15</v>
      </c>
      <c r="E445" s="19" t="s">
        <v>111</v>
      </c>
      <c r="F445" s="19"/>
      <c r="G445" s="20">
        <f>G447+G446</f>
        <v>10.299999999999999</v>
      </c>
      <c r="H445" s="20">
        <f>H447+H446</f>
        <v>10.299999999999999</v>
      </c>
      <c r="I445" s="20">
        <f>I447+I446</f>
        <v>10.299999999999999</v>
      </c>
      <c r="J445" s="21"/>
      <c r="K445" s="21"/>
      <c r="L445" s="21"/>
      <c r="M445" s="21"/>
      <c r="N445" s="21"/>
      <c r="O445" s="21"/>
      <c r="P445" s="21"/>
      <c r="Q445" s="21"/>
    </row>
    <row r="446" spans="1:17" s="26" customFormat="1" ht="25.5" x14ac:dyDescent="0.2">
      <c r="A446" s="28" t="s">
        <v>75</v>
      </c>
      <c r="B446" s="23">
        <v>915</v>
      </c>
      <c r="C446" s="24" t="s">
        <v>50</v>
      </c>
      <c r="D446" s="24" t="s">
        <v>15</v>
      </c>
      <c r="E446" s="24" t="s">
        <v>111</v>
      </c>
      <c r="F446" s="27" t="s">
        <v>67</v>
      </c>
      <c r="G446" s="25">
        <v>0.1</v>
      </c>
      <c r="H446" s="25">
        <v>0.1</v>
      </c>
      <c r="I446" s="25">
        <v>0.1</v>
      </c>
    </row>
    <row r="447" spans="1:17" s="26" customFormat="1" x14ac:dyDescent="0.2">
      <c r="A447" s="28" t="s">
        <v>68</v>
      </c>
      <c r="B447" s="31">
        <v>915</v>
      </c>
      <c r="C447" s="24" t="s">
        <v>50</v>
      </c>
      <c r="D447" s="24" t="s">
        <v>15</v>
      </c>
      <c r="E447" s="24" t="s">
        <v>111</v>
      </c>
      <c r="F447" s="24" t="s">
        <v>69</v>
      </c>
      <c r="G447" s="25">
        <v>10.199999999999999</v>
      </c>
      <c r="H447" s="25">
        <v>10.199999999999999</v>
      </c>
      <c r="I447" s="25">
        <v>10.199999999999999</v>
      </c>
    </row>
    <row r="448" spans="1:17" ht="51" x14ac:dyDescent="0.2">
      <c r="A448" s="18" t="s">
        <v>187</v>
      </c>
      <c r="B448" s="22">
        <v>915</v>
      </c>
      <c r="C448" s="19" t="s">
        <v>50</v>
      </c>
      <c r="D448" s="19" t="s">
        <v>15</v>
      </c>
      <c r="E448" s="19" t="s">
        <v>96</v>
      </c>
      <c r="F448" s="19"/>
      <c r="G448" s="20">
        <f>G450+G449</f>
        <v>495.9</v>
      </c>
      <c r="H448" s="20">
        <f>H450+H449</f>
        <v>525.9</v>
      </c>
      <c r="I448" s="20">
        <f>I450+I449</f>
        <v>525.9</v>
      </c>
      <c r="J448" s="21"/>
      <c r="K448" s="21"/>
      <c r="L448" s="21"/>
      <c r="M448" s="21"/>
      <c r="N448" s="21"/>
      <c r="O448" s="21"/>
      <c r="P448" s="21"/>
      <c r="Q448" s="21"/>
    </row>
    <row r="449" spans="1:17" s="26" customFormat="1" ht="25.5" x14ac:dyDescent="0.2">
      <c r="A449" s="28" t="s">
        <v>75</v>
      </c>
      <c r="B449" s="23">
        <v>915</v>
      </c>
      <c r="C449" s="24" t="s">
        <v>50</v>
      </c>
      <c r="D449" s="24" t="s">
        <v>15</v>
      </c>
      <c r="E449" s="24" t="s">
        <v>96</v>
      </c>
      <c r="F449" s="27" t="s">
        <v>67</v>
      </c>
      <c r="G449" s="25">
        <f>7+1.5</f>
        <v>8.5</v>
      </c>
      <c r="H449" s="25">
        <f>7+1.5</f>
        <v>8.5</v>
      </c>
      <c r="I449" s="25">
        <f>7+1.5</f>
        <v>8.5</v>
      </c>
    </row>
    <row r="450" spans="1:17" s="76" customFormat="1" x14ac:dyDescent="0.2">
      <c r="A450" s="79" t="s">
        <v>68</v>
      </c>
      <c r="B450" s="78">
        <v>915</v>
      </c>
      <c r="C450" s="74" t="s">
        <v>50</v>
      </c>
      <c r="D450" s="74" t="s">
        <v>15</v>
      </c>
      <c r="E450" s="74" t="s">
        <v>96</v>
      </c>
      <c r="F450" s="74" t="s">
        <v>69</v>
      </c>
      <c r="G450" s="58">
        <f>477.4+40-30</f>
        <v>487.4</v>
      </c>
      <c r="H450" s="58">
        <f>477.4+40</f>
        <v>517.4</v>
      </c>
      <c r="I450" s="58">
        <f>477.4+40</f>
        <v>517.4</v>
      </c>
    </row>
    <row r="451" spans="1:17" ht="25.5" x14ac:dyDescent="0.2">
      <c r="A451" s="18" t="s">
        <v>280</v>
      </c>
      <c r="B451" s="22">
        <v>915</v>
      </c>
      <c r="C451" s="19" t="s">
        <v>50</v>
      </c>
      <c r="D451" s="19" t="s">
        <v>15</v>
      </c>
      <c r="E451" s="19" t="s">
        <v>106</v>
      </c>
      <c r="F451" s="19"/>
      <c r="G451" s="20">
        <f>G453+G452</f>
        <v>90247</v>
      </c>
      <c r="H451" s="20">
        <f>H453+H452</f>
        <v>93047</v>
      </c>
      <c r="I451" s="20">
        <f>I453+I452</f>
        <v>93047</v>
      </c>
      <c r="J451" s="21"/>
      <c r="K451" s="21"/>
      <c r="L451" s="21"/>
      <c r="M451" s="21"/>
      <c r="N451" s="21"/>
      <c r="O451" s="21"/>
      <c r="P451" s="21"/>
      <c r="Q451" s="21"/>
    </row>
    <row r="452" spans="1:17" s="26" customFormat="1" ht="25.5" x14ac:dyDescent="0.2">
      <c r="A452" s="28" t="s">
        <v>75</v>
      </c>
      <c r="B452" s="23">
        <v>915</v>
      </c>
      <c r="C452" s="24" t="s">
        <v>50</v>
      </c>
      <c r="D452" s="24" t="s">
        <v>15</v>
      </c>
      <c r="E452" s="24" t="s">
        <v>106</v>
      </c>
      <c r="F452" s="27" t="s">
        <v>67</v>
      </c>
      <c r="G452" s="25">
        <f>56+480</f>
        <v>536</v>
      </c>
      <c r="H452" s="25">
        <v>560</v>
      </c>
      <c r="I452" s="25">
        <v>560</v>
      </c>
    </row>
    <row r="453" spans="1:17" s="76" customFormat="1" x14ac:dyDescent="0.2">
      <c r="A453" s="79" t="s">
        <v>68</v>
      </c>
      <c r="B453" s="78">
        <v>915</v>
      </c>
      <c r="C453" s="74" t="s">
        <v>50</v>
      </c>
      <c r="D453" s="74" t="s">
        <v>15</v>
      </c>
      <c r="E453" s="74" t="s">
        <v>106</v>
      </c>
      <c r="F453" s="74" t="s">
        <v>69</v>
      </c>
      <c r="G453" s="58">
        <f>86511+3200</f>
        <v>89711</v>
      </c>
      <c r="H453" s="58">
        <v>92487</v>
      </c>
      <c r="I453" s="58">
        <v>92487</v>
      </c>
    </row>
    <row r="454" spans="1:17" ht="127.5" x14ac:dyDescent="0.2">
      <c r="A454" s="18" t="s">
        <v>343</v>
      </c>
      <c r="B454" s="22">
        <v>915</v>
      </c>
      <c r="C454" s="19" t="s">
        <v>50</v>
      </c>
      <c r="D454" s="19" t="s">
        <v>15</v>
      </c>
      <c r="E454" s="19" t="s">
        <v>112</v>
      </c>
      <c r="F454" s="19"/>
      <c r="G454" s="20">
        <f>G455</f>
        <v>1.2</v>
      </c>
      <c r="H454" s="20">
        <f>H455</f>
        <v>1.2</v>
      </c>
      <c r="I454" s="20">
        <f>I455</f>
        <v>1.2</v>
      </c>
      <c r="J454" s="21"/>
      <c r="K454" s="21"/>
      <c r="L454" s="21"/>
      <c r="M454" s="21"/>
      <c r="N454" s="21"/>
      <c r="O454" s="21"/>
      <c r="P454" s="21"/>
      <c r="Q454" s="21"/>
    </row>
    <row r="455" spans="1:17" s="26" customFormat="1" x14ac:dyDescent="0.2">
      <c r="A455" s="28" t="s">
        <v>68</v>
      </c>
      <c r="B455" s="31">
        <v>915</v>
      </c>
      <c r="C455" s="24" t="s">
        <v>50</v>
      </c>
      <c r="D455" s="24" t="s">
        <v>15</v>
      </c>
      <c r="E455" s="24" t="s">
        <v>112</v>
      </c>
      <c r="F455" s="24" t="s">
        <v>69</v>
      </c>
      <c r="G455" s="25">
        <v>1.2</v>
      </c>
      <c r="H455" s="25">
        <v>1.2</v>
      </c>
      <c r="I455" s="25">
        <v>1.2</v>
      </c>
    </row>
    <row r="456" spans="1:17" s="71" customFormat="1" ht="51" customHeight="1" x14ac:dyDescent="0.2">
      <c r="A456" s="67" t="s">
        <v>282</v>
      </c>
      <c r="B456" s="68">
        <v>915</v>
      </c>
      <c r="C456" s="69" t="s">
        <v>50</v>
      </c>
      <c r="D456" s="69" t="s">
        <v>15</v>
      </c>
      <c r="E456" s="69" t="s">
        <v>109</v>
      </c>
      <c r="F456" s="69"/>
      <c r="G456" s="70">
        <f>G458+G457</f>
        <v>9054</v>
      </c>
      <c r="H456" s="70">
        <f>H458+H457</f>
        <v>3136</v>
      </c>
      <c r="I456" s="70">
        <f>I458+I457</f>
        <v>3136</v>
      </c>
    </row>
    <row r="457" spans="1:17" s="76" customFormat="1" ht="25.5" x14ac:dyDescent="0.2">
      <c r="A457" s="79" t="s">
        <v>75</v>
      </c>
      <c r="B457" s="77">
        <v>915</v>
      </c>
      <c r="C457" s="74" t="s">
        <v>50</v>
      </c>
      <c r="D457" s="74" t="s">
        <v>15</v>
      </c>
      <c r="E457" s="74" t="s">
        <v>109</v>
      </c>
      <c r="F457" s="75" t="s">
        <v>67</v>
      </c>
      <c r="G457" s="58">
        <f>2-1.35+1.3+1.3</f>
        <v>3.25</v>
      </c>
      <c r="H457" s="58">
        <v>2</v>
      </c>
      <c r="I457" s="58">
        <v>2</v>
      </c>
    </row>
    <row r="458" spans="1:17" s="76" customFormat="1" x14ac:dyDescent="0.2">
      <c r="A458" s="79" t="s">
        <v>68</v>
      </c>
      <c r="B458" s="78">
        <v>915</v>
      </c>
      <c r="C458" s="74" t="s">
        <v>50</v>
      </c>
      <c r="D458" s="74" t="s">
        <v>15</v>
      </c>
      <c r="E458" s="74" t="s">
        <v>109</v>
      </c>
      <c r="F458" s="74" t="s">
        <v>69</v>
      </c>
      <c r="G458" s="58">
        <f>3134+600+1.35+861.08887+1268.63294+2536.97819+648.7</f>
        <v>9050.75</v>
      </c>
      <c r="H458" s="58">
        <v>3134</v>
      </c>
      <c r="I458" s="58">
        <v>3134</v>
      </c>
    </row>
    <row r="459" spans="1:17" s="71" customFormat="1" ht="51" x14ac:dyDescent="0.2">
      <c r="A459" s="67" t="s">
        <v>344</v>
      </c>
      <c r="B459" s="68">
        <v>915</v>
      </c>
      <c r="C459" s="69" t="s">
        <v>50</v>
      </c>
      <c r="D459" s="69" t="s">
        <v>15</v>
      </c>
      <c r="E459" s="69" t="s">
        <v>115</v>
      </c>
      <c r="F459" s="69"/>
      <c r="G459" s="70">
        <f>G461+G460</f>
        <v>20861</v>
      </c>
      <c r="H459" s="70">
        <f>H461+H460</f>
        <v>21361</v>
      </c>
      <c r="I459" s="70">
        <f>I461+I460</f>
        <v>21361</v>
      </c>
    </row>
    <row r="460" spans="1:17" s="26" customFormat="1" ht="25.5" x14ac:dyDescent="0.2">
      <c r="A460" s="28" t="s">
        <v>75</v>
      </c>
      <c r="B460" s="23">
        <v>915</v>
      </c>
      <c r="C460" s="24" t="s">
        <v>50</v>
      </c>
      <c r="D460" s="24" t="s">
        <v>15</v>
      </c>
      <c r="E460" s="24" t="s">
        <v>115</v>
      </c>
      <c r="F460" s="27" t="s">
        <v>67</v>
      </c>
      <c r="G460" s="25">
        <f>255+45</f>
        <v>300</v>
      </c>
      <c r="H460" s="25">
        <f t="shared" ref="H460:I460" si="58">255+45</f>
        <v>300</v>
      </c>
      <c r="I460" s="25">
        <f t="shared" si="58"/>
        <v>300</v>
      </c>
    </row>
    <row r="461" spans="1:17" s="76" customFormat="1" x14ac:dyDescent="0.2">
      <c r="A461" s="79" t="s">
        <v>68</v>
      </c>
      <c r="B461" s="78">
        <v>915</v>
      </c>
      <c r="C461" s="74" t="s">
        <v>50</v>
      </c>
      <c r="D461" s="74" t="s">
        <v>15</v>
      </c>
      <c r="E461" s="74" t="s">
        <v>115</v>
      </c>
      <c r="F461" s="74" t="s">
        <v>69</v>
      </c>
      <c r="G461" s="58">
        <f>21061-500</f>
        <v>20561</v>
      </c>
      <c r="H461" s="58">
        <v>21061</v>
      </c>
      <c r="I461" s="58">
        <v>21061</v>
      </c>
    </row>
    <row r="462" spans="1:17" ht="51" x14ac:dyDescent="0.2">
      <c r="A462" s="18" t="s">
        <v>283</v>
      </c>
      <c r="B462" s="22">
        <v>915</v>
      </c>
      <c r="C462" s="19" t="s">
        <v>50</v>
      </c>
      <c r="D462" s="19" t="s">
        <v>15</v>
      </c>
      <c r="E462" s="19" t="s">
        <v>110</v>
      </c>
      <c r="F462" s="19"/>
      <c r="G462" s="20">
        <f>G464+G463</f>
        <v>95</v>
      </c>
      <c r="H462" s="20">
        <f>H464+H463</f>
        <v>95</v>
      </c>
      <c r="I462" s="20">
        <f>I464+I463</f>
        <v>95</v>
      </c>
      <c r="J462" s="21"/>
      <c r="K462" s="21"/>
      <c r="L462" s="21"/>
      <c r="M462" s="21"/>
      <c r="N462" s="21"/>
      <c r="O462" s="21"/>
      <c r="P462" s="21"/>
      <c r="Q462" s="21"/>
    </row>
    <row r="463" spans="1:17" s="26" customFormat="1" ht="25.5" x14ac:dyDescent="0.2">
      <c r="A463" s="28" t="s">
        <v>75</v>
      </c>
      <c r="B463" s="23">
        <v>915</v>
      </c>
      <c r="C463" s="24" t="s">
        <v>50</v>
      </c>
      <c r="D463" s="24" t="s">
        <v>15</v>
      </c>
      <c r="E463" s="24" t="s">
        <v>110</v>
      </c>
      <c r="F463" s="27" t="s">
        <v>67</v>
      </c>
      <c r="G463" s="25">
        <v>1.5</v>
      </c>
      <c r="H463" s="25">
        <v>1.5</v>
      </c>
      <c r="I463" s="25">
        <v>1.5</v>
      </c>
    </row>
    <row r="464" spans="1:17" s="26" customFormat="1" x14ac:dyDescent="0.2">
      <c r="A464" s="28" t="s">
        <v>68</v>
      </c>
      <c r="B464" s="31">
        <v>915</v>
      </c>
      <c r="C464" s="24" t="s">
        <v>50</v>
      </c>
      <c r="D464" s="24" t="s">
        <v>15</v>
      </c>
      <c r="E464" s="24" t="s">
        <v>110</v>
      </c>
      <c r="F464" s="24" t="s">
        <v>69</v>
      </c>
      <c r="G464" s="25">
        <v>93.5</v>
      </c>
      <c r="H464" s="25">
        <v>93.5</v>
      </c>
      <c r="I464" s="25">
        <v>93.5</v>
      </c>
    </row>
    <row r="465" spans="1:17" ht="76.5" x14ac:dyDescent="0.2">
      <c r="A465" s="18" t="s">
        <v>351</v>
      </c>
      <c r="B465" s="22">
        <v>915</v>
      </c>
      <c r="C465" s="19" t="s">
        <v>50</v>
      </c>
      <c r="D465" s="19" t="s">
        <v>15</v>
      </c>
      <c r="E465" s="19" t="s">
        <v>113</v>
      </c>
      <c r="F465" s="19"/>
      <c r="G465" s="20">
        <f>G467+G466</f>
        <v>1153</v>
      </c>
      <c r="H465" s="20">
        <f>H467+H466</f>
        <v>1153</v>
      </c>
      <c r="I465" s="20">
        <f>I467+I466</f>
        <v>1153</v>
      </c>
      <c r="J465" s="21"/>
      <c r="K465" s="21"/>
      <c r="L465" s="21"/>
      <c r="M465" s="21"/>
      <c r="N465" s="21"/>
      <c r="O465" s="21"/>
      <c r="P465" s="21"/>
      <c r="Q465" s="21"/>
    </row>
    <row r="466" spans="1:17" s="26" customFormat="1" ht="25.5" x14ac:dyDescent="0.2">
      <c r="A466" s="28" t="s">
        <v>75</v>
      </c>
      <c r="B466" s="23">
        <v>915</v>
      </c>
      <c r="C466" s="24" t="s">
        <v>50</v>
      </c>
      <c r="D466" s="24" t="s">
        <v>15</v>
      </c>
      <c r="E466" s="24" t="s">
        <v>113</v>
      </c>
      <c r="F466" s="27" t="s">
        <v>67</v>
      </c>
      <c r="G466" s="25">
        <f>5.5+1</f>
        <v>6.5</v>
      </c>
      <c r="H466" s="25">
        <f>5.5+1</f>
        <v>6.5</v>
      </c>
      <c r="I466" s="25">
        <f>5.5+1</f>
        <v>6.5</v>
      </c>
    </row>
    <row r="467" spans="1:17" s="26" customFormat="1" x14ac:dyDescent="0.2">
      <c r="A467" s="28" t="s">
        <v>68</v>
      </c>
      <c r="B467" s="31">
        <v>915</v>
      </c>
      <c r="C467" s="24" t="s">
        <v>50</v>
      </c>
      <c r="D467" s="24" t="s">
        <v>15</v>
      </c>
      <c r="E467" s="24" t="s">
        <v>113</v>
      </c>
      <c r="F467" s="24" t="s">
        <v>69</v>
      </c>
      <c r="G467" s="25">
        <f>930.5+216</f>
        <v>1146.5</v>
      </c>
      <c r="H467" s="25">
        <f>930.5+216</f>
        <v>1146.5</v>
      </c>
      <c r="I467" s="25">
        <f>930.5+216</f>
        <v>1146.5</v>
      </c>
    </row>
    <row r="468" spans="1:17" s="71" customFormat="1" ht="51" x14ac:dyDescent="0.2">
      <c r="A468" s="67" t="s">
        <v>284</v>
      </c>
      <c r="B468" s="68">
        <v>915</v>
      </c>
      <c r="C468" s="69" t="s">
        <v>50</v>
      </c>
      <c r="D468" s="69" t="s">
        <v>15</v>
      </c>
      <c r="E468" s="69" t="s">
        <v>114</v>
      </c>
      <c r="F468" s="69"/>
      <c r="G468" s="70">
        <f>G470+G469</f>
        <v>446</v>
      </c>
      <c r="H468" s="70">
        <f>H470+H469</f>
        <v>318</v>
      </c>
      <c r="I468" s="70">
        <f>I470+I469</f>
        <v>318</v>
      </c>
    </row>
    <row r="469" spans="1:17" s="76" customFormat="1" ht="25.5" x14ac:dyDescent="0.2">
      <c r="A469" s="79" t="s">
        <v>75</v>
      </c>
      <c r="B469" s="77">
        <v>915</v>
      </c>
      <c r="C469" s="74" t="s">
        <v>50</v>
      </c>
      <c r="D469" s="74" t="s">
        <v>15</v>
      </c>
      <c r="E469" s="74" t="s">
        <v>114</v>
      </c>
      <c r="F469" s="75" t="s">
        <v>67</v>
      </c>
      <c r="G469" s="58">
        <f>6.4+1.3</f>
        <v>7.7</v>
      </c>
      <c r="H469" s="58">
        <v>6.4</v>
      </c>
      <c r="I469" s="58">
        <v>6.4</v>
      </c>
    </row>
    <row r="470" spans="1:17" s="76" customFormat="1" x14ac:dyDescent="0.2">
      <c r="A470" s="79" t="s">
        <v>68</v>
      </c>
      <c r="B470" s="78">
        <v>915</v>
      </c>
      <c r="C470" s="74" t="s">
        <v>50</v>
      </c>
      <c r="D470" s="74" t="s">
        <v>15</v>
      </c>
      <c r="E470" s="74" t="s">
        <v>114</v>
      </c>
      <c r="F470" s="74" t="s">
        <v>69</v>
      </c>
      <c r="G470" s="58">
        <f>311.6+40+86.7</f>
        <v>438.3</v>
      </c>
      <c r="H470" s="58">
        <v>311.60000000000002</v>
      </c>
      <c r="I470" s="58">
        <v>311.60000000000002</v>
      </c>
    </row>
    <row r="471" spans="1:17" ht="89.25" customHeight="1" x14ac:dyDescent="0.2">
      <c r="A471" s="18" t="s">
        <v>346</v>
      </c>
      <c r="B471" s="22">
        <v>915</v>
      </c>
      <c r="C471" s="19" t="s">
        <v>50</v>
      </c>
      <c r="D471" s="19" t="s">
        <v>15</v>
      </c>
      <c r="E471" s="19" t="s">
        <v>116</v>
      </c>
      <c r="F471" s="19"/>
      <c r="G471" s="20">
        <f>G473+G472</f>
        <v>93201</v>
      </c>
      <c r="H471" s="20">
        <f>H473+H472</f>
        <v>92351</v>
      </c>
      <c r="I471" s="20">
        <f>I473+I472</f>
        <v>92351</v>
      </c>
      <c r="J471" s="21"/>
      <c r="K471" s="21"/>
      <c r="L471" s="21"/>
      <c r="M471" s="21"/>
      <c r="N471" s="21"/>
      <c r="O471" s="21"/>
      <c r="P471" s="21"/>
      <c r="Q471" s="21"/>
    </row>
    <row r="472" spans="1:17" s="26" customFormat="1" ht="25.5" x14ac:dyDescent="0.2">
      <c r="A472" s="28" t="s">
        <v>75</v>
      </c>
      <c r="B472" s="23">
        <v>915</v>
      </c>
      <c r="C472" s="24" t="s">
        <v>50</v>
      </c>
      <c r="D472" s="24" t="s">
        <v>15</v>
      </c>
      <c r="E472" s="24" t="s">
        <v>116</v>
      </c>
      <c r="F472" s="27" t="s">
        <v>67</v>
      </c>
      <c r="G472" s="25">
        <f>317+175+110+34+55+23+127+50+1+1.2</f>
        <v>893.2</v>
      </c>
      <c r="H472" s="25">
        <f>317+175+110+34+55+23+127+50+1+1.2</f>
        <v>893.2</v>
      </c>
      <c r="I472" s="25">
        <f>317+175+110+34+55+23+127+50+1+1.2</f>
        <v>893.2</v>
      </c>
    </row>
    <row r="473" spans="1:17" s="76" customFormat="1" x14ac:dyDescent="0.2">
      <c r="A473" s="79" t="s">
        <v>68</v>
      </c>
      <c r="B473" s="78">
        <v>915</v>
      </c>
      <c r="C473" s="74" t="s">
        <v>50</v>
      </c>
      <c r="D473" s="74" t="s">
        <v>15</v>
      </c>
      <c r="E473" s="74" t="s">
        <v>116</v>
      </c>
      <c r="F473" s="74" t="s">
        <v>69</v>
      </c>
      <c r="G473" s="58">
        <f>54147+12800+7500+16800.8+210+850</f>
        <v>92307.8</v>
      </c>
      <c r="H473" s="58">
        <f>54147+12800+7500+16800.8+210</f>
        <v>91457.8</v>
      </c>
      <c r="I473" s="58">
        <f>54147+12800+7500+16800.8+210</f>
        <v>91457.8</v>
      </c>
    </row>
    <row r="474" spans="1:17" s="71" customFormat="1" ht="63.75" x14ac:dyDescent="0.2">
      <c r="A474" s="67" t="s">
        <v>285</v>
      </c>
      <c r="B474" s="68">
        <v>915</v>
      </c>
      <c r="C474" s="69" t="s">
        <v>50</v>
      </c>
      <c r="D474" s="69" t="s">
        <v>15</v>
      </c>
      <c r="E474" s="69" t="s">
        <v>91</v>
      </c>
      <c r="F474" s="69"/>
      <c r="G474" s="70">
        <f>G476+G475</f>
        <v>1335.1</v>
      </c>
      <c r="H474" s="70">
        <f>H476+H475</f>
        <v>977</v>
      </c>
      <c r="I474" s="70">
        <f>I476+I475</f>
        <v>977</v>
      </c>
    </row>
    <row r="475" spans="1:17" s="76" customFormat="1" ht="25.5" x14ac:dyDescent="0.2">
      <c r="A475" s="79" t="s">
        <v>75</v>
      </c>
      <c r="B475" s="77">
        <v>915</v>
      </c>
      <c r="C475" s="74" t="s">
        <v>50</v>
      </c>
      <c r="D475" s="74" t="s">
        <v>15</v>
      </c>
      <c r="E475" s="74" t="s">
        <v>91</v>
      </c>
      <c r="F475" s="75" t="s">
        <v>67</v>
      </c>
      <c r="G475" s="58">
        <f>19+3.826+0.395</f>
        <v>23.221</v>
      </c>
      <c r="H475" s="58">
        <v>19</v>
      </c>
      <c r="I475" s="58">
        <v>19</v>
      </c>
    </row>
    <row r="476" spans="1:17" s="76" customFormat="1" x14ac:dyDescent="0.2">
      <c r="A476" s="79" t="s">
        <v>68</v>
      </c>
      <c r="B476" s="78">
        <v>915</v>
      </c>
      <c r="C476" s="74" t="s">
        <v>50</v>
      </c>
      <c r="D476" s="74" t="s">
        <v>15</v>
      </c>
      <c r="E476" s="74" t="s">
        <v>91</v>
      </c>
      <c r="F476" s="74" t="s">
        <v>69</v>
      </c>
      <c r="G476" s="58">
        <f>958+216.174+120+17.705</f>
        <v>1311.8789999999999</v>
      </c>
      <c r="H476" s="58">
        <v>958</v>
      </c>
      <c r="I476" s="58">
        <v>958</v>
      </c>
    </row>
    <row r="477" spans="1:17" s="66" customFormat="1" x14ac:dyDescent="0.2">
      <c r="A477" s="62" t="s">
        <v>55</v>
      </c>
      <c r="B477" s="63">
        <v>915</v>
      </c>
      <c r="C477" s="64" t="s">
        <v>50</v>
      </c>
      <c r="D477" s="64" t="s">
        <v>17</v>
      </c>
      <c r="E477" s="64"/>
      <c r="F477" s="64"/>
      <c r="G477" s="65">
        <f>G480+G486+G490+G483+G488+G478</f>
        <v>135068</v>
      </c>
      <c r="H477" s="65">
        <f t="shared" ref="H477:I477" si="59">H480+H486+H490+H483+H488+H478</f>
        <v>117819</v>
      </c>
      <c r="I477" s="65">
        <f t="shared" si="59"/>
        <v>122587</v>
      </c>
    </row>
    <row r="478" spans="1:17" ht="89.25" x14ac:dyDescent="0.2">
      <c r="A478" s="18" t="s">
        <v>286</v>
      </c>
      <c r="B478" s="22">
        <v>915</v>
      </c>
      <c r="C478" s="19" t="s">
        <v>50</v>
      </c>
      <c r="D478" s="19" t="s">
        <v>17</v>
      </c>
      <c r="E478" s="19" t="s">
        <v>101</v>
      </c>
      <c r="F478" s="19"/>
      <c r="G478" s="20">
        <f>G479</f>
        <v>242</v>
      </c>
      <c r="H478" s="20">
        <f>H479</f>
        <v>1534</v>
      </c>
      <c r="I478" s="20">
        <f>I479</f>
        <v>1595</v>
      </c>
      <c r="J478" s="21"/>
      <c r="K478" s="21"/>
      <c r="L478" s="21"/>
      <c r="M478" s="21"/>
      <c r="N478" s="21"/>
      <c r="O478" s="21"/>
      <c r="P478" s="21"/>
      <c r="Q478" s="21"/>
    </row>
    <row r="479" spans="1:17" s="76" customFormat="1" x14ac:dyDescent="0.2">
      <c r="A479" s="79" t="s">
        <v>68</v>
      </c>
      <c r="B479" s="78">
        <v>915</v>
      </c>
      <c r="C479" s="74" t="s">
        <v>50</v>
      </c>
      <c r="D479" s="74" t="s">
        <v>17</v>
      </c>
      <c r="E479" s="74" t="s">
        <v>101</v>
      </c>
      <c r="F479" s="74" t="s">
        <v>69</v>
      </c>
      <c r="G479" s="58">
        <f>1482-350-150-350-390</f>
        <v>242</v>
      </c>
      <c r="H479" s="58">
        <v>1534</v>
      </c>
      <c r="I479" s="58">
        <v>1595</v>
      </c>
    </row>
    <row r="480" spans="1:17" s="71" customFormat="1" ht="38.25" x14ac:dyDescent="0.2">
      <c r="A480" s="67" t="s">
        <v>392</v>
      </c>
      <c r="B480" s="68">
        <v>915</v>
      </c>
      <c r="C480" s="69" t="s">
        <v>50</v>
      </c>
      <c r="D480" s="69" t="s">
        <v>17</v>
      </c>
      <c r="E480" s="69" t="s">
        <v>393</v>
      </c>
      <c r="F480" s="69"/>
      <c r="G480" s="70">
        <f>G482+G481</f>
        <v>8526</v>
      </c>
      <c r="H480" s="70">
        <f t="shared" ref="H480:I480" si="60">H482+H481</f>
        <v>0</v>
      </c>
      <c r="I480" s="70">
        <f t="shared" si="60"/>
        <v>0</v>
      </c>
    </row>
    <row r="481" spans="1:17" s="76" customFormat="1" ht="25.5" x14ac:dyDescent="0.2">
      <c r="A481" s="79" t="s">
        <v>75</v>
      </c>
      <c r="B481" s="78">
        <v>915</v>
      </c>
      <c r="C481" s="74" t="s">
        <v>50</v>
      </c>
      <c r="D481" s="74" t="s">
        <v>17</v>
      </c>
      <c r="E481" s="74" t="s">
        <v>393</v>
      </c>
      <c r="F481" s="74" t="s">
        <v>67</v>
      </c>
      <c r="G481" s="58">
        <f>29.1+3.09+5</f>
        <v>37.19</v>
      </c>
      <c r="H481" s="58">
        <v>0</v>
      </c>
      <c r="I481" s="58">
        <v>0</v>
      </c>
    </row>
    <row r="482" spans="1:17" s="76" customFormat="1" x14ac:dyDescent="0.2">
      <c r="A482" s="79" t="s">
        <v>68</v>
      </c>
      <c r="B482" s="78">
        <v>915</v>
      </c>
      <c r="C482" s="74" t="s">
        <v>50</v>
      </c>
      <c r="D482" s="74" t="s">
        <v>17</v>
      </c>
      <c r="E482" s="74" t="s">
        <v>393</v>
      </c>
      <c r="F482" s="74" t="s">
        <v>69</v>
      </c>
      <c r="G482" s="58">
        <f>6726-29.1+796.91+995</f>
        <v>8488.81</v>
      </c>
      <c r="H482" s="58">
        <v>0</v>
      </c>
      <c r="I482" s="58">
        <v>0</v>
      </c>
    </row>
    <row r="483" spans="1:17" ht="102" x14ac:dyDescent="0.2">
      <c r="A483" s="18" t="s">
        <v>287</v>
      </c>
      <c r="B483" s="22">
        <v>915</v>
      </c>
      <c r="C483" s="19" t="s">
        <v>50</v>
      </c>
      <c r="D483" s="19" t="s">
        <v>17</v>
      </c>
      <c r="E483" s="19" t="s">
        <v>105</v>
      </c>
      <c r="F483" s="19"/>
      <c r="G483" s="20">
        <f>G485+G484</f>
        <v>51525</v>
      </c>
      <c r="H483" s="20">
        <f>H485+H484</f>
        <v>57742</v>
      </c>
      <c r="I483" s="20">
        <f>I485+I484</f>
        <v>60051</v>
      </c>
      <c r="J483" s="21"/>
      <c r="K483" s="21"/>
      <c r="L483" s="21"/>
      <c r="M483" s="21"/>
      <c r="N483" s="21"/>
      <c r="O483" s="21"/>
      <c r="P483" s="21"/>
      <c r="Q483" s="21"/>
    </row>
    <row r="484" spans="1:17" s="26" customFormat="1" ht="25.5" x14ac:dyDescent="0.2">
      <c r="A484" s="28" t="s">
        <v>75</v>
      </c>
      <c r="B484" s="23">
        <v>915</v>
      </c>
      <c r="C484" s="24" t="s">
        <v>50</v>
      </c>
      <c r="D484" s="24" t="s">
        <v>17</v>
      </c>
      <c r="E484" s="19" t="s">
        <v>105</v>
      </c>
      <c r="F484" s="27" t="s">
        <v>67</v>
      </c>
      <c r="G484" s="25">
        <v>1</v>
      </c>
      <c r="H484" s="25">
        <v>1</v>
      </c>
      <c r="I484" s="25">
        <v>1</v>
      </c>
    </row>
    <row r="485" spans="1:17" s="76" customFormat="1" x14ac:dyDescent="0.2">
      <c r="A485" s="79" t="s">
        <v>68</v>
      </c>
      <c r="B485" s="78">
        <v>915</v>
      </c>
      <c r="C485" s="74" t="s">
        <v>50</v>
      </c>
      <c r="D485" s="74" t="s">
        <v>17</v>
      </c>
      <c r="E485" s="69" t="s">
        <v>105</v>
      </c>
      <c r="F485" s="74" t="s">
        <v>69</v>
      </c>
      <c r="G485" s="58">
        <f>55852-311-4017</f>
        <v>51524</v>
      </c>
      <c r="H485" s="58">
        <f>58077-336</f>
        <v>57741</v>
      </c>
      <c r="I485" s="58">
        <f>60400-350</f>
        <v>60050</v>
      </c>
    </row>
    <row r="486" spans="1:17" ht="38.25" x14ac:dyDescent="0.2">
      <c r="A486" s="54" t="s">
        <v>347</v>
      </c>
      <c r="B486" s="49">
        <v>915</v>
      </c>
      <c r="C486" s="19" t="s">
        <v>50</v>
      </c>
      <c r="D486" s="19" t="s">
        <v>17</v>
      </c>
      <c r="E486" s="19" t="s">
        <v>134</v>
      </c>
      <c r="F486" s="19"/>
      <c r="G486" s="20">
        <f>G487</f>
        <v>46184</v>
      </c>
      <c r="H486" s="20">
        <f t="shared" ref="H486:I486" si="61">H487</f>
        <v>30183</v>
      </c>
      <c r="I486" s="20">
        <f t="shared" si="61"/>
        <v>32581</v>
      </c>
      <c r="J486" s="21"/>
      <c r="K486" s="21"/>
      <c r="L486" s="21"/>
      <c r="M486" s="21"/>
      <c r="N486" s="21"/>
      <c r="O486" s="21"/>
      <c r="P486" s="21"/>
      <c r="Q486" s="21"/>
    </row>
    <row r="487" spans="1:17" x14ac:dyDescent="0.2">
      <c r="A487" s="28" t="s">
        <v>68</v>
      </c>
      <c r="B487" s="22">
        <v>915</v>
      </c>
      <c r="C487" s="24" t="s">
        <v>50</v>
      </c>
      <c r="D487" s="24" t="s">
        <v>17</v>
      </c>
      <c r="E487" s="24" t="s">
        <v>134</v>
      </c>
      <c r="F487" s="24" t="s">
        <v>69</v>
      </c>
      <c r="G487" s="25">
        <f>29411+16626+147</f>
        <v>46184</v>
      </c>
      <c r="H487" s="25">
        <f>30033+150</f>
        <v>30183</v>
      </c>
      <c r="I487" s="25">
        <f>32419+162</f>
        <v>32581</v>
      </c>
      <c r="J487" s="21"/>
      <c r="K487" s="21"/>
      <c r="L487" s="21"/>
      <c r="M487" s="21"/>
      <c r="N487" s="21"/>
      <c r="O487" s="21"/>
      <c r="P487" s="21"/>
      <c r="Q487" s="21"/>
    </row>
    <row r="488" spans="1:17" ht="38.25" x14ac:dyDescent="0.2">
      <c r="A488" s="54" t="s">
        <v>347</v>
      </c>
      <c r="B488" s="49">
        <v>915</v>
      </c>
      <c r="C488" s="19" t="s">
        <v>50</v>
      </c>
      <c r="D488" s="19" t="s">
        <v>17</v>
      </c>
      <c r="E488" s="19" t="s">
        <v>388</v>
      </c>
      <c r="F488" s="19"/>
      <c r="G488" s="20">
        <f>G489</f>
        <v>231</v>
      </c>
      <c r="H488" s="20">
        <f t="shared" ref="H488:I488" si="62">H489</f>
        <v>0</v>
      </c>
      <c r="I488" s="20">
        <f t="shared" si="62"/>
        <v>0</v>
      </c>
      <c r="J488" s="21"/>
      <c r="K488" s="21"/>
      <c r="L488" s="21"/>
      <c r="M488" s="21"/>
      <c r="N488" s="21"/>
      <c r="O488" s="21"/>
      <c r="P488" s="21"/>
      <c r="Q488" s="21"/>
    </row>
    <row r="489" spans="1:17" s="26" customFormat="1" ht="25.5" x14ac:dyDescent="0.2">
      <c r="A489" s="28" t="s">
        <v>75</v>
      </c>
      <c r="B489" s="23">
        <v>915</v>
      </c>
      <c r="C489" s="24" t="s">
        <v>50</v>
      </c>
      <c r="D489" s="24" t="s">
        <v>17</v>
      </c>
      <c r="E489" s="24" t="s">
        <v>388</v>
      </c>
      <c r="F489" s="27" t="s">
        <v>67</v>
      </c>
      <c r="G489" s="25">
        <v>231</v>
      </c>
      <c r="H489" s="25">
        <v>0</v>
      </c>
      <c r="I489" s="25">
        <v>0</v>
      </c>
    </row>
    <row r="490" spans="1:17" ht="39" customHeight="1" x14ac:dyDescent="0.2">
      <c r="A490" s="18" t="s">
        <v>345</v>
      </c>
      <c r="B490" s="22">
        <v>915</v>
      </c>
      <c r="C490" s="19" t="s">
        <v>50</v>
      </c>
      <c r="D490" s="19" t="s">
        <v>17</v>
      </c>
      <c r="E490" s="19" t="s">
        <v>107</v>
      </c>
      <c r="F490" s="19"/>
      <c r="G490" s="20">
        <f>G492+G491</f>
        <v>28360</v>
      </c>
      <c r="H490" s="20">
        <f>H492+H491</f>
        <v>28360</v>
      </c>
      <c r="I490" s="20">
        <f>I492+I491</f>
        <v>28360</v>
      </c>
      <c r="J490" s="21"/>
      <c r="K490" s="21"/>
      <c r="L490" s="21"/>
      <c r="M490" s="21"/>
      <c r="N490" s="21"/>
      <c r="O490" s="21"/>
      <c r="P490" s="21"/>
      <c r="Q490" s="21"/>
    </row>
    <row r="491" spans="1:17" s="26" customFormat="1" ht="25.5" x14ac:dyDescent="0.2">
      <c r="A491" s="28" t="s">
        <v>75</v>
      </c>
      <c r="B491" s="23">
        <v>915</v>
      </c>
      <c r="C491" s="24" t="s">
        <v>50</v>
      </c>
      <c r="D491" s="24" t="s">
        <v>17</v>
      </c>
      <c r="E491" s="24" t="s">
        <v>107</v>
      </c>
      <c r="F491" s="27" t="s">
        <v>67</v>
      </c>
      <c r="G491" s="25">
        <v>1</v>
      </c>
      <c r="H491" s="25">
        <v>1</v>
      </c>
      <c r="I491" s="25">
        <v>1</v>
      </c>
    </row>
    <row r="492" spans="1:17" s="26" customFormat="1" x14ac:dyDescent="0.2">
      <c r="A492" s="28" t="s">
        <v>68</v>
      </c>
      <c r="B492" s="31">
        <v>915</v>
      </c>
      <c r="C492" s="24" t="s">
        <v>50</v>
      </c>
      <c r="D492" s="24" t="s">
        <v>17</v>
      </c>
      <c r="E492" s="24" t="s">
        <v>107</v>
      </c>
      <c r="F492" s="24" t="s">
        <v>69</v>
      </c>
      <c r="G492" s="25">
        <v>28359</v>
      </c>
      <c r="H492" s="25">
        <v>28359</v>
      </c>
      <c r="I492" s="25">
        <v>28359</v>
      </c>
    </row>
    <row r="493" spans="1:17" s="9" customFormat="1" x14ac:dyDescent="0.2">
      <c r="A493" s="11" t="s">
        <v>56</v>
      </c>
      <c r="B493" s="14">
        <v>915</v>
      </c>
      <c r="C493" s="8" t="s">
        <v>50</v>
      </c>
      <c r="D493" s="8" t="s">
        <v>49</v>
      </c>
      <c r="E493" s="8"/>
      <c r="F493" s="8"/>
      <c r="G493" s="4">
        <f>G494+G497+G501+G499+G505</f>
        <v>25838.9</v>
      </c>
      <c r="H493" s="4">
        <f>H494+H497+H501+H499+H505</f>
        <v>22618.400000000001</v>
      </c>
      <c r="I493" s="4">
        <f>I494+I497+I501+I499+I505</f>
        <v>22618.400000000001</v>
      </c>
      <c r="J493" s="106"/>
      <c r="K493" s="106"/>
      <c r="L493" s="106"/>
      <c r="M493" s="106"/>
      <c r="N493" s="106"/>
      <c r="O493" s="106"/>
      <c r="P493" s="106"/>
      <c r="Q493" s="106"/>
    </row>
    <row r="494" spans="1:17" x14ac:dyDescent="0.2">
      <c r="A494" s="18" t="s">
        <v>288</v>
      </c>
      <c r="B494" s="22">
        <v>915</v>
      </c>
      <c r="C494" s="19" t="s">
        <v>50</v>
      </c>
      <c r="D494" s="19" t="s">
        <v>49</v>
      </c>
      <c r="E494" s="19" t="s">
        <v>289</v>
      </c>
      <c r="F494" s="19"/>
      <c r="G494" s="20">
        <f>G495+G496</f>
        <v>2328.6999999999998</v>
      </c>
      <c r="H494" s="20">
        <f>H495+H496</f>
        <v>1338.4</v>
      </c>
      <c r="I494" s="20">
        <f>I495+I496</f>
        <v>1338.4</v>
      </c>
      <c r="J494" s="104"/>
      <c r="K494" s="104"/>
      <c r="L494" s="104"/>
      <c r="M494" s="104"/>
      <c r="N494" s="104"/>
      <c r="O494" s="104"/>
      <c r="P494" s="104"/>
      <c r="Q494" s="104"/>
    </row>
    <row r="495" spans="1:17" s="26" customFormat="1" ht="25.5" x14ac:dyDescent="0.2">
      <c r="A495" s="28" t="s">
        <v>75</v>
      </c>
      <c r="B495" s="31">
        <v>915</v>
      </c>
      <c r="C495" s="24" t="s">
        <v>50</v>
      </c>
      <c r="D495" s="24" t="s">
        <v>49</v>
      </c>
      <c r="E495" s="24" t="s">
        <v>289</v>
      </c>
      <c r="F495" s="24" t="s">
        <v>67</v>
      </c>
      <c r="G495" s="25">
        <f>2.2+80+325.2+450+20+57.2+270.4+0.4+226.1+380.7-20-7</f>
        <v>1785.2</v>
      </c>
      <c r="H495" s="25">
        <f>2.2+80+325.2+450+20</f>
        <v>877.4</v>
      </c>
      <c r="I495" s="25">
        <f>2.2+80+325.2+450+20</f>
        <v>877.4</v>
      </c>
      <c r="J495" s="105"/>
      <c r="K495" s="105"/>
      <c r="L495" s="105"/>
      <c r="M495" s="105"/>
      <c r="N495" s="105"/>
      <c r="O495" s="105"/>
      <c r="P495" s="105"/>
      <c r="Q495" s="105"/>
    </row>
    <row r="496" spans="1:17" x14ac:dyDescent="0.2">
      <c r="A496" s="28" t="s">
        <v>68</v>
      </c>
      <c r="B496" s="23">
        <v>915</v>
      </c>
      <c r="C496" s="24" t="s">
        <v>50</v>
      </c>
      <c r="D496" s="24" t="s">
        <v>49</v>
      </c>
      <c r="E496" s="24" t="s">
        <v>289</v>
      </c>
      <c r="F496" s="27" t="s">
        <v>69</v>
      </c>
      <c r="G496" s="25">
        <f>429+32+4+80-1.5</f>
        <v>543.5</v>
      </c>
      <c r="H496" s="25">
        <f>429+32</f>
        <v>461</v>
      </c>
      <c r="I496" s="25">
        <f>429+32</f>
        <v>461</v>
      </c>
      <c r="J496" s="104"/>
      <c r="K496" s="104"/>
      <c r="L496" s="104"/>
      <c r="M496" s="104"/>
      <c r="N496" s="104"/>
      <c r="O496" s="104"/>
      <c r="P496" s="104"/>
      <c r="Q496" s="104"/>
    </row>
    <row r="497" spans="1:17" x14ac:dyDescent="0.2">
      <c r="A497" s="18" t="s">
        <v>290</v>
      </c>
      <c r="B497" s="22">
        <v>915</v>
      </c>
      <c r="C497" s="19" t="s">
        <v>50</v>
      </c>
      <c r="D497" s="19" t="s">
        <v>49</v>
      </c>
      <c r="E497" s="19" t="s">
        <v>291</v>
      </c>
      <c r="F497" s="19"/>
      <c r="G497" s="20">
        <f>G498</f>
        <v>950.69999999999993</v>
      </c>
      <c r="H497" s="20">
        <f>H498</f>
        <v>818</v>
      </c>
      <c r="I497" s="20">
        <f>I498</f>
        <v>818</v>
      </c>
      <c r="J497" s="104"/>
      <c r="K497" s="104"/>
      <c r="L497" s="104"/>
      <c r="M497" s="104"/>
      <c r="N497" s="104"/>
      <c r="O497" s="104"/>
      <c r="P497" s="104"/>
      <c r="Q497" s="104"/>
    </row>
    <row r="498" spans="1:17" s="26" customFormat="1" ht="25.5" x14ac:dyDescent="0.2">
      <c r="A498" s="28" t="s">
        <v>143</v>
      </c>
      <c r="B498" s="31">
        <v>915</v>
      </c>
      <c r="C498" s="24" t="s">
        <v>50</v>
      </c>
      <c r="D498" s="24" t="s">
        <v>49</v>
      </c>
      <c r="E498" s="24" t="s">
        <v>291</v>
      </c>
      <c r="F498" s="24" t="s">
        <v>64</v>
      </c>
      <c r="G498" s="25">
        <f>818+39.9+72.8+20</f>
        <v>950.69999999999993</v>
      </c>
      <c r="H498" s="25">
        <v>818</v>
      </c>
      <c r="I498" s="25">
        <v>818</v>
      </c>
      <c r="J498" s="105"/>
      <c r="K498" s="105"/>
      <c r="L498" s="105"/>
      <c r="M498" s="105"/>
      <c r="N498" s="105"/>
      <c r="O498" s="105"/>
      <c r="P498" s="105"/>
      <c r="Q498" s="105"/>
    </row>
    <row r="499" spans="1:17" s="71" customFormat="1" x14ac:dyDescent="0.2">
      <c r="A499" s="67" t="s">
        <v>331</v>
      </c>
      <c r="B499" s="68">
        <v>915</v>
      </c>
      <c r="C499" s="69" t="s">
        <v>50</v>
      </c>
      <c r="D499" s="69" t="s">
        <v>49</v>
      </c>
      <c r="E499" s="69" t="s">
        <v>332</v>
      </c>
      <c r="F499" s="69"/>
      <c r="G499" s="70">
        <f>G500</f>
        <v>0</v>
      </c>
      <c r="H499" s="70">
        <f>H500</f>
        <v>450</v>
      </c>
      <c r="I499" s="70">
        <f>I500</f>
        <v>450</v>
      </c>
    </row>
    <row r="500" spans="1:17" s="76" customFormat="1" ht="25.5" x14ac:dyDescent="0.2">
      <c r="A500" s="79" t="s">
        <v>75</v>
      </c>
      <c r="B500" s="78">
        <v>915</v>
      </c>
      <c r="C500" s="74" t="s">
        <v>50</v>
      </c>
      <c r="D500" s="74" t="s">
        <v>49</v>
      </c>
      <c r="E500" s="74" t="s">
        <v>332</v>
      </c>
      <c r="F500" s="74" t="s">
        <v>67</v>
      </c>
      <c r="G500" s="58">
        <f>450-97.1-72.8-50-4-226.1</f>
        <v>0</v>
      </c>
      <c r="H500" s="58">
        <v>450</v>
      </c>
      <c r="I500" s="58">
        <v>450</v>
      </c>
    </row>
    <row r="501" spans="1:17" s="71" customFormat="1" ht="38.25" x14ac:dyDescent="0.2">
      <c r="A501" s="67" t="s">
        <v>292</v>
      </c>
      <c r="B501" s="68">
        <v>915</v>
      </c>
      <c r="C501" s="69" t="s">
        <v>50</v>
      </c>
      <c r="D501" s="69" t="s">
        <v>49</v>
      </c>
      <c r="E501" s="69" t="s">
        <v>99</v>
      </c>
      <c r="F501" s="69"/>
      <c r="G501" s="70">
        <f>G502+G503+G504</f>
        <v>22272</v>
      </c>
      <c r="H501" s="70">
        <f>H502+H503+H504</f>
        <v>19783</v>
      </c>
      <c r="I501" s="70">
        <f>I502+I503+I504</f>
        <v>19783</v>
      </c>
    </row>
    <row r="502" spans="1:17" s="26" customFormat="1" ht="51.75" customHeight="1" x14ac:dyDescent="0.2">
      <c r="A502" s="23" t="s">
        <v>65</v>
      </c>
      <c r="B502" s="31">
        <v>915</v>
      </c>
      <c r="C502" s="24" t="s">
        <v>50</v>
      </c>
      <c r="D502" s="24" t="s">
        <v>49</v>
      </c>
      <c r="E502" s="24" t="s">
        <v>99</v>
      </c>
      <c r="F502" s="27" t="s">
        <v>66</v>
      </c>
      <c r="G502" s="25">
        <f>18510.7+178+2464-1.5</f>
        <v>21151.200000000001</v>
      </c>
      <c r="H502" s="25">
        <f>18510.7+178</f>
        <v>18688.7</v>
      </c>
      <c r="I502" s="25">
        <f>18510.7+178</f>
        <v>18688.7</v>
      </c>
    </row>
    <row r="503" spans="1:17" s="26" customFormat="1" ht="25.5" x14ac:dyDescent="0.2">
      <c r="A503" s="28" t="s">
        <v>75</v>
      </c>
      <c r="B503" s="31">
        <v>915</v>
      </c>
      <c r="C503" s="24" t="s">
        <v>50</v>
      </c>
      <c r="D503" s="24" t="s">
        <v>49</v>
      </c>
      <c r="E503" s="24" t="s">
        <v>99</v>
      </c>
      <c r="F503" s="27" t="s">
        <v>67</v>
      </c>
      <c r="G503" s="25">
        <f>1090.3-7+24+1.5</f>
        <v>1108.8</v>
      </c>
      <c r="H503" s="25">
        <v>1090.3</v>
      </c>
      <c r="I503" s="25">
        <v>1090.3</v>
      </c>
      <c r="J503" s="76"/>
      <c r="K503" s="76"/>
      <c r="L503" s="76"/>
      <c r="M503" s="76"/>
      <c r="N503" s="76"/>
      <c r="O503" s="76"/>
      <c r="P503" s="76"/>
      <c r="Q503" s="76"/>
    </row>
    <row r="504" spans="1:17" s="76" customFormat="1" x14ac:dyDescent="0.2">
      <c r="A504" s="79" t="s">
        <v>71</v>
      </c>
      <c r="B504" s="78">
        <v>915</v>
      </c>
      <c r="C504" s="74" t="s">
        <v>50</v>
      </c>
      <c r="D504" s="74" t="s">
        <v>49</v>
      </c>
      <c r="E504" s="74" t="s">
        <v>99</v>
      </c>
      <c r="F504" s="74" t="s">
        <v>72</v>
      </c>
      <c r="G504" s="58">
        <f>4+7+1</f>
        <v>12</v>
      </c>
      <c r="H504" s="58">
        <v>4</v>
      </c>
      <c r="I504" s="58">
        <v>4</v>
      </c>
    </row>
    <row r="505" spans="1:17" x14ac:dyDescent="0.2">
      <c r="A505" s="18" t="s">
        <v>181</v>
      </c>
      <c r="B505" s="18">
        <v>915</v>
      </c>
      <c r="C505" s="19" t="s">
        <v>50</v>
      </c>
      <c r="D505" s="19" t="s">
        <v>49</v>
      </c>
      <c r="E505" s="16" t="s">
        <v>182</v>
      </c>
      <c r="F505" s="19"/>
      <c r="G505" s="4">
        <f>G506+G507</f>
        <v>287.5</v>
      </c>
      <c r="H505" s="4">
        <f>H506+H507</f>
        <v>229</v>
      </c>
      <c r="I505" s="4">
        <f>I506+I507</f>
        <v>229</v>
      </c>
      <c r="J505" s="104"/>
      <c r="K505" s="104"/>
      <c r="L505" s="104"/>
      <c r="M505" s="104"/>
      <c r="N505" s="104"/>
      <c r="O505" s="104"/>
      <c r="P505" s="104"/>
      <c r="Q505" s="104"/>
    </row>
    <row r="506" spans="1:17" ht="25.5" x14ac:dyDescent="0.2">
      <c r="A506" s="28" t="s">
        <v>75</v>
      </c>
      <c r="B506" s="18">
        <v>915</v>
      </c>
      <c r="C506" s="24" t="s">
        <v>50</v>
      </c>
      <c r="D506" s="24" t="s">
        <v>49</v>
      </c>
      <c r="E506" s="24" t="s">
        <v>182</v>
      </c>
      <c r="F506" s="24" t="s">
        <v>67</v>
      </c>
      <c r="G506" s="20">
        <f>129-14</f>
        <v>115</v>
      </c>
      <c r="H506" s="20">
        <v>129</v>
      </c>
      <c r="I506" s="20">
        <v>129</v>
      </c>
      <c r="J506" s="104"/>
      <c r="K506" s="104"/>
      <c r="L506" s="104"/>
      <c r="M506" s="104"/>
      <c r="N506" s="104"/>
      <c r="O506" s="104"/>
      <c r="P506" s="104"/>
      <c r="Q506" s="104"/>
    </row>
    <row r="507" spans="1:17" x14ac:dyDescent="0.2">
      <c r="A507" s="28" t="s">
        <v>68</v>
      </c>
      <c r="B507" s="18">
        <v>915</v>
      </c>
      <c r="C507" s="24" t="s">
        <v>50</v>
      </c>
      <c r="D507" s="24" t="s">
        <v>49</v>
      </c>
      <c r="E507" s="24" t="s">
        <v>182</v>
      </c>
      <c r="F507" s="24" t="s">
        <v>69</v>
      </c>
      <c r="G507" s="20">
        <f>100+50+22.5</f>
        <v>172.5</v>
      </c>
      <c r="H507" s="20">
        <v>100</v>
      </c>
      <c r="I507" s="20">
        <v>100</v>
      </c>
      <c r="J507" s="104"/>
      <c r="K507" s="104"/>
      <c r="L507" s="104"/>
      <c r="M507" s="104"/>
      <c r="N507" s="104"/>
      <c r="O507" s="104"/>
      <c r="P507" s="104"/>
      <c r="Q507" s="104"/>
    </row>
    <row r="508" spans="1:17" s="9" customFormat="1" ht="30.75" customHeight="1" x14ac:dyDescent="0.2">
      <c r="A508" s="40" t="s">
        <v>47</v>
      </c>
      <c r="B508" s="37">
        <v>919</v>
      </c>
      <c r="C508" s="41"/>
      <c r="D508" s="41"/>
      <c r="E508" s="41"/>
      <c r="F508" s="41"/>
      <c r="G508" s="39">
        <f>G517+G532+G591+G513+G509</f>
        <v>639519.93089000008</v>
      </c>
      <c r="H508" s="39">
        <f t="shared" ref="H508:I508" si="63">H517+H532+H591+H513+H509</f>
        <v>127409.99382</v>
      </c>
      <c r="I508" s="39">
        <f t="shared" si="63"/>
        <v>106932.68313</v>
      </c>
    </row>
    <row r="509" spans="1:17" s="128" customFormat="1" x14ac:dyDescent="0.2">
      <c r="A509" s="125" t="s">
        <v>59</v>
      </c>
      <c r="B509" s="42">
        <v>919</v>
      </c>
      <c r="C509" s="1" t="s">
        <v>11</v>
      </c>
      <c r="D509" s="126"/>
      <c r="E509" s="126"/>
      <c r="F509" s="127"/>
      <c r="G509" s="2">
        <f>G510</f>
        <v>698</v>
      </c>
      <c r="H509" s="2">
        <f t="shared" ref="H509:I511" si="64">H510</f>
        <v>0</v>
      </c>
      <c r="I509" s="2">
        <f t="shared" si="64"/>
        <v>0</v>
      </c>
      <c r="J509" s="122"/>
      <c r="K509" s="122"/>
      <c r="L509" s="122"/>
      <c r="M509" s="122"/>
      <c r="N509" s="122"/>
      <c r="O509" s="122"/>
      <c r="P509" s="122"/>
      <c r="Q509" s="122"/>
    </row>
    <row r="510" spans="1:17" s="9" customFormat="1" x14ac:dyDescent="0.2">
      <c r="A510" s="11" t="s">
        <v>23</v>
      </c>
      <c r="B510" s="14">
        <v>919</v>
      </c>
      <c r="C510" s="8" t="s">
        <v>11</v>
      </c>
      <c r="D510" s="8" t="s">
        <v>60</v>
      </c>
      <c r="E510" s="8"/>
      <c r="F510" s="8"/>
      <c r="G510" s="4">
        <f>G511</f>
        <v>698</v>
      </c>
      <c r="H510" s="4">
        <f t="shared" si="64"/>
        <v>0</v>
      </c>
      <c r="I510" s="4">
        <f t="shared" si="64"/>
        <v>0</v>
      </c>
      <c r="J510" s="106"/>
      <c r="K510" s="106"/>
      <c r="L510" s="106"/>
      <c r="M510" s="106"/>
      <c r="N510" s="106"/>
      <c r="O510" s="106"/>
      <c r="P510" s="106"/>
      <c r="Q510" s="106"/>
    </row>
    <row r="511" spans="1:17" x14ac:dyDescent="0.2">
      <c r="A511" s="18" t="s">
        <v>209</v>
      </c>
      <c r="B511" s="22">
        <v>919</v>
      </c>
      <c r="C511" s="19" t="s">
        <v>11</v>
      </c>
      <c r="D511" s="19" t="s">
        <v>60</v>
      </c>
      <c r="E511" s="5" t="s">
        <v>210</v>
      </c>
      <c r="F511" s="5"/>
      <c r="G511" s="6">
        <f>G512</f>
        <v>698</v>
      </c>
      <c r="H511" s="6">
        <f t="shared" si="64"/>
        <v>0</v>
      </c>
      <c r="I511" s="6">
        <f t="shared" si="64"/>
        <v>0</v>
      </c>
      <c r="J511" s="104"/>
      <c r="K511" s="104"/>
      <c r="L511" s="104"/>
      <c r="M511" s="104"/>
      <c r="N511" s="104"/>
      <c r="O511" s="104"/>
      <c r="P511" s="104"/>
      <c r="Q511" s="104"/>
    </row>
    <row r="512" spans="1:17" s="26" customFormat="1" x14ac:dyDescent="0.2">
      <c r="A512" s="28" t="s">
        <v>71</v>
      </c>
      <c r="B512" s="32">
        <v>919</v>
      </c>
      <c r="C512" s="24" t="s">
        <v>11</v>
      </c>
      <c r="D512" s="24" t="s">
        <v>60</v>
      </c>
      <c r="E512" s="24" t="s">
        <v>210</v>
      </c>
      <c r="F512" s="27" t="s">
        <v>72</v>
      </c>
      <c r="G512" s="25">
        <f>975-277</f>
        <v>698</v>
      </c>
      <c r="H512" s="25">
        <v>0</v>
      </c>
      <c r="I512" s="25">
        <v>0</v>
      </c>
      <c r="J512" s="105"/>
      <c r="K512" s="105"/>
      <c r="L512" s="105"/>
      <c r="M512" s="105"/>
      <c r="N512" s="105"/>
      <c r="O512" s="105"/>
      <c r="P512" s="105"/>
      <c r="Q512" s="105"/>
    </row>
    <row r="513" spans="1:17" s="3" customFormat="1" ht="25.5" x14ac:dyDescent="0.2">
      <c r="A513" s="13" t="s">
        <v>5</v>
      </c>
      <c r="B513" s="42">
        <v>919</v>
      </c>
      <c r="C513" s="1" t="s">
        <v>15</v>
      </c>
      <c r="D513" s="1"/>
      <c r="E513" s="1"/>
      <c r="F513" s="1"/>
      <c r="G513" s="2">
        <f t="shared" ref="G513:I515" si="65">G514</f>
        <v>2845.8</v>
      </c>
      <c r="H513" s="2">
        <f t="shared" si="65"/>
        <v>2070.6</v>
      </c>
      <c r="I513" s="2">
        <f t="shared" si="65"/>
        <v>2070.6</v>
      </c>
      <c r="J513" s="120"/>
      <c r="K513" s="120"/>
      <c r="L513" s="120"/>
      <c r="M513" s="120"/>
      <c r="N513" s="120"/>
      <c r="O513" s="120"/>
      <c r="P513" s="120"/>
      <c r="Q513" s="120"/>
    </row>
    <row r="514" spans="1:17" s="9" customFormat="1" ht="38.25" x14ac:dyDescent="0.2">
      <c r="A514" s="11" t="s">
        <v>80</v>
      </c>
      <c r="B514" s="14">
        <v>919</v>
      </c>
      <c r="C514" s="8" t="s">
        <v>15</v>
      </c>
      <c r="D514" s="8" t="s">
        <v>25</v>
      </c>
      <c r="E514" s="8"/>
      <c r="F514" s="8"/>
      <c r="G514" s="4">
        <f t="shared" si="65"/>
        <v>2845.8</v>
      </c>
      <c r="H514" s="4">
        <f t="shared" si="65"/>
        <v>2070.6</v>
      </c>
      <c r="I514" s="4">
        <f t="shared" si="65"/>
        <v>2070.6</v>
      </c>
      <c r="J514" s="106"/>
      <c r="K514" s="106"/>
      <c r="L514" s="106"/>
      <c r="M514" s="106"/>
      <c r="N514" s="106"/>
      <c r="O514" s="106"/>
      <c r="P514" s="106"/>
      <c r="Q514" s="106"/>
    </row>
    <row r="515" spans="1:17" s="26" customFormat="1" x14ac:dyDescent="0.2">
      <c r="A515" s="51" t="s">
        <v>162</v>
      </c>
      <c r="B515" s="51">
        <v>919</v>
      </c>
      <c r="C515" s="19" t="s">
        <v>15</v>
      </c>
      <c r="D515" s="19" t="s">
        <v>25</v>
      </c>
      <c r="E515" s="19" t="s">
        <v>163</v>
      </c>
      <c r="F515" s="19"/>
      <c r="G515" s="20">
        <f t="shared" si="65"/>
        <v>2845.8</v>
      </c>
      <c r="H515" s="20">
        <f t="shared" si="65"/>
        <v>2070.6</v>
      </c>
      <c r="I515" s="20">
        <f t="shared" si="65"/>
        <v>2070.6</v>
      </c>
      <c r="J515" s="105"/>
      <c r="K515" s="105"/>
      <c r="L515" s="105"/>
      <c r="M515" s="105"/>
      <c r="N515" s="105"/>
      <c r="O515" s="105"/>
      <c r="P515" s="105"/>
      <c r="Q515" s="105"/>
    </row>
    <row r="516" spans="1:17" s="26" customFormat="1" ht="25.5" x14ac:dyDescent="0.2">
      <c r="A516" s="28" t="s">
        <v>143</v>
      </c>
      <c r="B516" s="23">
        <v>919</v>
      </c>
      <c r="C516" s="24" t="s">
        <v>15</v>
      </c>
      <c r="D516" s="24" t="s">
        <v>25</v>
      </c>
      <c r="E516" s="24" t="s">
        <v>163</v>
      </c>
      <c r="F516" s="27" t="s">
        <v>64</v>
      </c>
      <c r="G516" s="25">
        <f>2054.4+16.2+212.6+284.8+13.9+263.9</f>
        <v>2845.8</v>
      </c>
      <c r="H516" s="25">
        <f>2054.4+16.2</f>
        <v>2070.6</v>
      </c>
      <c r="I516" s="25">
        <f>2054.4+16.2</f>
        <v>2070.6</v>
      </c>
      <c r="J516" s="105"/>
      <c r="K516" s="105"/>
      <c r="L516" s="105"/>
      <c r="M516" s="105"/>
      <c r="N516" s="105"/>
      <c r="O516" s="105"/>
      <c r="P516" s="105"/>
      <c r="Q516" s="105"/>
    </row>
    <row r="517" spans="1:17" s="3" customFormat="1" x14ac:dyDescent="0.2">
      <c r="A517" s="13" t="s">
        <v>26</v>
      </c>
      <c r="B517" s="42">
        <v>919</v>
      </c>
      <c r="C517" s="1" t="s">
        <v>17</v>
      </c>
      <c r="D517" s="1"/>
      <c r="E517" s="1"/>
      <c r="F517" s="1"/>
      <c r="G517" s="2">
        <f>G518+G521</f>
        <v>314011.92000000004</v>
      </c>
      <c r="H517" s="2">
        <f>H518+H521</f>
        <v>62050.2</v>
      </c>
      <c r="I517" s="2">
        <f>I518+I521</f>
        <v>41464.5</v>
      </c>
      <c r="J517" s="120"/>
      <c r="K517" s="120"/>
      <c r="L517" s="120"/>
      <c r="M517" s="120"/>
      <c r="N517" s="120"/>
      <c r="O517" s="120"/>
      <c r="P517" s="120"/>
      <c r="Q517" s="120"/>
    </row>
    <row r="518" spans="1:17" s="9" customFormat="1" x14ac:dyDescent="0.2">
      <c r="A518" s="11" t="s">
        <v>27</v>
      </c>
      <c r="B518" s="14">
        <v>919</v>
      </c>
      <c r="C518" s="8" t="s">
        <v>17</v>
      </c>
      <c r="D518" s="8" t="s">
        <v>13</v>
      </c>
      <c r="E518" s="8"/>
      <c r="F518" s="8"/>
      <c r="G518" s="4">
        <f t="shared" ref="G518:I519" si="66">G519</f>
        <v>92442.1</v>
      </c>
      <c r="H518" s="4">
        <f t="shared" si="66"/>
        <v>0</v>
      </c>
      <c r="I518" s="4">
        <f t="shared" si="66"/>
        <v>0</v>
      </c>
    </row>
    <row r="519" spans="1:17" ht="38.25" x14ac:dyDescent="0.2">
      <c r="A519" s="18" t="s">
        <v>376</v>
      </c>
      <c r="B519" s="22">
        <v>919</v>
      </c>
      <c r="C519" s="19" t="s">
        <v>17</v>
      </c>
      <c r="D519" s="19" t="s">
        <v>13</v>
      </c>
      <c r="E519" s="19" t="s">
        <v>297</v>
      </c>
      <c r="F519" s="19"/>
      <c r="G519" s="20">
        <f t="shared" si="66"/>
        <v>92442.1</v>
      </c>
      <c r="H519" s="20">
        <f t="shared" si="66"/>
        <v>0</v>
      </c>
      <c r="I519" s="20">
        <f t="shared" si="66"/>
        <v>0</v>
      </c>
      <c r="J519" s="21"/>
      <c r="K519" s="21"/>
      <c r="L519" s="21"/>
      <c r="M519" s="21"/>
      <c r="N519" s="21"/>
      <c r="O519" s="21"/>
      <c r="P519" s="21"/>
      <c r="Q519" s="21"/>
    </row>
    <row r="520" spans="1:17" s="76" customFormat="1" x14ac:dyDescent="0.2">
      <c r="A520" s="79" t="s">
        <v>71</v>
      </c>
      <c r="B520" s="78">
        <v>919</v>
      </c>
      <c r="C520" s="74" t="s">
        <v>17</v>
      </c>
      <c r="D520" s="74" t="s">
        <v>13</v>
      </c>
      <c r="E520" s="74" t="s">
        <v>297</v>
      </c>
      <c r="F520" s="74" t="s">
        <v>72</v>
      </c>
      <c r="G520" s="58">
        <f>34883.8+11067.8+46490.5</f>
        <v>92442.1</v>
      </c>
      <c r="H520" s="58"/>
      <c r="I520" s="58"/>
    </row>
    <row r="521" spans="1:17" s="9" customFormat="1" x14ac:dyDescent="0.2">
      <c r="A521" s="11" t="s">
        <v>78</v>
      </c>
      <c r="B521" s="14">
        <v>919</v>
      </c>
      <c r="C521" s="8" t="s">
        <v>17</v>
      </c>
      <c r="D521" s="8" t="s">
        <v>25</v>
      </c>
      <c r="E521" s="8"/>
      <c r="F521" s="8"/>
      <c r="G521" s="4">
        <f>G530+G526+G528+G524+G522</f>
        <v>221569.82</v>
      </c>
      <c r="H521" s="4">
        <f t="shared" ref="H521:I521" si="67">H530+H526+H528+H524</f>
        <v>62050.2</v>
      </c>
      <c r="I521" s="4">
        <f t="shared" si="67"/>
        <v>41464.5</v>
      </c>
      <c r="J521" s="106"/>
      <c r="K521" s="106"/>
      <c r="L521" s="106"/>
      <c r="M521" s="106"/>
      <c r="N521" s="106"/>
      <c r="O521" s="106"/>
      <c r="P521" s="106"/>
      <c r="Q521" s="106"/>
    </row>
    <row r="522" spans="1:17" ht="69" customHeight="1" x14ac:dyDescent="0.2">
      <c r="A522" s="18" t="s">
        <v>399</v>
      </c>
      <c r="B522" s="22">
        <v>919</v>
      </c>
      <c r="C522" s="19" t="s">
        <v>17</v>
      </c>
      <c r="D522" s="19" t="s">
        <v>25</v>
      </c>
      <c r="E522" s="19" t="s">
        <v>400</v>
      </c>
      <c r="F522" s="19"/>
      <c r="G522" s="20">
        <f>G523</f>
        <v>102380.02</v>
      </c>
      <c r="H522" s="20">
        <f>H523</f>
        <v>0</v>
      </c>
      <c r="I522" s="20">
        <f>I523</f>
        <v>0</v>
      </c>
      <c r="J522" s="21"/>
      <c r="K522" s="21"/>
      <c r="L522" s="21"/>
      <c r="M522" s="21"/>
      <c r="N522" s="21"/>
      <c r="O522" s="21"/>
      <c r="P522" s="21"/>
      <c r="Q522" s="21"/>
    </row>
    <row r="523" spans="1:17" s="26" customFormat="1" ht="25.5" x14ac:dyDescent="0.2">
      <c r="A523" s="28" t="s">
        <v>143</v>
      </c>
      <c r="B523" s="31">
        <v>919</v>
      </c>
      <c r="C523" s="24" t="s">
        <v>17</v>
      </c>
      <c r="D523" s="24" t="s">
        <v>25</v>
      </c>
      <c r="E523" s="24" t="s">
        <v>400</v>
      </c>
      <c r="F523" s="24" t="s">
        <v>64</v>
      </c>
      <c r="G523" s="25">
        <f>30000+72380.02</f>
        <v>102380.02</v>
      </c>
      <c r="H523" s="25">
        <v>0</v>
      </c>
      <c r="I523" s="25">
        <v>0</v>
      </c>
    </row>
    <row r="524" spans="1:17" ht="69" customHeight="1" x14ac:dyDescent="0.2">
      <c r="A524" s="18" t="s">
        <v>399</v>
      </c>
      <c r="B524" s="22">
        <v>919</v>
      </c>
      <c r="C524" s="19" t="s">
        <v>17</v>
      </c>
      <c r="D524" s="19" t="s">
        <v>25</v>
      </c>
      <c r="E524" s="19" t="s">
        <v>403</v>
      </c>
      <c r="F524" s="19"/>
      <c r="G524" s="20">
        <f>G525</f>
        <v>5120</v>
      </c>
      <c r="H524" s="20">
        <f>H525</f>
        <v>0</v>
      </c>
      <c r="I524" s="20">
        <f>I525</f>
        <v>0</v>
      </c>
      <c r="J524" s="21"/>
      <c r="K524" s="21"/>
      <c r="L524" s="21"/>
      <c r="M524" s="21"/>
      <c r="N524" s="21"/>
      <c r="O524" s="21"/>
      <c r="P524" s="21"/>
      <c r="Q524" s="21"/>
    </row>
    <row r="525" spans="1:17" s="26" customFormat="1" ht="25.5" x14ac:dyDescent="0.2">
      <c r="A525" s="28" t="s">
        <v>143</v>
      </c>
      <c r="B525" s="31">
        <v>919</v>
      </c>
      <c r="C525" s="24" t="s">
        <v>17</v>
      </c>
      <c r="D525" s="24" t="s">
        <v>25</v>
      </c>
      <c r="E525" s="24" t="s">
        <v>403</v>
      </c>
      <c r="F525" s="24" t="s">
        <v>64</v>
      </c>
      <c r="G525" s="25">
        <f>1500+3620</f>
        <v>5120</v>
      </c>
      <c r="H525" s="25">
        <v>0</v>
      </c>
      <c r="I525" s="25">
        <v>0</v>
      </c>
    </row>
    <row r="526" spans="1:17" ht="25.5" x14ac:dyDescent="0.2">
      <c r="A526" s="18" t="s">
        <v>299</v>
      </c>
      <c r="B526" s="22">
        <v>919</v>
      </c>
      <c r="C526" s="19" t="s">
        <v>17</v>
      </c>
      <c r="D526" s="19" t="s">
        <v>25</v>
      </c>
      <c r="E526" s="19" t="s">
        <v>298</v>
      </c>
      <c r="F526" s="19"/>
      <c r="G526" s="20">
        <f>G527</f>
        <v>98988.6</v>
      </c>
      <c r="H526" s="20">
        <f>H527</f>
        <v>53970.1</v>
      </c>
      <c r="I526" s="20">
        <f>I527</f>
        <v>33384.400000000001</v>
      </c>
      <c r="J526" s="104"/>
      <c r="K526" s="104"/>
      <c r="L526" s="104"/>
      <c r="M526" s="104"/>
      <c r="N526" s="104"/>
      <c r="O526" s="104"/>
      <c r="P526" s="104"/>
      <c r="Q526" s="104"/>
    </row>
    <row r="527" spans="1:17" s="26" customFormat="1" ht="25.5" x14ac:dyDescent="0.2">
      <c r="A527" s="28" t="s">
        <v>143</v>
      </c>
      <c r="B527" s="31">
        <v>919</v>
      </c>
      <c r="C527" s="24" t="s">
        <v>17</v>
      </c>
      <c r="D527" s="24" t="s">
        <v>25</v>
      </c>
      <c r="E527" s="24" t="s">
        <v>298</v>
      </c>
      <c r="F527" s="24" t="s">
        <v>64</v>
      </c>
      <c r="G527" s="25">
        <f>73107+5000+26700-225.4+1000+500-163-6660-270</f>
        <v>98988.6</v>
      </c>
      <c r="H527" s="25">
        <f>73107-19136.9</f>
        <v>53970.1</v>
      </c>
      <c r="I527" s="25">
        <f>73107-39722.6</f>
        <v>33384.400000000001</v>
      </c>
      <c r="J527" s="105"/>
      <c r="K527" s="105"/>
      <c r="L527" s="105"/>
      <c r="M527" s="105"/>
      <c r="N527" s="105"/>
      <c r="O527" s="105"/>
      <c r="P527" s="105"/>
      <c r="Q527" s="105"/>
    </row>
    <row r="528" spans="1:17" ht="25.5" x14ac:dyDescent="0.2">
      <c r="A528" s="18" t="s">
        <v>301</v>
      </c>
      <c r="B528" s="18">
        <v>919</v>
      </c>
      <c r="C528" s="19" t="s">
        <v>17</v>
      </c>
      <c r="D528" s="19" t="s">
        <v>25</v>
      </c>
      <c r="E528" s="19" t="s">
        <v>300</v>
      </c>
      <c r="F528" s="19"/>
      <c r="G528" s="20">
        <f>G529</f>
        <v>14334.4</v>
      </c>
      <c r="H528" s="20">
        <f>H529</f>
        <v>8080.1</v>
      </c>
      <c r="I528" s="20">
        <f>I529</f>
        <v>8080.1</v>
      </c>
      <c r="J528" s="104"/>
      <c r="K528" s="104"/>
      <c r="L528" s="104"/>
      <c r="M528" s="104"/>
      <c r="N528" s="104"/>
      <c r="O528" s="104"/>
      <c r="P528" s="104"/>
      <c r="Q528" s="104"/>
    </row>
    <row r="529" spans="1:17" ht="25.5" x14ac:dyDescent="0.2">
      <c r="A529" s="28" t="s">
        <v>143</v>
      </c>
      <c r="B529" s="28">
        <v>919</v>
      </c>
      <c r="C529" s="24" t="s">
        <v>17</v>
      </c>
      <c r="D529" s="24" t="s">
        <v>25</v>
      </c>
      <c r="E529" s="24" t="s">
        <v>300</v>
      </c>
      <c r="F529" s="24" t="s">
        <v>64</v>
      </c>
      <c r="G529" s="25">
        <f>8080.1+300+500+5660-205.7</f>
        <v>14334.4</v>
      </c>
      <c r="H529" s="25">
        <v>8080.1</v>
      </c>
      <c r="I529" s="25">
        <v>8080.1</v>
      </c>
      <c r="J529" s="104"/>
      <c r="K529" s="104"/>
      <c r="L529" s="104"/>
      <c r="M529" s="104"/>
      <c r="N529" s="104"/>
      <c r="O529" s="104"/>
      <c r="P529" s="104"/>
      <c r="Q529" s="104"/>
    </row>
    <row r="530" spans="1:17" s="71" customFormat="1" ht="25.5" x14ac:dyDescent="0.2">
      <c r="A530" s="67" t="s">
        <v>303</v>
      </c>
      <c r="B530" s="68">
        <v>919</v>
      </c>
      <c r="C530" s="69" t="s">
        <v>17</v>
      </c>
      <c r="D530" s="69" t="s">
        <v>25</v>
      </c>
      <c r="E530" s="69" t="s">
        <v>302</v>
      </c>
      <c r="F530" s="69"/>
      <c r="G530" s="70">
        <f>G531</f>
        <v>746.8</v>
      </c>
      <c r="H530" s="70">
        <f>H531</f>
        <v>0</v>
      </c>
      <c r="I530" s="70">
        <f>I531</f>
        <v>0</v>
      </c>
    </row>
    <row r="531" spans="1:17" s="76" customFormat="1" ht="25.5" x14ac:dyDescent="0.2">
      <c r="A531" s="79" t="s">
        <v>143</v>
      </c>
      <c r="B531" s="78">
        <v>919</v>
      </c>
      <c r="C531" s="74" t="s">
        <v>17</v>
      </c>
      <c r="D531" s="74" t="s">
        <v>25</v>
      </c>
      <c r="E531" s="74" t="s">
        <v>302</v>
      </c>
      <c r="F531" s="74" t="s">
        <v>64</v>
      </c>
      <c r="G531" s="58">
        <f>583.8+163</f>
        <v>746.8</v>
      </c>
      <c r="H531" s="58">
        <f>583.8-583.8</f>
        <v>0</v>
      </c>
      <c r="I531" s="58">
        <f>583.8-583.8</f>
        <v>0</v>
      </c>
    </row>
    <row r="532" spans="1:17" s="3" customFormat="1" x14ac:dyDescent="0.2">
      <c r="A532" s="13" t="s">
        <v>29</v>
      </c>
      <c r="B532" s="42">
        <v>919</v>
      </c>
      <c r="C532" s="1" t="s">
        <v>30</v>
      </c>
      <c r="D532" s="1"/>
      <c r="E532" s="1"/>
      <c r="F532" s="1"/>
      <c r="G532" s="2">
        <f>G533+G536+G564+G582</f>
        <v>317898.05927000003</v>
      </c>
      <c r="H532" s="2">
        <f>H533+H536+H564+H582</f>
        <v>59514.69382</v>
      </c>
      <c r="I532" s="2">
        <f>I533+I536+I564+I582</f>
        <v>59623.083129999999</v>
      </c>
      <c r="J532" s="120"/>
      <c r="K532" s="120"/>
      <c r="L532" s="120"/>
      <c r="M532" s="120"/>
      <c r="N532" s="120"/>
      <c r="O532" s="120"/>
      <c r="P532" s="120"/>
      <c r="Q532" s="120"/>
    </row>
    <row r="533" spans="1:17" s="9" customFormat="1" x14ac:dyDescent="0.2">
      <c r="A533" s="11" t="s">
        <v>31</v>
      </c>
      <c r="B533" s="14">
        <v>919</v>
      </c>
      <c r="C533" s="8" t="s">
        <v>30</v>
      </c>
      <c r="D533" s="8" t="s">
        <v>11</v>
      </c>
      <c r="E533" s="8"/>
      <c r="F533" s="8"/>
      <c r="G533" s="4">
        <f t="shared" ref="G533:I534" si="68">G534</f>
        <v>971.5</v>
      </c>
      <c r="H533" s="4">
        <f t="shared" si="68"/>
        <v>1087.0999999999999</v>
      </c>
      <c r="I533" s="4">
        <f t="shared" si="68"/>
        <v>1087.0999999999999</v>
      </c>
      <c r="J533" s="106"/>
      <c r="K533" s="106"/>
      <c r="L533" s="106"/>
      <c r="M533" s="106"/>
      <c r="N533" s="106"/>
      <c r="O533" s="106"/>
      <c r="P533" s="106"/>
      <c r="Q533" s="106"/>
    </row>
    <row r="534" spans="1:17" ht="25.5" x14ac:dyDescent="0.2">
      <c r="A534" s="18" t="s">
        <v>352</v>
      </c>
      <c r="B534" s="22">
        <v>919</v>
      </c>
      <c r="C534" s="19" t="s">
        <v>30</v>
      </c>
      <c r="D534" s="19" t="s">
        <v>11</v>
      </c>
      <c r="E534" s="19" t="s">
        <v>304</v>
      </c>
      <c r="F534" s="19"/>
      <c r="G534" s="20">
        <f t="shared" si="68"/>
        <v>971.5</v>
      </c>
      <c r="H534" s="20">
        <f t="shared" si="68"/>
        <v>1087.0999999999999</v>
      </c>
      <c r="I534" s="20">
        <f t="shared" si="68"/>
        <v>1087.0999999999999</v>
      </c>
      <c r="J534" s="104"/>
      <c r="K534" s="104"/>
      <c r="L534" s="104"/>
      <c r="M534" s="104"/>
      <c r="N534" s="104"/>
      <c r="O534" s="104"/>
      <c r="P534" s="104"/>
      <c r="Q534" s="104"/>
    </row>
    <row r="535" spans="1:17" s="26" customFormat="1" x14ac:dyDescent="0.2">
      <c r="A535" s="28" t="s">
        <v>71</v>
      </c>
      <c r="B535" s="31">
        <v>919</v>
      </c>
      <c r="C535" s="24" t="s">
        <v>30</v>
      </c>
      <c r="D535" s="24" t="s">
        <v>11</v>
      </c>
      <c r="E535" s="24" t="s">
        <v>304</v>
      </c>
      <c r="F535" s="24" t="s">
        <v>72</v>
      </c>
      <c r="G535" s="25">
        <f>1087.1-15-17.8-7-167.8+112-20</f>
        <v>971.5</v>
      </c>
      <c r="H535" s="25">
        <v>1087.0999999999999</v>
      </c>
      <c r="I535" s="25">
        <v>1087.0999999999999</v>
      </c>
      <c r="J535" s="105"/>
      <c r="K535" s="105"/>
      <c r="L535" s="105"/>
      <c r="M535" s="105"/>
      <c r="N535" s="105"/>
      <c r="O535" s="105"/>
      <c r="P535" s="105"/>
      <c r="Q535" s="105"/>
    </row>
    <row r="536" spans="1:17" s="66" customFormat="1" x14ac:dyDescent="0.2">
      <c r="A536" s="62" t="s">
        <v>32</v>
      </c>
      <c r="B536" s="63">
        <v>919</v>
      </c>
      <c r="C536" s="64" t="s">
        <v>30</v>
      </c>
      <c r="D536" s="64" t="s">
        <v>13</v>
      </c>
      <c r="E536" s="64"/>
      <c r="F536" s="64"/>
      <c r="G536" s="65">
        <f>G550+G558+G560+G562+G543+G547+G545+G552+G541+G537+G539+G554+G556</f>
        <v>250028.4</v>
      </c>
      <c r="H536" s="65">
        <f t="shared" ref="H536:I536" si="69">H550+H558+H560+H562+H543+H547+H545+H552+H541+H537+H539+H554+H556</f>
        <v>2183.5699999999997</v>
      </c>
      <c r="I536" s="65">
        <f t="shared" si="69"/>
        <v>1688.8</v>
      </c>
    </row>
    <row r="537" spans="1:17" s="7" customFormat="1" ht="38.25" x14ac:dyDescent="0.2">
      <c r="A537" s="17" t="s">
        <v>391</v>
      </c>
      <c r="B537" s="43">
        <v>919</v>
      </c>
      <c r="C537" s="19" t="s">
        <v>30</v>
      </c>
      <c r="D537" s="19" t="s">
        <v>13</v>
      </c>
      <c r="E537" s="19" t="s">
        <v>363</v>
      </c>
      <c r="F537" s="19"/>
      <c r="G537" s="20">
        <f>G538</f>
        <v>62700</v>
      </c>
      <c r="H537" s="20">
        <f>H538</f>
        <v>0</v>
      </c>
      <c r="I537" s="20">
        <f>I538</f>
        <v>0</v>
      </c>
    </row>
    <row r="538" spans="1:17" s="7" customFormat="1" ht="25.5" x14ac:dyDescent="0.2">
      <c r="A538" s="28" t="s">
        <v>82</v>
      </c>
      <c r="B538" s="31">
        <v>919</v>
      </c>
      <c r="C538" s="24" t="s">
        <v>30</v>
      </c>
      <c r="D538" s="24" t="s">
        <v>13</v>
      </c>
      <c r="E538" s="24" t="s">
        <v>363</v>
      </c>
      <c r="F538" s="24" t="s">
        <v>70</v>
      </c>
      <c r="G538" s="25">
        <v>62700</v>
      </c>
      <c r="H538" s="25"/>
      <c r="I538" s="25"/>
    </row>
    <row r="539" spans="1:17" s="7" customFormat="1" ht="25.5" x14ac:dyDescent="0.2">
      <c r="A539" s="17" t="s">
        <v>410</v>
      </c>
      <c r="B539" s="43">
        <v>919</v>
      </c>
      <c r="C539" s="19" t="s">
        <v>30</v>
      </c>
      <c r="D539" s="19" t="s">
        <v>13</v>
      </c>
      <c r="E539" s="19" t="s">
        <v>411</v>
      </c>
      <c r="F539" s="19"/>
      <c r="G539" s="20">
        <f>G540</f>
        <v>6975</v>
      </c>
      <c r="H539" s="20">
        <f>H540</f>
        <v>0</v>
      </c>
      <c r="I539" s="20">
        <f>I540</f>
        <v>0</v>
      </c>
    </row>
    <row r="540" spans="1:17" s="7" customFormat="1" ht="25.5" x14ac:dyDescent="0.2">
      <c r="A540" s="28" t="s">
        <v>75</v>
      </c>
      <c r="B540" s="31">
        <v>919</v>
      </c>
      <c r="C540" s="24" t="s">
        <v>30</v>
      </c>
      <c r="D540" s="24" t="s">
        <v>13</v>
      </c>
      <c r="E540" s="24" t="s">
        <v>411</v>
      </c>
      <c r="F540" s="24" t="s">
        <v>67</v>
      </c>
      <c r="G540" s="25">
        <v>6975</v>
      </c>
      <c r="H540" s="25"/>
      <c r="I540" s="25"/>
    </row>
    <row r="541" spans="1:17" s="7" customFormat="1" ht="25.5" x14ac:dyDescent="0.2">
      <c r="A541" s="17" t="s">
        <v>306</v>
      </c>
      <c r="B541" s="43">
        <v>919</v>
      </c>
      <c r="C541" s="19" t="s">
        <v>30</v>
      </c>
      <c r="D541" s="19" t="s">
        <v>13</v>
      </c>
      <c r="E541" s="19" t="s">
        <v>412</v>
      </c>
      <c r="F541" s="19"/>
      <c r="G541" s="20">
        <f>G542</f>
        <v>775</v>
      </c>
      <c r="H541" s="20">
        <f>H542</f>
        <v>0</v>
      </c>
      <c r="I541" s="20">
        <f>I542</f>
        <v>0</v>
      </c>
    </row>
    <row r="542" spans="1:17" s="7" customFormat="1" ht="25.5" x14ac:dyDescent="0.2">
      <c r="A542" s="28" t="s">
        <v>75</v>
      </c>
      <c r="B542" s="31">
        <v>919</v>
      </c>
      <c r="C542" s="24" t="s">
        <v>30</v>
      </c>
      <c r="D542" s="24" t="s">
        <v>13</v>
      </c>
      <c r="E542" s="24" t="s">
        <v>412</v>
      </c>
      <c r="F542" s="24" t="s">
        <v>67</v>
      </c>
      <c r="G542" s="25">
        <v>775</v>
      </c>
      <c r="H542" s="25"/>
      <c r="I542" s="25"/>
    </row>
    <row r="543" spans="1:17" s="80" customFormat="1" ht="25.5" x14ac:dyDescent="0.2">
      <c r="A543" s="81" t="s">
        <v>306</v>
      </c>
      <c r="B543" s="84">
        <v>919</v>
      </c>
      <c r="C543" s="69" t="s">
        <v>30</v>
      </c>
      <c r="D543" s="69" t="s">
        <v>13</v>
      </c>
      <c r="E543" s="69" t="s">
        <v>305</v>
      </c>
      <c r="F543" s="69"/>
      <c r="G543" s="70">
        <f>G544</f>
        <v>8708.9000000000015</v>
      </c>
      <c r="H543" s="70">
        <f t="shared" ref="H543:I543" si="70">H544</f>
        <v>1013.5699999999999</v>
      </c>
      <c r="I543" s="70">
        <f t="shared" si="70"/>
        <v>618.79999999999995</v>
      </c>
    </row>
    <row r="544" spans="1:17" s="7" customFormat="1" ht="25.5" x14ac:dyDescent="0.2">
      <c r="A544" s="28" t="s">
        <v>75</v>
      </c>
      <c r="B544" s="31">
        <v>919</v>
      </c>
      <c r="C544" s="24" t="s">
        <v>30</v>
      </c>
      <c r="D544" s="24" t="s">
        <v>13</v>
      </c>
      <c r="E544" s="24" t="s">
        <v>305</v>
      </c>
      <c r="F544" s="24" t="s">
        <v>67</v>
      </c>
      <c r="G544" s="25">
        <f>2000+3827-50-50-18.4+700-775+99.3+2305.5+670.5</f>
        <v>8708.9000000000015</v>
      </c>
      <c r="H544" s="25">
        <f>2701-1687.43</f>
        <v>1013.5699999999999</v>
      </c>
      <c r="I544" s="25">
        <f>2379-1760.2</f>
        <v>618.79999999999995</v>
      </c>
      <c r="J544" s="80"/>
      <c r="K544" s="80"/>
      <c r="L544" s="80"/>
      <c r="M544" s="80"/>
      <c r="N544" s="80"/>
      <c r="O544" s="80"/>
      <c r="P544" s="80"/>
      <c r="Q544" s="80"/>
    </row>
    <row r="545" spans="1:17" s="7" customFormat="1" ht="25.5" x14ac:dyDescent="0.2">
      <c r="A545" s="17" t="s">
        <v>338</v>
      </c>
      <c r="B545" s="43">
        <v>919</v>
      </c>
      <c r="C545" s="19" t="s">
        <v>30</v>
      </c>
      <c r="D545" s="19" t="s">
        <v>13</v>
      </c>
      <c r="E545" s="19" t="s">
        <v>337</v>
      </c>
      <c r="F545" s="19"/>
      <c r="G545" s="20">
        <f>G546</f>
        <v>900</v>
      </c>
      <c r="H545" s="20">
        <f>H546</f>
        <v>0</v>
      </c>
      <c r="I545" s="20">
        <f>I546</f>
        <v>0</v>
      </c>
    </row>
    <row r="546" spans="1:17" s="7" customFormat="1" ht="25.5" x14ac:dyDescent="0.2">
      <c r="A546" s="28" t="s">
        <v>82</v>
      </c>
      <c r="B546" s="31">
        <v>919</v>
      </c>
      <c r="C546" s="24" t="s">
        <v>30</v>
      </c>
      <c r="D546" s="24" t="s">
        <v>13</v>
      </c>
      <c r="E546" s="24" t="s">
        <v>337</v>
      </c>
      <c r="F546" s="24" t="s">
        <v>70</v>
      </c>
      <c r="G546" s="25">
        <f>3827+55203-59030+811.3+88.7</f>
        <v>900</v>
      </c>
      <c r="H546" s="25"/>
      <c r="I546" s="25"/>
    </row>
    <row r="547" spans="1:17" s="7" customFormat="1" ht="12" customHeight="1" x14ac:dyDescent="0.2">
      <c r="A547" s="17" t="s">
        <v>308</v>
      </c>
      <c r="B547" s="43">
        <v>919</v>
      </c>
      <c r="C547" s="19" t="s">
        <v>30</v>
      </c>
      <c r="D547" s="19" t="s">
        <v>13</v>
      </c>
      <c r="E547" s="19" t="s">
        <v>307</v>
      </c>
      <c r="F547" s="19"/>
      <c r="G547" s="20">
        <f>G548+G549</f>
        <v>1337.4</v>
      </c>
      <c r="H547" s="20">
        <f t="shared" ref="H547:I547" si="71">H548+H549</f>
        <v>770</v>
      </c>
      <c r="I547" s="20">
        <f t="shared" si="71"/>
        <v>770</v>
      </c>
    </row>
    <row r="548" spans="1:17" s="7" customFormat="1" ht="25.5" x14ac:dyDescent="0.2">
      <c r="A548" s="28" t="s">
        <v>75</v>
      </c>
      <c r="B548" s="31">
        <v>919</v>
      </c>
      <c r="C548" s="24" t="s">
        <v>30</v>
      </c>
      <c r="D548" s="24" t="s">
        <v>13</v>
      </c>
      <c r="E548" s="24" t="s">
        <v>307</v>
      </c>
      <c r="F548" s="24" t="s">
        <v>67</v>
      </c>
      <c r="G548" s="25">
        <f>770+1053-1053+549</f>
        <v>1319</v>
      </c>
      <c r="H548" s="25">
        <v>770</v>
      </c>
      <c r="I548" s="25">
        <v>770</v>
      </c>
    </row>
    <row r="549" spans="1:17" s="7" customFormat="1" x14ac:dyDescent="0.2">
      <c r="A549" s="28" t="s">
        <v>71</v>
      </c>
      <c r="B549" s="31">
        <v>919</v>
      </c>
      <c r="C549" s="24" t="s">
        <v>30</v>
      </c>
      <c r="D549" s="24" t="s">
        <v>13</v>
      </c>
      <c r="E549" s="24" t="s">
        <v>307</v>
      </c>
      <c r="F549" s="24" t="s">
        <v>72</v>
      </c>
      <c r="G549" s="25">
        <v>18.399999999999999</v>
      </c>
      <c r="H549" s="25"/>
      <c r="I549" s="25"/>
    </row>
    <row r="550" spans="1:17" s="80" customFormat="1" x14ac:dyDescent="0.2">
      <c r="A550" s="81" t="s">
        <v>310</v>
      </c>
      <c r="B550" s="84">
        <v>919</v>
      </c>
      <c r="C550" s="69" t="s">
        <v>30</v>
      </c>
      <c r="D550" s="69" t="s">
        <v>13</v>
      </c>
      <c r="E550" s="69" t="s">
        <v>309</v>
      </c>
      <c r="F550" s="69"/>
      <c r="G550" s="70">
        <f>G551</f>
        <v>714</v>
      </c>
      <c r="H550" s="70">
        <f t="shared" ref="H550:I550" si="72">H551</f>
        <v>400</v>
      </c>
      <c r="I550" s="70">
        <f t="shared" si="72"/>
        <v>300</v>
      </c>
    </row>
    <row r="551" spans="1:17" s="80" customFormat="1" ht="25.5" x14ac:dyDescent="0.2">
      <c r="A551" s="79" t="s">
        <v>75</v>
      </c>
      <c r="B551" s="78">
        <v>919</v>
      </c>
      <c r="C551" s="74" t="s">
        <v>30</v>
      </c>
      <c r="D551" s="74" t="s">
        <v>13</v>
      </c>
      <c r="E551" s="74" t="s">
        <v>309</v>
      </c>
      <c r="F551" s="74" t="s">
        <v>67</v>
      </c>
      <c r="G551" s="58">
        <f>700+14</f>
        <v>714</v>
      </c>
      <c r="H551" s="58">
        <v>400</v>
      </c>
      <c r="I551" s="58">
        <v>300</v>
      </c>
    </row>
    <row r="552" spans="1:17" s="80" customFormat="1" ht="13.5" customHeight="1" x14ac:dyDescent="0.2">
      <c r="A552" s="81" t="s">
        <v>367</v>
      </c>
      <c r="B552" s="81">
        <v>919</v>
      </c>
      <c r="C552" s="69" t="s">
        <v>30</v>
      </c>
      <c r="D552" s="69" t="s">
        <v>13</v>
      </c>
      <c r="E552" s="69" t="s">
        <v>366</v>
      </c>
      <c r="F552" s="69"/>
      <c r="G552" s="70">
        <f>G553</f>
        <v>3107</v>
      </c>
      <c r="H552" s="70">
        <f>H553</f>
        <v>0</v>
      </c>
      <c r="I552" s="70">
        <f>I553</f>
        <v>0</v>
      </c>
    </row>
    <row r="553" spans="1:17" s="80" customFormat="1" ht="25.5" x14ac:dyDescent="0.2">
      <c r="A553" s="79" t="s">
        <v>75</v>
      </c>
      <c r="B553" s="79">
        <v>919</v>
      </c>
      <c r="C553" s="74" t="s">
        <v>30</v>
      </c>
      <c r="D553" s="74" t="s">
        <v>13</v>
      </c>
      <c r="E553" s="74" t="s">
        <v>366</v>
      </c>
      <c r="F553" s="74" t="s">
        <v>67</v>
      </c>
      <c r="G553" s="58">
        <f>4600-30-900-549-14</f>
        <v>3107</v>
      </c>
      <c r="H553" s="58">
        <v>0</v>
      </c>
      <c r="I553" s="58">
        <v>0</v>
      </c>
    </row>
    <row r="554" spans="1:17" s="7" customFormat="1" ht="24.75" customHeight="1" x14ac:dyDescent="0.2">
      <c r="A554" s="17" t="s">
        <v>425</v>
      </c>
      <c r="B554" s="17">
        <v>919</v>
      </c>
      <c r="C554" s="19" t="s">
        <v>30</v>
      </c>
      <c r="D554" s="19" t="s">
        <v>13</v>
      </c>
      <c r="E554" s="19" t="s">
        <v>424</v>
      </c>
      <c r="F554" s="19"/>
      <c r="G554" s="20">
        <f>G555</f>
        <v>189</v>
      </c>
      <c r="H554" s="20">
        <f>H555</f>
        <v>0</v>
      </c>
      <c r="I554" s="20">
        <f>I555</f>
        <v>0</v>
      </c>
      <c r="J554" s="107"/>
      <c r="K554" s="107"/>
      <c r="L554" s="107"/>
      <c r="M554" s="107"/>
      <c r="N554" s="107"/>
      <c r="O554" s="107"/>
      <c r="P554" s="107"/>
      <c r="Q554" s="107"/>
    </row>
    <row r="555" spans="1:17" s="7" customFormat="1" ht="25.5" x14ac:dyDescent="0.2">
      <c r="A555" s="28" t="s">
        <v>75</v>
      </c>
      <c r="B555" s="28">
        <v>919</v>
      </c>
      <c r="C555" s="24" t="s">
        <v>30</v>
      </c>
      <c r="D555" s="24" t="s">
        <v>13</v>
      </c>
      <c r="E555" s="24" t="s">
        <v>424</v>
      </c>
      <c r="F555" s="24" t="s">
        <v>67</v>
      </c>
      <c r="G555" s="25">
        <f>200-11</f>
        <v>189</v>
      </c>
      <c r="H555" s="25">
        <v>0</v>
      </c>
      <c r="I555" s="25">
        <v>0</v>
      </c>
      <c r="J555" s="107"/>
      <c r="K555" s="107"/>
      <c r="L555" s="107"/>
      <c r="M555" s="107"/>
      <c r="N555" s="107"/>
      <c r="O555" s="107"/>
      <c r="P555" s="107"/>
      <c r="Q555" s="107"/>
    </row>
    <row r="556" spans="1:17" s="7" customFormat="1" ht="25.5" x14ac:dyDescent="0.2">
      <c r="A556" s="17" t="s">
        <v>430</v>
      </c>
      <c r="B556" s="43">
        <v>919</v>
      </c>
      <c r="C556" s="19" t="s">
        <v>30</v>
      </c>
      <c r="D556" s="19" t="s">
        <v>13</v>
      </c>
      <c r="E556" s="19" t="s">
        <v>429</v>
      </c>
      <c r="F556" s="19"/>
      <c r="G556" s="20">
        <f>G557</f>
        <v>4479.7</v>
      </c>
      <c r="H556" s="20">
        <f t="shared" ref="H556:I556" si="73">H557</f>
        <v>0</v>
      </c>
      <c r="I556" s="20">
        <f t="shared" si="73"/>
        <v>0</v>
      </c>
      <c r="J556" s="107"/>
      <c r="K556" s="107"/>
      <c r="L556" s="107"/>
      <c r="M556" s="107"/>
      <c r="N556" s="107"/>
      <c r="O556" s="107"/>
      <c r="P556" s="107"/>
      <c r="Q556" s="107"/>
    </row>
    <row r="557" spans="1:17" s="7" customFormat="1" ht="25.5" x14ac:dyDescent="0.2">
      <c r="A557" s="28" t="s">
        <v>75</v>
      </c>
      <c r="B557" s="31">
        <v>919</v>
      </c>
      <c r="C557" s="24" t="s">
        <v>30</v>
      </c>
      <c r="D557" s="24" t="s">
        <v>13</v>
      </c>
      <c r="E557" s="24" t="s">
        <v>429</v>
      </c>
      <c r="F557" s="24" t="s">
        <v>67</v>
      </c>
      <c r="G557" s="25">
        <v>4479.7</v>
      </c>
      <c r="H557" s="25">
        <v>0</v>
      </c>
      <c r="I557" s="25">
        <v>0</v>
      </c>
      <c r="J557" s="107"/>
      <c r="K557" s="107"/>
      <c r="L557" s="107"/>
      <c r="M557" s="107"/>
      <c r="N557" s="107"/>
      <c r="O557" s="107"/>
      <c r="P557" s="107"/>
      <c r="Q557" s="107"/>
    </row>
    <row r="558" spans="1:17" ht="63.75" x14ac:dyDescent="0.2">
      <c r="A558" s="18" t="s">
        <v>312</v>
      </c>
      <c r="B558" s="22">
        <v>919</v>
      </c>
      <c r="C558" s="19" t="s">
        <v>30</v>
      </c>
      <c r="D558" s="19" t="s">
        <v>13</v>
      </c>
      <c r="E558" s="19" t="s">
        <v>311</v>
      </c>
      <c r="F558" s="19"/>
      <c r="G558" s="20">
        <f>G559</f>
        <v>152660</v>
      </c>
      <c r="H558" s="20">
        <f>H559</f>
        <v>0</v>
      </c>
      <c r="I558" s="20">
        <f>I559</f>
        <v>0</v>
      </c>
      <c r="J558" s="21"/>
      <c r="K558" s="21"/>
      <c r="L558" s="21"/>
      <c r="M558" s="21"/>
      <c r="N558" s="21"/>
      <c r="O558" s="21"/>
      <c r="P558" s="21"/>
      <c r="Q558" s="21"/>
    </row>
    <row r="559" spans="1:17" s="76" customFormat="1" x14ac:dyDescent="0.2">
      <c r="A559" s="79" t="s">
        <v>71</v>
      </c>
      <c r="B559" s="78">
        <v>919</v>
      </c>
      <c r="C559" s="74" t="s">
        <v>30</v>
      </c>
      <c r="D559" s="74" t="s">
        <v>13</v>
      </c>
      <c r="E559" s="74" t="s">
        <v>311</v>
      </c>
      <c r="F559" s="74" t="s">
        <v>72</v>
      </c>
      <c r="G559" s="58">
        <f>29467.8+84762.4+1456.8-55203-4600+55203-5000-1053+33079.1-55000+1053+55000-3620+17113.9</f>
        <v>152660</v>
      </c>
      <c r="H559" s="58"/>
      <c r="I559" s="58"/>
    </row>
    <row r="560" spans="1:17" ht="63.75" x14ac:dyDescent="0.2">
      <c r="A560" s="17" t="s">
        <v>314</v>
      </c>
      <c r="B560" s="43">
        <v>919</v>
      </c>
      <c r="C560" s="19" t="s">
        <v>30</v>
      </c>
      <c r="D560" s="19" t="s">
        <v>13</v>
      </c>
      <c r="E560" s="19" t="s">
        <v>313</v>
      </c>
      <c r="F560" s="19"/>
      <c r="G560" s="20">
        <f>G561</f>
        <v>2623.8999999999996</v>
      </c>
      <c r="H560" s="20">
        <f>H561</f>
        <v>0</v>
      </c>
      <c r="I560" s="20">
        <f>I561</f>
        <v>0</v>
      </c>
      <c r="J560" s="21"/>
      <c r="K560" s="21"/>
      <c r="L560" s="21"/>
      <c r="M560" s="21"/>
      <c r="N560" s="21"/>
      <c r="O560" s="21"/>
      <c r="P560" s="21"/>
      <c r="Q560" s="21"/>
    </row>
    <row r="561" spans="1:17" s="26" customFormat="1" x14ac:dyDescent="0.2">
      <c r="A561" s="28" t="s">
        <v>71</v>
      </c>
      <c r="B561" s="31">
        <v>919</v>
      </c>
      <c r="C561" s="24" t="s">
        <v>30</v>
      </c>
      <c r="D561" s="24" t="s">
        <v>13</v>
      </c>
      <c r="E561" s="24" t="s">
        <v>313</v>
      </c>
      <c r="F561" s="24" t="s">
        <v>72</v>
      </c>
      <c r="G561" s="25">
        <f>1511.3+1112.6</f>
        <v>2623.8999999999996</v>
      </c>
      <c r="H561" s="25"/>
      <c r="I561" s="25"/>
    </row>
    <row r="562" spans="1:17" ht="38.25" x14ac:dyDescent="0.2">
      <c r="A562" s="18" t="s">
        <v>316</v>
      </c>
      <c r="B562" s="22">
        <v>919</v>
      </c>
      <c r="C562" s="19" t="s">
        <v>30</v>
      </c>
      <c r="D562" s="19" t="s">
        <v>13</v>
      </c>
      <c r="E562" s="19" t="s">
        <v>315</v>
      </c>
      <c r="F562" s="19"/>
      <c r="G562" s="20">
        <f>G563</f>
        <v>4858.5</v>
      </c>
      <c r="H562" s="20">
        <f>H563</f>
        <v>0</v>
      </c>
      <c r="I562" s="20">
        <f>I563</f>
        <v>0</v>
      </c>
      <c r="J562" s="21"/>
      <c r="K562" s="21"/>
      <c r="L562" s="21"/>
      <c r="M562" s="21"/>
      <c r="N562" s="21"/>
      <c r="O562" s="21"/>
      <c r="P562" s="21"/>
      <c r="Q562" s="21"/>
    </row>
    <row r="563" spans="1:17" s="26" customFormat="1" x14ac:dyDescent="0.2">
      <c r="A563" s="28" t="s">
        <v>71</v>
      </c>
      <c r="B563" s="31">
        <v>919</v>
      </c>
      <c r="C563" s="24" t="s">
        <v>30</v>
      </c>
      <c r="D563" s="24" t="s">
        <v>13</v>
      </c>
      <c r="E563" s="24" t="s">
        <v>315</v>
      </c>
      <c r="F563" s="24" t="s">
        <v>72</v>
      </c>
      <c r="G563" s="25">
        <f>2919.4+1939.1</f>
        <v>4858.5</v>
      </c>
      <c r="H563" s="25"/>
      <c r="I563" s="25"/>
    </row>
    <row r="564" spans="1:17" s="9" customFormat="1" x14ac:dyDescent="0.2">
      <c r="A564" s="11" t="s">
        <v>34</v>
      </c>
      <c r="B564" s="14">
        <v>919</v>
      </c>
      <c r="C564" s="8" t="s">
        <v>30</v>
      </c>
      <c r="D564" s="8" t="s">
        <v>15</v>
      </c>
      <c r="E564" s="8"/>
      <c r="F564" s="8"/>
      <c r="G564" s="4">
        <f>G572+G574+G576+G578+G567+G565+G580+G570</f>
        <v>40164.259269999995</v>
      </c>
      <c r="H564" s="4">
        <f t="shared" ref="H564:I564" si="74">H572+H574+H576+H578+H567+H565+H580+H570</f>
        <v>34218.723819999999</v>
      </c>
      <c r="I564" s="4">
        <f t="shared" si="74"/>
        <v>34821.883129999995</v>
      </c>
      <c r="J564" s="106"/>
      <c r="K564" s="106"/>
      <c r="L564" s="106"/>
      <c r="M564" s="106"/>
      <c r="N564" s="106"/>
      <c r="O564" s="106"/>
      <c r="P564" s="106"/>
      <c r="Q564" s="106"/>
    </row>
    <row r="565" spans="1:17" s="7" customFormat="1" ht="25.5" x14ac:dyDescent="0.2">
      <c r="A565" s="17" t="s">
        <v>383</v>
      </c>
      <c r="B565" s="43">
        <v>919</v>
      </c>
      <c r="C565" s="19" t="s">
        <v>30</v>
      </c>
      <c r="D565" s="19" t="s">
        <v>15</v>
      </c>
      <c r="E565" s="19" t="s">
        <v>382</v>
      </c>
      <c r="F565" s="19"/>
      <c r="G565" s="20">
        <f>G566</f>
        <v>0</v>
      </c>
      <c r="H565" s="20">
        <f>H566</f>
        <v>150</v>
      </c>
      <c r="I565" s="20">
        <f>I566</f>
        <v>0</v>
      </c>
    </row>
    <row r="566" spans="1:17" s="7" customFormat="1" ht="25.5" x14ac:dyDescent="0.2">
      <c r="A566" s="28" t="s">
        <v>75</v>
      </c>
      <c r="B566" s="31">
        <v>919</v>
      </c>
      <c r="C566" s="24" t="s">
        <v>30</v>
      </c>
      <c r="D566" s="24" t="s">
        <v>15</v>
      </c>
      <c r="E566" s="19" t="s">
        <v>382</v>
      </c>
      <c r="F566" s="24" t="s">
        <v>67</v>
      </c>
      <c r="G566" s="25">
        <v>0</v>
      </c>
      <c r="H566" s="25">
        <v>150</v>
      </c>
      <c r="I566" s="25">
        <v>0</v>
      </c>
    </row>
    <row r="567" spans="1:17" s="80" customFormat="1" ht="38.25" x14ac:dyDescent="0.2">
      <c r="A567" s="81" t="s">
        <v>406</v>
      </c>
      <c r="B567" s="84">
        <v>919</v>
      </c>
      <c r="C567" s="69" t="s">
        <v>30</v>
      </c>
      <c r="D567" s="69" t="s">
        <v>15</v>
      </c>
      <c r="E567" s="69" t="s">
        <v>407</v>
      </c>
      <c r="F567" s="69"/>
      <c r="G567" s="70">
        <f>G569+G568</f>
        <v>21799.490399999999</v>
      </c>
      <c r="H567" s="70">
        <f t="shared" ref="H567:I567" si="75">H569+H568</f>
        <v>22712.283820000001</v>
      </c>
      <c r="I567" s="70">
        <f t="shared" si="75"/>
        <v>23439.923129999999</v>
      </c>
    </row>
    <row r="568" spans="1:17" s="80" customFormat="1" ht="25.5" x14ac:dyDescent="0.2">
      <c r="A568" s="79" t="s">
        <v>75</v>
      </c>
      <c r="B568" s="78">
        <v>919</v>
      </c>
      <c r="C568" s="74" t="s">
        <v>30</v>
      </c>
      <c r="D568" s="74" t="s">
        <v>15</v>
      </c>
      <c r="E568" s="74" t="s">
        <v>407</v>
      </c>
      <c r="F568" s="74" t="s">
        <v>67</v>
      </c>
      <c r="G568" s="58">
        <f>13079.69333+1453.29926+764.9+2266.49122+119.3-884.19341</f>
        <v>16799.490399999999</v>
      </c>
      <c r="H568" s="108">
        <f>13627.36382+1514.15</f>
        <v>15141.51382</v>
      </c>
      <c r="I568" s="58">
        <f>14063.94313+1562.67</f>
        <v>15626.61313</v>
      </c>
    </row>
    <row r="569" spans="1:17" s="80" customFormat="1" ht="25.5" x14ac:dyDescent="0.2">
      <c r="A569" s="79" t="s">
        <v>143</v>
      </c>
      <c r="B569" s="78">
        <v>919</v>
      </c>
      <c r="C569" s="74" t="s">
        <v>30</v>
      </c>
      <c r="D569" s="74" t="s">
        <v>15</v>
      </c>
      <c r="E569" s="74" t="s">
        <v>407</v>
      </c>
      <c r="F569" s="74" t="s">
        <v>64</v>
      </c>
      <c r="G569" s="58">
        <f>6539.8421+726.64912-2266.49122</f>
        <v>5000</v>
      </c>
      <c r="H569" s="58">
        <f>6813.69+757.08</f>
        <v>7570.7699999999995</v>
      </c>
      <c r="I569" s="58">
        <f>7031.98+781.33</f>
        <v>7813.3099999999995</v>
      </c>
    </row>
    <row r="570" spans="1:17" s="7" customFormat="1" ht="25.5" x14ac:dyDescent="0.2">
      <c r="A570" s="17" t="s">
        <v>428</v>
      </c>
      <c r="B570" s="43">
        <v>919</v>
      </c>
      <c r="C570" s="19" t="s">
        <v>30</v>
      </c>
      <c r="D570" s="19" t="s">
        <v>15</v>
      </c>
      <c r="E570" s="19" t="s">
        <v>426</v>
      </c>
      <c r="F570" s="19"/>
      <c r="G570" s="20">
        <f>G571</f>
        <v>829.36887000000002</v>
      </c>
      <c r="H570" s="20">
        <f t="shared" ref="H570:I570" si="76">H571</f>
        <v>796.44</v>
      </c>
      <c r="I570" s="20">
        <f t="shared" si="76"/>
        <v>821.96</v>
      </c>
      <c r="J570" s="107"/>
      <c r="K570" s="107"/>
      <c r="L570" s="107"/>
      <c r="M570" s="107"/>
      <c r="N570" s="107"/>
      <c r="O570" s="107"/>
      <c r="P570" s="107"/>
      <c r="Q570" s="107"/>
    </row>
    <row r="571" spans="1:17" s="7" customFormat="1" ht="25.5" x14ac:dyDescent="0.2">
      <c r="A571" s="28" t="s">
        <v>75</v>
      </c>
      <c r="B571" s="31">
        <v>919</v>
      </c>
      <c r="C571" s="24" t="s">
        <v>30</v>
      </c>
      <c r="D571" s="24" t="s">
        <v>15</v>
      </c>
      <c r="E571" s="24" t="s">
        <v>427</v>
      </c>
      <c r="F571" s="24" t="s">
        <v>67</v>
      </c>
      <c r="G571" s="25">
        <f>884.19341-54.82454</f>
        <v>829.36887000000002</v>
      </c>
      <c r="H571" s="115">
        <v>796.44</v>
      </c>
      <c r="I571" s="25">
        <v>821.96</v>
      </c>
      <c r="J571" s="107"/>
      <c r="K571" s="107"/>
      <c r="L571" s="107"/>
      <c r="M571" s="107"/>
      <c r="N571" s="107"/>
      <c r="O571" s="107"/>
      <c r="P571" s="107"/>
      <c r="Q571" s="107"/>
    </row>
    <row r="572" spans="1:17" s="7" customFormat="1" x14ac:dyDescent="0.2">
      <c r="A572" s="18" t="s">
        <v>318</v>
      </c>
      <c r="B572" s="22">
        <v>919</v>
      </c>
      <c r="C572" s="19" t="s">
        <v>30</v>
      </c>
      <c r="D572" s="19" t="s">
        <v>15</v>
      </c>
      <c r="E572" s="19" t="s">
        <v>317</v>
      </c>
      <c r="F572" s="19"/>
      <c r="G572" s="20">
        <f>G573</f>
        <v>650</v>
      </c>
      <c r="H572" s="20">
        <f>H573</f>
        <v>400</v>
      </c>
      <c r="I572" s="20">
        <f>I573</f>
        <v>400</v>
      </c>
      <c r="J572" s="107"/>
      <c r="K572" s="107"/>
      <c r="L572" s="107"/>
      <c r="M572" s="107"/>
      <c r="N572" s="107"/>
      <c r="O572" s="107"/>
      <c r="P572" s="107"/>
      <c r="Q572" s="107"/>
    </row>
    <row r="573" spans="1:17" s="26" customFormat="1" ht="25.5" x14ac:dyDescent="0.2">
      <c r="A573" s="28" t="s">
        <v>143</v>
      </c>
      <c r="B573" s="31">
        <v>919</v>
      </c>
      <c r="C573" s="24" t="s">
        <v>30</v>
      </c>
      <c r="D573" s="24" t="s">
        <v>15</v>
      </c>
      <c r="E573" s="24" t="s">
        <v>317</v>
      </c>
      <c r="F573" s="24" t="s">
        <v>64</v>
      </c>
      <c r="G573" s="25">
        <f>400+44.3+205.7</f>
        <v>650</v>
      </c>
      <c r="H573" s="25">
        <v>400</v>
      </c>
      <c r="I573" s="25">
        <v>400</v>
      </c>
      <c r="J573" s="105"/>
      <c r="K573" s="105"/>
      <c r="L573" s="105"/>
      <c r="M573" s="105"/>
      <c r="N573" s="105"/>
      <c r="O573" s="105"/>
      <c r="P573" s="105"/>
      <c r="Q573" s="105"/>
    </row>
    <row r="574" spans="1:17" s="7" customFormat="1" ht="25.5" x14ac:dyDescent="0.2">
      <c r="A574" s="18" t="s">
        <v>319</v>
      </c>
      <c r="B574" s="22">
        <v>919</v>
      </c>
      <c r="C574" s="19" t="s">
        <v>30</v>
      </c>
      <c r="D574" s="19" t="s">
        <v>15</v>
      </c>
      <c r="E574" s="19" t="s">
        <v>320</v>
      </c>
      <c r="F574" s="19"/>
      <c r="G574" s="20">
        <f>G575</f>
        <v>3000</v>
      </c>
      <c r="H574" s="20">
        <f>H575</f>
        <v>3000</v>
      </c>
      <c r="I574" s="20">
        <f>I575</f>
        <v>3000</v>
      </c>
    </row>
    <row r="575" spans="1:17" s="26" customFormat="1" ht="25.5" x14ac:dyDescent="0.2">
      <c r="A575" s="28" t="s">
        <v>143</v>
      </c>
      <c r="B575" s="31">
        <v>919</v>
      </c>
      <c r="C575" s="24" t="s">
        <v>30</v>
      </c>
      <c r="D575" s="24" t="s">
        <v>15</v>
      </c>
      <c r="E575" s="24" t="s">
        <v>320</v>
      </c>
      <c r="F575" s="24" t="s">
        <v>64</v>
      </c>
      <c r="G575" s="25">
        <v>3000</v>
      </c>
      <c r="H575" s="25">
        <v>3000</v>
      </c>
      <c r="I575" s="25">
        <v>3000</v>
      </c>
    </row>
    <row r="576" spans="1:17" s="7" customFormat="1" x14ac:dyDescent="0.2">
      <c r="A576" s="18" t="s">
        <v>322</v>
      </c>
      <c r="B576" s="22">
        <v>919</v>
      </c>
      <c r="C576" s="24" t="s">
        <v>30</v>
      </c>
      <c r="D576" s="24" t="s">
        <v>15</v>
      </c>
      <c r="E576" s="19" t="s">
        <v>321</v>
      </c>
      <c r="F576" s="24"/>
      <c r="G576" s="25">
        <f>G577</f>
        <v>1770</v>
      </c>
      <c r="H576" s="25">
        <f>H577</f>
        <v>1500</v>
      </c>
      <c r="I576" s="25">
        <f>I577</f>
        <v>1500</v>
      </c>
      <c r="J576" s="107"/>
      <c r="K576" s="107"/>
      <c r="L576" s="107"/>
      <c r="M576" s="107"/>
      <c r="N576" s="107"/>
      <c r="O576" s="107"/>
      <c r="P576" s="107"/>
      <c r="Q576" s="107"/>
    </row>
    <row r="577" spans="1:17" s="26" customFormat="1" ht="25.5" x14ac:dyDescent="0.2">
      <c r="A577" s="28" t="s">
        <v>143</v>
      </c>
      <c r="B577" s="31">
        <v>919</v>
      </c>
      <c r="C577" s="24" t="s">
        <v>30</v>
      </c>
      <c r="D577" s="24" t="s">
        <v>15</v>
      </c>
      <c r="E577" s="24" t="s">
        <v>321</v>
      </c>
      <c r="F577" s="24" t="s">
        <v>64</v>
      </c>
      <c r="G577" s="25">
        <f>1500+270</f>
        <v>1770</v>
      </c>
      <c r="H577" s="25">
        <v>1500</v>
      </c>
      <c r="I577" s="25">
        <v>1500</v>
      </c>
      <c r="J577" s="105"/>
      <c r="K577" s="105"/>
      <c r="L577" s="105"/>
      <c r="M577" s="105"/>
      <c r="N577" s="105"/>
      <c r="O577" s="105"/>
      <c r="P577" s="105"/>
      <c r="Q577" s="105"/>
    </row>
    <row r="578" spans="1:17" s="80" customFormat="1" ht="38.25" x14ac:dyDescent="0.2">
      <c r="A578" s="67" t="s">
        <v>324</v>
      </c>
      <c r="B578" s="68">
        <v>919</v>
      </c>
      <c r="C578" s="69" t="s">
        <v>30</v>
      </c>
      <c r="D578" s="69" t="s">
        <v>15</v>
      </c>
      <c r="E578" s="101" t="s">
        <v>323</v>
      </c>
      <c r="F578" s="69"/>
      <c r="G578" s="70">
        <f>G579</f>
        <v>11890</v>
      </c>
      <c r="H578" s="70">
        <f>H579</f>
        <v>5660</v>
      </c>
      <c r="I578" s="70">
        <f>I579</f>
        <v>5660</v>
      </c>
    </row>
    <row r="579" spans="1:17" s="26" customFormat="1" ht="25.5" x14ac:dyDescent="0.2">
      <c r="A579" s="28" t="s">
        <v>143</v>
      </c>
      <c r="B579" s="31">
        <v>919</v>
      </c>
      <c r="C579" s="24" t="s">
        <v>30</v>
      </c>
      <c r="D579" s="24" t="s">
        <v>15</v>
      </c>
      <c r="E579" s="16" t="s">
        <v>323</v>
      </c>
      <c r="F579" s="24" t="s">
        <v>64</v>
      </c>
      <c r="G579" s="25">
        <f>5660+30+4000-500-300+1000+2000</f>
        <v>11890</v>
      </c>
      <c r="H579" s="25">
        <v>5660</v>
      </c>
      <c r="I579" s="25">
        <v>5660</v>
      </c>
      <c r="J579" s="76"/>
      <c r="K579" s="76"/>
      <c r="L579" s="76"/>
      <c r="M579" s="76"/>
      <c r="N579" s="76"/>
      <c r="O579" s="76"/>
      <c r="P579" s="76"/>
      <c r="Q579" s="76"/>
    </row>
    <row r="580" spans="1:17" x14ac:dyDescent="0.2">
      <c r="A580" s="18" t="s">
        <v>408</v>
      </c>
      <c r="B580" s="18">
        <v>919</v>
      </c>
      <c r="C580" s="19" t="s">
        <v>30</v>
      </c>
      <c r="D580" s="19" t="s">
        <v>15</v>
      </c>
      <c r="E580" s="16" t="s">
        <v>409</v>
      </c>
      <c r="F580" s="19"/>
      <c r="G580" s="20">
        <f>G581</f>
        <v>225.4</v>
      </c>
      <c r="H580" s="20">
        <f t="shared" ref="H580:I580" si="77">H581</f>
        <v>0</v>
      </c>
      <c r="I580" s="20">
        <f t="shared" si="77"/>
        <v>0</v>
      </c>
      <c r="J580" s="21"/>
      <c r="K580" s="21"/>
      <c r="L580" s="21"/>
      <c r="M580" s="21"/>
      <c r="N580" s="21"/>
      <c r="O580" s="21"/>
      <c r="P580" s="21"/>
      <c r="Q580" s="21"/>
    </row>
    <row r="581" spans="1:17" ht="25.5" x14ac:dyDescent="0.2">
      <c r="A581" s="28" t="s">
        <v>143</v>
      </c>
      <c r="B581" s="28">
        <v>919</v>
      </c>
      <c r="C581" s="24" t="s">
        <v>30</v>
      </c>
      <c r="D581" s="24" t="s">
        <v>15</v>
      </c>
      <c r="E581" s="16" t="s">
        <v>409</v>
      </c>
      <c r="F581" s="24" t="s">
        <v>64</v>
      </c>
      <c r="G581" s="25">
        <v>225.4</v>
      </c>
      <c r="H581" s="25">
        <v>0</v>
      </c>
      <c r="I581" s="25">
        <v>0</v>
      </c>
      <c r="J581" s="21"/>
      <c r="K581" s="21"/>
      <c r="L581" s="21"/>
      <c r="M581" s="21"/>
      <c r="N581" s="21"/>
      <c r="O581" s="21"/>
      <c r="P581" s="21"/>
      <c r="Q581" s="21"/>
    </row>
    <row r="582" spans="1:17" s="9" customFormat="1" ht="25.5" x14ac:dyDescent="0.2">
      <c r="A582" s="11" t="s">
        <v>35</v>
      </c>
      <c r="B582" s="14">
        <v>919</v>
      </c>
      <c r="C582" s="8" t="s">
        <v>30</v>
      </c>
      <c r="D582" s="8" t="s">
        <v>30</v>
      </c>
      <c r="E582" s="8"/>
      <c r="F582" s="8"/>
      <c r="G582" s="4">
        <f>G583+G585+G589</f>
        <v>26733.9</v>
      </c>
      <c r="H582" s="4">
        <f>H583+H585+H589</f>
        <v>22025.300000000003</v>
      </c>
      <c r="I582" s="4">
        <f>I583+I585+I589</f>
        <v>22025.300000000003</v>
      </c>
      <c r="J582" s="106"/>
      <c r="K582" s="106"/>
      <c r="L582" s="106"/>
      <c r="M582" s="106"/>
      <c r="N582" s="106"/>
      <c r="O582" s="106"/>
      <c r="P582" s="106"/>
      <c r="Q582" s="106"/>
    </row>
    <row r="583" spans="1:17" ht="38.25" x14ac:dyDescent="0.2">
      <c r="A583" s="18" t="s">
        <v>326</v>
      </c>
      <c r="B583" s="22">
        <v>919</v>
      </c>
      <c r="C583" s="19" t="s">
        <v>30</v>
      </c>
      <c r="D583" s="19" t="s">
        <v>30</v>
      </c>
      <c r="E583" s="19" t="s">
        <v>325</v>
      </c>
      <c r="F583" s="19"/>
      <c r="G583" s="20">
        <f>G584</f>
        <v>7264.9</v>
      </c>
      <c r="H583" s="20">
        <f>H584</f>
        <v>6359.7</v>
      </c>
      <c r="I583" s="20">
        <f>I584</f>
        <v>6359.7</v>
      </c>
      <c r="J583" s="21"/>
      <c r="K583" s="21"/>
      <c r="L583" s="21"/>
      <c r="M583" s="21"/>
      <c r="N583" s="21"/>
      <c r="O583" s="21"/>
      <c r="P583" s="21"/>
      <c r="Q583" s="21"/>
    </row>
    <row r="584" spans="1:17" s="26" customFormat="1" ht="25.5" x14ac:dyDescent="0.2">
      <c r="A584" s="28" t="s">
        <v>143</v>
      </c>
      <c r="B584" s="31">
        <v>919</v>
      </c>
      <c r="C584" s="24" t="s">
        <v>30</v>
      </c>
      <c r="D584" s="24" t="s">
        <v>30</v>
      </c>
      <c r="E584" s="24" t="s">
        <v>325</v>
      </c>
      <c r="F584" s="24" t="s">
        <v>64</v>
      </c>
      <c r="G584" s="25">
        <f>6299.2+60.5+7.8+890.4+7</f>
        <v>7264.9</v>
      </c>
      <c r="H584" s="25">
        <f>6299.2+60.5</f>
        <v>6359.7</v>
      </c>
      <c r="I584" s="25">
        <f>6299.2+60.5</f>
        <v>6359.7</v>
      </c>
    </row>
    <row r="585" spans="1:17" ht="23.25" customHeight="1" x14ac:dyDescent="0.2">
      <c r="A585" s="18" t="s">
        <v>328</v>
      </c>
      <c r="B585" s="22">
        <v>919</v>
      </c>
      <c r="C585" s="19" t="s">
        <v>30</v>
      </c>
      <c r="D585" s="19" t="s">
        <v>30</v>
      </c>
      <c r="E585" s="19" t="s">
        <v>327</v>
      </c>
      <c r="F585" s="19"/>
      <c r="G585" s="20">
        <f>G586+G588+G587</f>
        <v>5259.3</v>
      </c>
      <c r="H585" s="20">
        <f t="shared" ref="H585:I585" si="78">H586+H588+H587</f>
        <v>4434.2</v>
      </c>
      <c r="I585" s="20">
        <f t="shared" si="78"/>
        <v>4434.2</v>
      </c>
      <c r="J585" s="104"/>
      <c r="K585" s="104"/>
      <c r="L585" s="104"/>
      <c r="M585" s="104"/>
      <c r="N585" s="104"/>
      <c r="O585" s="104"/>
      <c r="P585" s="104"/>
      <c r="Q585" s="104"/>
    </row>
    <row r="586" spans="1:17" s="26" customFormat="1" ht="54" customHeight="1" x14ac:dyDescent="0.2">
      <c r="A586" s="30" t="s">
        <v>65</v>
      </c>
      <c r="B586" s="32">
        <v>919</v>
      </c>
      <c r="C586" s="24" t="s">
        <v>30</v>
      </c>
      <c r="D586" s="24" t="s">
        <v>30</v>
      </c>
      <c r="E586" s="24" t="s">
        <v>327</v>
      </c>
      <c r="F586" s="24" t="s">
        <v>66</v>
      </c>
      <c r="G586" s="25">
        <f>3230.8+975.7+0.8+40.5+530.9-0.5-38.9+4</f>
        <v>4743.3</v>
      </c>
      <c r="H586" s="25">
        <f>3230.8+975.7+0.8+40.5</f>
        <v>4247.8</v>
      </c>
      <c r="I586" s="25">
        <f>3230.8+975.7+0.8+40.5</f>
        <v>4247.8</v>
      </c>
      <c r="J586" s="105"/>
      <c r="K586" s="105"/>
      <c r="L586" s="105"/>
      <c r="M586" s="105"/>
      <c r="N586" s="105"/>
      <c r="O586" s="105"/>
      <c r="P586" s="105"/>
      <c r="Q586" s="105"/>
    </row>
    <row r="587" spans="1:17" s="26" customFormat="1" ht="25.5" x14ac:dyDescent="0.2">
      <c r="A587" s="28" t="s">
        <v>75</v>
      </c>
      <c r="B587" s="32">
        <v>919</v>
      </c>
      <c r="C587" s="24" t="s">
        <v>30</v>
      </c>
      <c r="D587" s="24" t="s">
        <v>30</v>
      </c>
      <c r="E587" s="24" t="s">
        <v>327</v>
      </c>
      <c r="F587" s="24" t="s">
        <v>67</v>
      </c>
      <c r="G587" s="25">
        <f>40+0.8+8+62.4+46+30-0.8+15-0.5+10+120.3+167.8+0.5-4+20</f>
        <v>515.5</v>
      </c>
      <c r="H587" s="25">
        <f>40+0.8+8+62.4+46+30-0.8</f>
        <v>186.39999999999998</v>
      </c>
      <c r="I587" s="25">
        <f>40+0.8+8+62.4+46+30-0.8</f>
        <v>186.39999999999998</v>
      </c>
      <c r="J587" s="105"/>
      <c r="K587" s="105"/>
      <c r="L587" s="105"/>
      <c r="M587" s="105"/>
      <c r="N587" s="105"/>
      <c r="O587" s="105"/>
      <c r="P587" s="105"/>
      <c r="Q587" s="105"/>
    </row>
    <row r="588" spans="1:17" s="26" customFormat="1" x14ac:dyDescent="0.2">
      <c r="A588" s="28" t="s">
        <v>71</v>
      </c>
      <c r="B588" s="32">
        <v>919</v>
      </c>
      <c r="C588" s="24" t="s">
        <v>30</v>
      </c>
      <c r="D588" s="24" t="s">
        <v>30</v>
      </c>
      <c r="E588" s="24" t="s">
        <v>327</v>
      </c>
      <c r="F588" s="24" t="s">
        <v>72</v>
      </c>
      <c r="G588" s="25">
        <v>0.5</v>
      </c>
      <c r="H588" s="25">
        <v>0</v>
      </c>
      <c r="I588" s="25">
        <v>0</v>
      </c>
    </row>
    <row r="589" spans="1:17" s="12" customFormat="1" ht="38.25" x14ac:dyDescent="0.2">
      <c r="A589" s="18" t="s">
        <v>330</v>
      </c>
      <c r="B589" s="22">
        <v>919</v>
      </c>
      <c r="C589" s="19" t="s">
        <v>30</v>
      </c>
      <c r="D589" s="19" t="s">
        <v>30</v>
      </c>
      <c r="E589" s="19" t="s">
        <v>329</v>
      </c>
      <c r="F589" s="5"/>
      <c r="G589" s="6">
        <f>G590</f>
        <v>14209.700000000003</v>
      </c>
      <c r="H589" s="6">
        <f>H590</f>
        <v>11231.400000000001</v>
      </c>
      <c r="I589" s="6">
        <f>I590</f>
        <v>11231.400000000001</v>
      </c>
      <c r="J589" s="123"/>
      <c r="K589" s="123"/>
      <c r="L589" s="123"/>
      <c r="M589" s="123"/>
      <c r="N589" s="123"/>
      <c r="O589" s="123"/>
      <c r="P589" s="123"/>
      <c r="Q589" s="123"/>
    </row>
    <row r="590" spans="1:17" s="26" customFormat="1" ht="25.5" x14ac:dyDescent="0.2">
      <c r="A590" s="28" t="s">
        <v>143</v>
      </c>
      <c r="B590" s="31">
        <v>919</v>
      </c>
      <c r="C590" s="24" t="s">
        <v>30</v>
      </c>
      <c r="D590" s="24" t="s">
        <v>30</v>
      </c>
      <c r="E590" s="24" t="s">
        <v>329</v>
      </c>
      <c r="F590" s="24" t="s">
        <v>64</v>
      </c>
      <c r="G590" s="25">
        <f>11136.2+95.2+1831.1+658+904.2-544.3+129.3</f>
        <v>14209.700000000003</v>
      </c>
      <c r="H590" s="25">
        <f>11136.2+95.2</f>
        <v>11231.400000000001</v>
      </c>
      <c r="I590" s="25">
        <f>11136.2+95.2</f>
        <v>11231.400000000001</v>
      </c>
      <c r="J590" s="105"/>
      <c r="K590" s="105"/>
      <c r="L590" s="105"/>
      <c r="M590" s="105"/>
      <c r="N590" s="105"/>
      <c r="O590" s="105"/>
      <c r="P590" s="105"/>
      <c r="Q590" s="105"/>
    </row>
    <row r="591" spans="1:17" s="9" customFormat="1" x14ac:dyDescent="0.2">
      <c r="A591" s="11" t="s">
        <v>51</v>
      </c>
      <c r="B591" s="14">
        <v>919</v>
      </c>
      <c r="C591" s="8" t="s">
        <v>50</v>
      </c>
      <c r="D591" s="8"/>
      <c r="E591" s="8"/>
      <c r="F591" s="8"/>
      <c r="G591" s="4">
        <f>G592+G596</f>
        <v>4066.1516199999996</v>
      </c>
      <c r="H591" s="4">
        <f>H592+H596</f>
        <v>3774.4999999999995</v>
      </c>
      <c r="I591" s="4">
        <f>I592+I596</f>
        <v>3774.4999999999995</v>
      </c>
      <c r="J591" s="106"/>
      <c r="K591" s="106"/>
      <c r="L591" s="106"/>
      <c r="M591" s="106"/>
      <c r="N591" s="106"/>
      <c r="O591" s="106"/>
      <c r="P591" s="106"/>
      <c r="Q591" s="106"/>
    </row>
    <row r="592" spans="1:17" s="3" customFormat="1" x14ac:dyDescent="0.2">
      <c r="A592" s="13" t="s">
        <v>54</v>
      </c>
      <c r="B592" s="42">
        <v>919</v>
      </c>
      <c r="C592" s="1" t="s">
        <v>50</v>
      </c>
      <c r="D592" s="1" t="s">
        <v>15</v>
      </c>
      <c r="E592" s="1"/>
      <c r="F592" s="1"/>
      <c r="G592" s="2">
        <f t="shared" ref="G592:I592" si="79">G593</f>
        <v>206.9</v>
      </c>
      <c r="H592" s="2">
        <f t="shared" si="79"/>
        <v>175</v>
      </c>
      <c r="I592" s="2">
        <f t="shared" si="79"/>
        <v>175</v>
      </c>
    </row>
    <row r="593" spans="1:17" ht="63.75" x14ac:dyDescent="0.2">
      <c r="A593" s="18" t="s">
        <v>285</v>
      </c>
      <c r="B593" s="50">
        <v>919</v>
      </c>
      <c r="C593" s="19" t="s">
        <v>50</v>
      </c>
      <c r="D593" s="19" t="s">
        <v>15</v>
      </c>
      <c r="E593" s="19" t="s">
        <v>91</v>
      </c>
      <c r="F593" s="19"/>
      <c r="G593" s="20">
        <f>G595</f>
        <v>206.9</v>
      </c>
      <c r="H593" s="20">
        <f t="shared" ref="H593:I593" si="80">H595</f>
        <v>175</v>
      </c>
      <c r="I593" s="20">
        <f t="shared" si="80"/>
        <v>175</v>
      </c>
      <c r="J593" s="21"/>
      <c r="K593" s="21"/>
      <c r="L593" s="21"/>
      <c r="M593" s="21"/>
      <c r="N593" s="21"/>
      <c r="O593" s="21"/>
      <c r="P593" s="21"/>
      <c r="Q593" s="21"/>
    </row>
    <row r="594" spans="1:17" s="26" customFormat="1" x14ac:dyDescent="0.2">
      <c r="A594" s="28" t="s">
        <v>68</v>
      </c>
      <c r="B594" s="31">
        <v>919</v>
      </c>
      <c r="C594" s="24" t="s">
        <v>50</v>
      </c>
      <c r="D594" s="24" t="s">
        <v>15</v>
      </c>
      <c r="E594" s="19" t="s">
        <v>91</v>
      </c>
      <c r="F594" s="24" t="s">
        <v>69</v>
      </c>
      <c r="G594" s="25">
        <f>175-175</f>
        <v>0</v>
      </c>
      <c r="H594" s="25">
        <f>175-175</f>
        <v>0</v>
      </c>
      <c r="I594" s="25">
        <f>175-175</f>
        <v>0</v>
      </c>
    </row>
    <row r="595" spans="1:17" s="76" customFormat="1" x14ac:dyDescent="0.2">
      <c r="A595" s="79" t="s">
        <v>71</v>
      </c>
      <c r="B595" s="78">
        <v>919</v>
      </c>
      <c r="C595" s="74" t="s">
        <v>50</v>
      </c>
      <c r="D595" s="74" t="s">
        <v>15</v>
      </c>
      <c r="E595" s="69" t="s">
        <v>91</v>
      </c>
      <c r="F595" s="74" t="s">
        <v>72</v>
      </c>
      <c r="G595" s="58">
        <f>175+31.9</f>
        <v>206.9</v>
      </c>
      <c r="H595" s="58">
        <v>175</v>
      </c>
      <c r="I595" s="58">
        <v>175</v>
      </c>
    </row>
    <row r="596" spans="1:17" s="9" customFormat="1" x14ac:dyDescent="0.2">
      <c r="A596" s="11" t="s">
        <v>56</v>
      </c>
      <c r="B596" s="14">
        <v>919</v>
      </c>
      <c r="C596" s="8" t="s">
        <v>50</v>
      </c>
      <c r="D596" s="8" t="s">
        <v>49</v>
      </c>
      <c r="E596" s="8"/>
      <c r="F596" s="8"/>
      <c r="G596" s="4">
        <f>G597+G599+G601</f>
        <v>3859.2516199999995</v>
      </c>
      <c r="H596" s="4">
        <f>H597+H599+H601</f>
        <v>3599.4999999999995</v>
      </c>
      <c r="I596" s="4">
        <f>I597+I599+I601</f>
        <v>3599.4999999999995</v>
      </c>
      <c r="J596" s="106"/>
      <c r="K596" s="106"/>
      <c r="L596" s="106"/>
      <c r="M596" s="106"/>
      <c r="N596" s="106"/>
      <c r="O596" s="106"/>
      <c r="P596" s="106"/>
      <c r="Q596" s="106"/>
    </row>
    <row r="597" spans="1:17" x14ac:dyDescent="0.2">
      <c r="A597" s="18" t="s">
        <v>331</v>
      </c>
      <c r="B597" s="22">
        <v>919</v>
      </c>
      <c r="C597" s="19" t="s">
        <v>50</v>
      </c>
      <c r="D597" s="19" t="s">
        <v>49</v>
      </c>
      <c r="E597" s="19" t="s">
        <v>332</v>
      </c>
      <c r="F597" s="19"/>
      <c r="G597" s="20">
        <f>G598</f>
        <v>814.7</v>
      </c>
      <c r="H597" s="20">
        <f>H598</f>
        <v>814.7</v>
      </c>
      <c r="I597" s="20">
        <f>I598</f>
        <v>814.7</v>
      </c>
      <c r="J597" s="21"/>
      <c r="K597" s="21"/>
      <c r="L597" s="21"/>
      <c r="M597" s="21"/>
      <c r="N597" s="21"/>
      <c r="O597" s="21"/>
      <c r="P597" s="21"/>
      <c r="Q597" s="21"/>
    </row>
    <row r="598" spans="1:17" s="26" customFormat="1" x14ac:dyDescent="0.2">
      <c r="A598" s="28" t="s">
        <v>68</v>
      </c>
      <c r="B598" s="31">
        <v>919</v>
      </c>
      <c r="C598" s="24" t="s">
        <v>50</v>
      </c>
      <c r="D598" s="24" t="s">
        <v>49</v>
      </c>
      <c r="E598" s="24" t="s">
        <v>332</v>
      </c>
      <c r="F598" s="24" t="s">
        <v>69</v>
      </c>
      <c r="G598" s="25">
        <v>814.7</v>
      </c>
      <c r="H598" s="25">
        <v>814.7</v>
      </c>
      <c r="I598" s="25">
        <v>814.7</v>
      </c>
    </row>
    <row r="599" spans="1:17" ht="25.5" x14ac:dyDescent="0.2">
      <c r="A599" s="18" t="s">
        <v>334</v>
      </c>
      <c r="B599" s="18">
        <v>919</v>
      </c>
      <c r="C599" s="19" t="s">
        <v>50</v>
      </c>
      <c r="D599" s="19" t="s">
        <v>49</v>
      </c>
      <c r="E599" s="19" t="s">
        <v>333</v>
      </c>
      <c r="F599" s="19"/>
      <c r="G599" s="20">
        <f>G600</f>
        <v>2966.4516199999994</v>
      </c>
      <c r="H599" s="20">
        <f>H600</f>
        <v>2706.7</v>
      </c>
      <c r="I599" s="20">
        <f>I600</f>
        <v>2706.7</v>
      </c>
      <c r="J599" s="104"/>
      <c r="K599" s="104"/>
      <c r="L599" s="104"/>
      <c r="M599" s="104"/>
      <c r="N599" s="104"/>
      <c r="O599" s="104"/>
      <c r="P599" s="104"/>
      <c r="Q599" s="104"/>
    </row>
    <row r="600" spans="1:17" s="26" customFormat="1" x14ac:dyDescent="0.2">
      <c r="A600" s="28" t="s">
        <v>68</v>
      </c>
      <c r="B600" s="28">
        <v>919</v>
      </c>
      <c r="C600" s="24" t="s">
        <v>50</v>
      </c>
      <c r="D600" s="24" t="s">
        <v>49</v>
      </c>
      <c r="E600" s="24" t="s">
        <v>333</v>
      </c>
      <c r="F600" s="24" t="s">
        <v>69</v>
      </c>
      <c r="G600" s="25">
        <f>2706.7-1279.94838+1713.6-200+26.1</f>
        <v>2966.4516199999994</v>
      </c>
      <c r="H600" s="25">
        <v>2706.7</v>
      </c>
      <c r="I600" s="25">
        <v>2706.7</v>
      </c>
      <c r="J600" s="105"/>
      <c r="K600" s="105"/>
      <c r="L600" s="105"/>
      <c r="M600" s="105"/>
      <c r="N600" s="105"/>
      <c r="O600" s="105"/>
      <c r="P600" s="105"/>
      <c r="Q600" s="105"/>
    </row>
    <row r="601" spans="1:17" ht="76.5" x14ac:dyDescent="0.2">
      <c r="A601" s="57" t="s">
        <v>336</v>
      </c>
      <c r="B601" s="51">
        <v>919</v>
      </c>
      <c r="C601" s="19" t="s">
        <v>50</v>
      </c>
      <c r="D601" s="19" t="s">
        <v>49</v>
      </c>
      <c r="E601" s="19" t="s">
        <v>335</v>
      </c>
      <c r="F601" s="19"/>
      <c r="G601" s="20">
        <f>G602</f>
        <v>78.099999999999994</v>
      </c>
      <c r="H601" s="20">
        <f>H602</f>
        <v>78.099999999999994</v>
      </c>
      <c r="I601" s="20">
        <f>I602</f>
        <v>78.099999999999994</v>
      </c>
      <c r="J601" s="21"/>
      <c r="K601" s="21"/>
      <c r="L601" s="21"/>
      <c r="M601" s="21"/>
      <c r="N601" s="21"/>
      <c r="O601" s="21"/>
      <c r="P601" s="21"/>
      <c r="Q601" s="21"/>
    </row>
    <row r="602" spans="1:17" s="26" customFormat="1" x14ac:dyDescent="0.2">
      <c r="A602" s="52" t="s">
        <v>68</v>
      </c>
      <c r="B602" s="28">
        <v>919</v>
      </c>
      <c r="C602" s="24" t="s">
        <v>50</v>
      </c>
      <c r="D602" s="24" t="s">
        <v>49</v>
      </c>
      <c r="E602" s="24" t="s">
        <v>335</v>
      </c>
      <c r="F602" s="24" t="s">
        <v>69</v>
      </c>
      <c r="G602" s="25">
        <v>78.099999999999994</v>
      </c>
      <c r="H602" s="25">
        <v>78.099999999999994</v>
      </c>
      <c r="I602" s="25">
        <v>78.099999999999994</v>
      </c>
    </row>
    <row r="603" spans="1:17" s="15" customFormat="1" ht="14.25" customHeight="1" x14ac:dyDescent="0.25">
      <c r="A603" s="33" t="s">
        <v>57</v>
      </c>
      <c r="B603" s="45"/>
      <c r="C603" s="34"/>
      <c r="D603" s="34"/>
      <c r="E603" s="34"/>
      <c r="F603" s="34"/>
      <c r="G603" s="35">
        <f>G508+G394+G351+G239+G225+G216+G174+G143+G15</f>
        <v>3307501.3798199999</v>
      </c>
      <c r="H603" s="35">
        <f>H508+H394+H351+H239+H225+H216+H174+H143+H15</f>
        <v>2358925.0938200001</v>
      </c>
      <c r="I603" s="35">
        <f>I508+I394+I351+I239+I225+I216+I174+I143+I15</f>
        <v>2329617.9831299996</v>
      </c>
    </row>
    <row r="604" spans="1:17" ht="9.75" customHeight="1" x14ac:dyDescent="0.2">
      <c r="G604" s="116"/>
      <c r="H604" s="116"/>
      <c r="I604" s="116"/>
    </row>
    <row r="605" spans="1:17" s="71" customFormat="1" hidden="1" x14ac:dyDescent="0.2">
      <c r="C605" s="98"/>
      <c r="D605" s="98"/>
      <c r="E605" s="98"/>
      <c r="F605" s="98"/>
      <c r="G605" s="102"/>
      <c r="H605" s="102"/>
      <c r="I605" s="102"/>
    </row>
    <row r="606" spans="1:17" s="71" customFormat="1" hidden="1" x14ac:dyDescent="0.2">
      <c r="C606" s="98"/>
      <c r="D606" s="98"/>
      <c r="E606" s="98"/>
      <c r="F606" s="98"/>
      <c r="G606" s="102">
        <f>3068286.91127+2000+13.63059+1268.63294+40.89179+50+2538.27819+25-500+120+40+30+452+800+85.1-549+37672.1+158.5+119.3+186.5+137.6-5.6-595.9+180.6+283.3+54.52238+52000+1000+850-30+88+3200+1339+110+685.7-30+100-100-4017-390-45+1000+650+15+4432.6+50+1.5-650+6952.9-312.4628+100879+81</f>
        <v>3280752.6043600002</v>
      </c>
      <c r="H606" s="102">
        <f>2338074.6-387+20441.05382+796.44</f>
        <v>2358925.0938200001</v>
      </c>
      <c r="I606" s="102">
        <f>2308087.1-387+21095.92313+821.96</f>
        <v>2329617.9831300001</v>
      </c>
    </row>
    <row r="607" spans="1:17" s="71" customFormat="1" hidden="1" x14ac:dyDescent="0.2">
      <c r="C607" s="98"/>
      <c r="D607" s="98"/>
      <c r="E607" s="98"/>
      <c r="F607" s="98"/>
      <c r="G607" s="103">
        <f>G606-G603</f>
        <v>-26748.775459999684</v>
      </c>
      <c r="H607" s="102">
        <f>H606-H603</f>
        <v>0</v>
      </c>
      <c r="I607" s="102">
        <f>I606-I603</f>
        <v>0</v>
      </c>
    </row>
    <row r="608" spans="1:17" ht="24" customHeight="1" x14ac:dyDescent="0.2">
      <c r="A608" s="117" t="s">
        <v>63</v>
      </c>
      <c r="B608" s="109"/>
      <c r="F608" s="116"/>
      <c r="G608" s="118"/>
      <c r="H608" s="118"/>
      <c r="I608" s="119" t="s">
        <v>79</v>
      </c>
    </row>
    <row r="610" spans="3:9" x14ac:dyDescent="0.2">
      <c r="G610" s="116"/>
      <c r="H610" s="116"/>
      <c r="I610" s="116"/>
    </row>
    <row r="611" spans="3:9" x14ac:dyDescent="0.2">
      <c r="C611" s="21"/>
      <c r="D611" s="21"/>
      <c r="E611" s="21"/>
      <c r="F611" s="21"/>
      <c r="G611" s="21"/>
      <c r="H611" s="21"/>
      <c r="I611" s="21"/>
    </row>
    <row r="612" spans="3:9" x14ac:dyDescent="0.2">
      <c r="C612" s="21"/>
      <c r="D612" s="21"/>
      <c r="E612" s="21"/>
      <c r="F612" s="21"/>
      <c r="G612" s="21"/>
      <c r="H612" s="21"/>
      <c r="I612" s="21"/>
    </row>
    <row r="613" spans="3:9" x14ac:dyDescent="0.2">
      <c r="C613" s="21"/>
      <c r="D613" s="21"/>
      <c r="E613" s="21"/>
      <c r="F613" s="21"/>
      <c r="G613" s="21"/>
      <c r="H613" s="21"/>
      <c r="I613" s="21"/>
    </row>
    <row r="614" spans="3:9" x14ac:dyDescent="0.2">
      <c r="C614" s="21"/>
      <c r="D614" s="21"/>
      <c r="E614" s="21"/>
      <c r="F614" s="21"/>
      <c r="G614" s="21"/>
      <c r="H614" s="21"/>
      <c r="I614" s="21"/>
    </row>
  </sheetData>
  <mergeCells count="18">
    <mergeCell ref="H12:H13"/>
    <mergeCell ref="I12:I13"/>
    <mergeCell ref="A9:I9"/>
    <mergeCell ref="A10:I10"/>
    <mergeCell ref="A11:G11"/>
    <mergeCell ref="A12:A13"/>
    <mergeCell ref="B12:B13"/>
    <mergeCell ref="C12:C13"/>
    <mergeCell ref="D12:D13"/>
    <mergeCell ref="E12:E13"/>
    <mergeCell ref="F12:F13"/>
    <mergeCell ref="G12:G13"/>
    <mergeCell ref="A7:I7"/>
    <mergeCell ref="A1:I1"/>
    <mergeCell ref="A2:I2"/>
    <mergeCell ref="A3:I3"/>
    <mergeCell ref="A5:I5"/>
    <mergeCell ref="A6:I6"/>
  </mergeCells>
  <pageMargins left="0.78740157480314965" right="0.39370078740157483" top="0.59055118110236227" bottom="0.78740157480314965" header="0.31496062992125984" footer="0.31496062992125984"/>
  <pageSetup paperSize="9" scale="60" fitToHeight="3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снд</vt:lpstr>
      <vt:lpstr>снд!Заголовки_для_печати</vt:lpstr>
      <vt:lpstr>снд!Область_печати</vt:lpstr>
    </vt:vector>
  </TitlesOfParts>
  <Company>ПредБредБракЗнакСбытЗагранПодставка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Elena Kataeva</cp:lastModifiedBy>
  <cp:lastPrinted>2018-11-15T07:30:06Z</cp:lastPrinted>
  <dcterms:created xsi:type="dcterms:W3CDTF">2007-12-19T00:56:18Z</dcterms:created>
  <dcterms:modified xsi:type="dcterms:W3CDTF">2018-11-15T07:30:09Z</dcterms:modified>
</cp:coreProperties>
</file>