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55" yWindow="12090" windowWidth="15480" windowHeight="1170"/>
  </bookViews>
  <sheets>
    <sheet name=" первое чтение вед стр-ра" sheetId="23" r:id="rId1"/>
    <sheet name="первое чтение программы" sheetId="25" r:id="rId2"/>
    <sheet name="первое чтение по разд" sheetId="26" r:id="rId3"/>
    <sheet name="ПНО 1-е чтение" sheetId="27" r:id="rId4"/>
    <sheet name="ПНО 2-е чтение" sheetId="28" r:id="rId5"/>
  </sheets>
  <externalReferences>
    <externalReference r:id="rId6"/>
  </externalReferences>
  <definedNames>
    <definedName name="_xlnm._FilterDatabase" localSheetId="0" hidden="1">' первое чтение вед стр-ра'!$A$13:$X$699</definedName>
    <definedName name="_xlnm._FilterDatabase" localSheetId="2" hidden="1">'первое чтение по разд'!$A$12:$H$625</definedName>
    <definedName name="_xlnm._FilterDatabase" localSheetId="1" hidden="1">'первое чтение программы'!$A$11:$P$594</definedName>
    <definedName name="_xlnm._FilterDatabase" localSheetId="3" hidden="1">'ПНО 1-е чтение'!$A$3:$X$14</definedName>
    <definedName name="_xlnm._FilterDatabase" localSheetId="4" hidden="1">'ПНО 2-е чтение'!$A$3:$X$16</definedName>
    <definedName name="_xlnm.Print_Titles" localSheetId="0">' первое чтение вед стр-ра'!$13:$13</definedName>
    <definedName name="_xlnm.Print_Titles" localSheetId="2">'первое чтение по разд'!$13:$13</definedName>
    <definedName name="_xlnm.Print_Titles" localSheetId="1">'первое чтение программы'!$12:$12</definedName>
    <definedName name="_xlnm.Print_Area" localSheetId="0">' первое чтение вед стр-ра'!$A$1:$I$704</definedName>
    <definedName name="_xlnm.Print_Area" localSheetId="2">'первое чтение по разд'!$A$1:$H$628</definedName>
    <definedName name="_xlnm.Print_Area" localSheetId="1">'первое чтение программы'!$A$1:$I$598</definedName>
  </definedNames>
  <calcPr calcId="145621"/>
  <customWorkbookViews>
    <customWorkbookView name="1 - Личное представление" guid="{03BC1D99-56E3-404F-AC0E-FE8E84323C69}" mergeInterval="0" personalView="1" maximized="1" windowWidth="1020" windowHeight="603" activeSheetId="1"/>
    <customWorkbookView name="Татьяна - Личное представление" guid="{AB8DF83A-FB6E-48A4-952A-1147FB4C2AE7}" mergeInterval="0" personalView="1" maximized="1" windowWidth="1276" windowHeight="852" activeSheetId="1"/>
    <customWorkbookView name="referent - Личное представление" guid="{569C28AC-508A-42E7-9335-028897488E30}" mergeInterval="0" personalView="1" maximized="1" windowWidth="1148" windowHeight="665" activeSheetId="1"/>
  </customWorkbookViews>
</workbook>
</file>

<file path=xl/calcChain.xml><?xml version="1.0" encoding="utf-8"?>
<calcChain xmlns="http://schemas.openxmlformats.org/spreadsheetml/2006/main">
  <c r="F65" i="26" l="1"/>
  <c r="G53" i="23" l="1"/>
  <c r="G122" i="23"/>
  <c r="I70" i="23"/>
  <c r="H70" i="23"/>
  <c r="G70" i="23"/>
  <c r="I33" i="23"/>
  <c r="H33" i="23"/>
  <c r="G33" i="23"/>
  <c r="I27" i="23" l="1"/>
  <c r="H27" i="23"/>
  <c r="G27" i="23"/>
  <c r="I685" i="23"/>
  <c r="H685" i="23"/>
  <c r="G685" i="23"/>
  <c r="G663" i="23"/>
  <c r="G627" i="23"/>
  <c r="G625" i="23"/>
  <c r="G706" i="23"/>
  <c r="G676" i="23"/>
  <c r="G466" i="23"/>
  <c r="G458" i="23"/>
  <c r="G455" i="23"/>
  <c r="G453" i="23"/>
  <c r="G433" i="23"/>
  <c r="G442" i="23"/>
  <c r="G580" i="23" l="1"/>
  <c r="G34" i="23"/>
  <c r="G29" i="23"/>
  <c r="I28" i="23"/>
  <c r="H28" i="23"/>
  <c r="G28" i="23"/>
  <c r="H79" i="26" l="1"/>
  <c r="H80" i="26"/>
  <c r="G81" i="26"/>
  <c r="H81" i="26"/>
  <c r="F81" i="26"/>
  <c r="I40" i="25"/>
  <c r="H42" i="25"/>
  <c r="I42" i="25"/>
  <c r="G41" i="25"/>
  <c r="G42" i="25"/>
  <c r="F79" i="26"/>
  <c r="I41" i="25"/>
  <c r="I39" i="25" s="1"/>
  <c r="G80" i="26"/>
  <c r="F80" i="26"/>
  <c r="G69" i="23"/>
  <c r="G368" i="23"/>
  <c r="I366" i="23"/>
  <c r="H366" i="23"/>
  <c r="G366" i="23"/>
  <c r="I365" i="23"/>
  <c r="H365" i="23"/>
  <c r="G365" i="23"/>
  <c r="I328" i="23"/>
  <c r="H328" i="23"/>
  <c r="G328" i="23"/>
  <c r="I307" i="23"/>
  <c r="I306" i="23"/>
  <c r="H307" i="23"/>
  <c r="H306" i="23"/>
  <c r="G306" i="23"/>
  <c r="H78" i="26" l="1"/>
  <c r="H41" i="25"/>
  <c r="H69" i="23"/>
  <c r="G40" i="25"/>
  <c r="G39" i="25" s="1"/>
  <c r="H40" i="25"/>
  <c r="I69" i="23"/>
  <c r="G79" i="26"/>
  <c r="G78" i="26" s="1"/>
  <c r="F78" i="26"/>
  <c r="H39" i="25" l="1"/>
  <c r="G172" i="23"/>
  <c r="G391" i="23" l="1"/>
  <c r="G390" i="23"/>
  <c r="G389" i="23"/>
  <c r="G363" i="23"/>
  <c r="G334" i="23"/>
  <c r="G324" i="23"/>
  <c r="G307" i="23"/>
  <c r="G273" i="23"/>
  <c r="G261" i="23"/>
  <c r="G661" i="23" l="1"/>
  <c r="G667" i="23"/>
  <c r="G646" i="23"/>
  <c r="G203" i="23" l="1"/>
  <c r="G204" i="23"/>
  <c r="G465" i="23"/>
  <c r="G462" i="23"/>
  <c r="G461" i="23"/>
  <c r="G675" i="23"/>
  <c r="G631" i="23"/>
  <c r="G193" i="26" l="1"/>
  <c r="G192" i="26" s="1"/>
  <c r="H193" i="26"/>
  <c r="H192" i="26" s="1"/>
  <c r="F193" i="26"/>
  <c r="F192" i="26" s="1"/>
  <c r="H144" i="25"/>
  <c r="H143" i="25" s="1"/>
  <c r="I144" i="25"/>
  <c r="I143" i="25" s="1"/>
  <c r="G144" i="25"/>
  <c r="G143" i="25" s="1"/>
  <c r="H119" i="23"/>
  <c r="I119" i="23"/>
  <c r="G119" i="23"/>
  <c r="H189" i="26"/>
  <c r="F189" i="26"/>
  <c r="F188" i="26"/>
  <c r="H186" i="26"/>
  <c r="H185" i="26" s="1"/>
  <c r="F186" i="26"/>
  <c r="F185" i="26" s="1"/>
  <c r="I135" i="25"/>
  <c r="G135" i="25"/>
  <c r="G134" i="25"/>
  <c r="I132" i="25"/>
  <c r="I131" i="25" s="1"/>
  <c r="G132" i="25"/>
  <c r="G131" i="25" s="1"/>
  <c r="I114" i="23"/>
  <c r="G114" i="23"/>
  <c r="H118" i="23"/>
  <c r="H135" i="25" s="1"/>
  <c r="I117" i="23"/>
  <c r="I116" i="23" s="1"/>
  <c r="H117" i="23"/>
  <c r="G188" i="26" s="1"/>
  <c r="H115" i="23"/>
  <c r="H132" i="25" s="1"/>
  <c r="H131" i="25" s="1"/>
  <c r="H116" i="23" l="1"/>
  <c r="G186" i="26"/>
  <c r="G185" i="26" s="1"/>
  <c r="H114" i="23"/>
  <c r="I134" i="25"/>
  <c r="I133" i="25" s="1"/>
  <c r="G189" i="26"/>
  <c r="H134" i="25"/>
  <c r="H133" i="25" s="1"/>
  <c r="H188" i="26"/>
  <c r="H187" i="26" s="1"/>
  <c r="F187" i="26"/>
  <c r="G187" i="26"/>
  <c r="G133" i="25"/>
  <c r="G116" i="23"/>
  <c r="G588" i="26" l="1"/>
  <c r="H588" i="26"/>
  <c r="F588" i="26"/>
  <c r="G146" i="25"/>
  <c r="G170" i="23"/>
  <c r="G330" i="23" l="1"/>
  <c r="G303" i="23"/>
  <c r="G272" i="23"/>
  <c r="G519" i="23" l="1"/>
  <c r="G518" i="23"/>
  <c r="G644" i="23" l="1"/>
  <c r="H706" i="23"/>
  <c r="I706" i="23"/>
  <c r="G141" i="23"/>
  <c r="H111" i="23" l="1"/>
  <c r="I661" i="23" l="1"/>
  <c r="I660" i="23" s="1"/>
  <c r="H661" i="23"/>
  <c r="H660" i="23" s="1"/>
  <c r="F228" i="26"/>
  <c r="F227" i="26" s="1"/>
  <c r="G660" i="23" l="1"/>
  <c r="G228" i="26"/>
  <c r="G227" i="26" s="1"/>
  <c r="H228" i="26"/>
  <c r="H227" i="26" s="1"/>
  <c r="F147" i="26" l="1"/>
  <c r="G558" i="25"/>
  <c r="G560" i="25"/>
  <c r="F230" i="26"/>
  <c r="F229" i="26" s="1"/>
  <c r="G662" i="23"/>
  <c r="G650" i="23"/>
  <c r="G595" i="23" l="1"/>
  <c r="G596" i="23"/>
  <c r="G581" i="23"/>
  <c r="G47" i="23"/>
  <c r="H162" i="23" l="1"/>
  <c r="I162" i="23" l="1"/>
  <c r="I230" i="23"/>
  <c r="H230" i="23"/>
  <c r="G230" i="23"/>
  <c r="I137" i="23" l="1"/>
  <c r="H137" i="23"/>
  <c r="G137" i="23"/>
  <c r="I37" i="23" l="1"/>
  <c r="G37" i="23"/>
  <c r="H533" i="25" l="1"/>
  <c r="H532" i="25" s="1"/>
  <c r="H531" i="25" s="1"/>
  <c r="I533" i="25"/>
  <c r="I532" i="25" s="1"/>
  <c r="I531" i="25" s="1"/>
  <c r="G533" i="25"/>
  <c r="G532" i="25" s="1"/>
  <c r="G531" i="25" s="1"/>
  <c r="H562" i="25"/>
  <c r="I562" i="25"/>
  <c r="H247" i="26"/>
  <c r="H246" i="26" s="1"/>
  <c r="G247" i="26"/>
  <c r="G246" i="26" s="1"/>
  <c r="F247" i="26"/>
  <c r="F246" i="26" s="1"/>
  <c r="I536" i="25"/>
  <c r="I535" i="25" s="1"/>
  <c r="I534" i="25" s="1"/>
  <c r="H536" i="25"/>
  <c r="H535" i="25" s="1"/>
  <c r="H534" i="25" s="1"/>
  <c r="G536" i="25"/>
  <c r="G535" i="25" s="1"/>
  <c r="G534" i="25" s="1"/>
  <c r="H679" i="23"/>
  <c r="I679" i="23"/>
  <c r="G679" i="23"/>
  <c r="I663" i="23"/>
  <c r="H663" i="23"/>
  <c r="I627" i="23"/>
  <c r="H627" i="23"/>
  <c r="I617" i="23"/>
  <c r="G230" i="26" l="1"/>
  <c r="G229" i="26" s="1"/>
  <c r="H662" i="23"/>
  <c r="H560" i="25"/>
  <c r="H558" i="25"/>
  <c r="G147" i="26"/>
  <c r="H230" i="26"/>
  <c r="H229" i="26" s="1"/>
  <c r="I662" i="23"/>
  <c r="I560" i="25"/>
  <c r="I558" i="25"/>
  <c r="H147" i="26"/>
  <c r="I676" i="23"/>
  <c r="H676" i="23"/>
  <c r="G642" i="23"/>
  <c r="I539" i="23" l="1"/>
  <c r="H539" i="23"/>
  <c r="G539" i="23"/>
  <c r="I491" i="23" l="1"/>
  <c r="H491" i="23"/>
  <c r="G491" i="23"/>
  <c r="I494" i="23"/>
  <c r="I493" i="23"/>
  <c r="H494" i="23"/>
  <c r="H493" i="23"/>
  <c r="G493" i="23"/>
  <c r="G494" i="23"/>
  <c r="H5" i="28" l="1"/>
  <c r="H17" i="28" s="1"/>
  <c r="G5" i="28"/>
  <c r="G17" i="28" s="1"/>
  <c r="I17" i="28"/>
  <c r="H382" i="23"/>
  <c r="G382" i="23"/>
  <c r="I295" i="23"/>
  <c r="H295" i="23"/>
  <c r="G295" i="23"/>
  <c r="I293" i="23"/>
  <c r="H293" i="23"/>
  <c r="G293" i="23"/>
  <c r="I289" i="23" l="1"/>
  <c r="H289" i="23"/>
  <c r="G289" i="23"/>
  <c r="G648" i="23" l="1"/>
  <c r="G498" i="23" l="1"/>
  <c r="I315" i="23" l="1"/>
  <c r="H315" i="23"/>
  <c r="G315" i="23"/>
  <c r="G189" i="23" l="1"/>
  <c r="G190" i="23"/>
  <c r="I341" i="23" l="1"/>
  <c r="H341" i="23"/>
  <c r="G341" i="23"/>
  <c r="H15" i="27" l="1"/>
  <c r="I15" i="27"/>
  <c r="G15" i="27"/>
  <c r="G283" i="23" l="1"/>
  <c r="G278" i="23"/>
  <c r="I211" i="23" l="1"/>
  <c r="H211" i="23"/>
  <c r="G211" i="23"/>
  <c r="G212" i="23"/>
  <c r="H173" i="26" l="1"/>
  <c r="G173" i="26"/>
  <c r="F173" i="26"/>
  <c r="H171" i="26"/>
  <c r="G171" i="26"/>
  <c r="F171" i="26"/>
  <c r="H169" i="26"/>
  <c r="G169" i="26"/>
  <c r="F169" i="26"/>
  <c r="H167" i="26"/>
  <c r="G167" i="26"/>
  <c r="F167" i="26"/>
  <c r="H165" i="26"/>
  <c r="G165" i="26"/>
  <c r="F165" i="26"/>
  <c r="H163" i="26"/>
  <c r="G163" i="26"/>
  <c r="F163" i="26"/>
  <c r="H575" i="25"/>
  <c r="H574" i="25" s="1"/>
  <c r="I575" i="25"/>
  <c r="I574" i="25" s="1"/>
  <c r="G575" i="25"/>
  <c r="G574" i="25" s="1"/>
  <c r="H573" i="25"/>
  <c r="H572" i="25" s="1"/>
  <c r="I573" i="25"/>
  <c r="I572" i="25" s="1"/>
  <c r="G573" i="25"/>
  <c r="G572" i="25" s="1"/>
  <c r="H571" i="25"/>
  <c r="H570" i="25" s="1"/>
  <c r="I571" i="25"/>
  <c r="I570" i="25" s="1"/>
  <c r="G571" i="25"/>
  <c r="G570" i="25" s="1"/>
  <c r="H569" i="25"/>
  <c r="H568" i="25" s="1"/>
  <c r="I569" i="25"/>
  <c r="I568" i="25" s="1"/>
  <c r="G569" i="25"/>
  <c r="G568" i="25" s="1"/>
  <c r="H567" i="25"/>
  <c r="H566" i="25" s="1"/>
  <c r="I567" i="25"/>
  <c r="I566" i="25" s="1"/>
  <c r="G567" i="25"/>
  <c r="G566" i="25" s="1"/>
  <c r="H565" i="25"/>
  <c r="H564" i="25" s="1"/>
  <c r="I565" i="25"/>
  <c r="I564" i="25" s="1"/>
  <c r="G565" i="25"/>
  <c r="G564" i="25" s="1"/>
  <c r="G578" i="25"/>
  <c r="H578" i="25"/>
  <c r="I578" i="25"/>
  <c r="G579" i="25"/>
  <c r="H579" i="25"/>
  <c r="I579" i="25"/>
  <c r="G581" i="25"/>
  <c r="G580" i="25" s="1"/>
  <c r="H581" i="25"/>
  <c r="H580" i="25" s="1"/>
  <c r="I581" i="25"/>
  <c r="I580" i="25" s="1"/>
  <c r="G586" i="25"/>
  <c r="H586" i="25"/>
  <c r="I586" i="25"/>
  <c r="G587" i="25"/>
  <c r="H587" i="25"/>
  <c r="I587" i="25"/>
  <c r="J410" i="23"/>
  <c r="K410" i="23"/>
  <c r="L410" i="23"/>
  <c r="M410" i="23"/>
  <c r="N410" i="23"/>
  <c r="O410" i="23"/>
  <c r="P410" i="23"/>
  <c r="Q410" i="23"/>
  <c r="I423" i="23"/>
  <c r="H423" i="23"/>
  <c r="G423" i="23"/>
  <c r="I421" i="23"/>
  <c r="H421" i="23"/>
  <c r="G421" i="23"/>
  <c r="I419" i="23"/>
  <c r="H419" i="23"/>
  <c r="G419" i="23"/>
  <c r="I417" i="23"/>
  <c r="H417" i="23"/>
  <c r="G417" i="23"/>
  <c r="I415" i="23"/>
  <c r="H415" i="23"/>
  <c r="G415" i="23"/>
  <c r="H413" i="23"/>
  <c r="I413" i="23"/>
  <c r="G413" i="23"/>
  <c r="I412" i="23" l="1"/>
  <c r="I411" i="23" s="1"/>
  <c r="G412" i="23"/>
  <c r="G411" i="23" s="1"/>
  <c r="H563" i="25"/>
  <c r="I563" i="25"/>
  <c r="H412" i="23"/>
  <c r="H411" i="23" s="1"/>
  <c r="G563" i="25"/>
  <c r="I577" i="25"/>
  <c r="H577" i="25"/>
  <c r="G577" i="25"/>
  <c r="I18" i="23"/>
  <c r="H18" i="23"/>
  <c r="H64" i="26" l="1"/>
  <c r="G64" i="26"/>
  <c r="F64" i="26"/>
  <c r="H148" i="25"/>
  <c r="I148" i="25"/>
  <c r="G148" i="25"/>
  <c r="I52" i="23"/>
  <c r="H52" i="23"/>
  <c r="G52" i="23"/>
  <c r="G306" i="26" l="1"/>
  <c r="G305" i="26" s="1"/>
  <c r="H306" i="26"/>
  <c r="H305" i="26" s="1"/>
  <c r="F306" i="26"/>
  <c r="F305" i="26" s="1"/>
  <c r="H166" i="25"/>
  <c r="H165" i="25" s="1"/>
  <c r="I166" i="25"/>
  <c r="I165" i="25" s="1"/>
  <c r="G166" i="25"/>
  <c r="G165" i="25" s="1"/>
  <c r="H311" i="23"/>
  <c r="I311" i="23"/>
  <c r="G311" i="23"/>
  <c r="I273" i="23"/>
  <c r="H273" i="23"/>
  <c r="I271" i="23"/>
  <c r="H271" i="23"/>
  <c r="G271" i="23"/>
  <c r="G25" i="26" l="1"/>
  <c r="H25" i="26"/>
  <c r="F25" i="26"/>
  <c r="H249" i="23"/>
  <c r="I249" i="23"/>
  <c r="G249" i="23"/>
  <c r="F578" i="26"/>
  <c r="G439" i="25"/>
  <c r="H594" i="23" l="1"/>
  <c r="I594" i="23"/>
  <c r="G594" i="23"/>
  <c r="I241" i="23" l="1"/>
  <c r="I583" i="25" s="1"/>
  <c r="I582" i="25" s="1"/>
  <c r="I237" i="23"/>
  <c r="I585" i="25" s="1"/>
  <c r="I584" i="25" s="1"/>
  <c r="H241" i="23"/>
  <c r="H583" i="25" s="1"/>
  <c r="H582" i="25" s="1"/>
  <c r="H237" i="23"/>
  <c r="H585" i="25" s="1"/>
  <c r="H584" i="25" s="1"/>
  <c r="G237" i="23"/>
  <c r="G585" i="25" s="1"/>
  <c r="G584" i="25" s="1"/>
  <c r="G241" i="23"/>
  <c r="G583" i="25" s="1"/>
  <c r="G582" i="25" s="1"/>
  <c r="I240" i="23" l="1"/>
  <c r="H240" i="23"/>
  <c r="G90" i="26"/>
  <c r="H90" i="26"/>
  <c r="F90" i="26"/>
  <c r="G107" i="26"/>
  <c r="G106" i="26" s="1"/>
  <c r="H107" i="26"/>
  <c r="H106" i="26" s="1"/>
  <c r="F107" i="26"/>
  <c r="F106" i="26" s="1"/>
  <c r="H66" i="25"/>
  <c r="I66" i="25"/>
  <c r="G66" i="25"/>
  <c r="H103" i="25"/>
  <c r="H102" i="25" s="1"/>
  <c r="I103" i="25"/>
  <c r="I102" i="25" s="1"/>
  <c r="G103" i="25"/>
  <c r="G102" i="25" s="1"/>
  <c r="G101" i="25"/>
  <c r="H101" i="25"/>
  <c r="I101" i="25"/>
  <c r="I603" i="23"/>
  <c r="H603" i="23"/>
  <c r="G603" i="23"/>
  <c r="H622" i="23" l="1"/>
  <c r="F215" i="26"/>
  <c r="F214" i="26" s="1"/>
  <c r="H214" i="26"/>
  <c r="G214" i="26"/>
  <c r="G481" i="25"/>
  <c r="G480" i="25" s="1"/>
  <c r="I480" i="25"/>
  <c r="H480" i="25"/>
  <c r="I647" i="23" l="1"/>
  <c r="H647" i="23"/>
  <c r="G647" i="23"/>
  <c r="G211" i="26" l="1"/>
  <c r="G210" i="26" s="1"/>
  <c r="H211" i="26"/>
  <c r="H210" i="26" s="1"/>
  <c r="F211" i="26"/>
  <c r="F210" i="26" s="1"/>
  <c r="H479" i="25"/>
  <c r="H478" i="25" s="1"/>
  <c r="I479" i="25"/>
  <c r="I478" i="25" s="1"/>
  <c r="G479" i="25"/>
  <c r="G478" i="25" s="1"/>
  <c r="H643" i="23"/>
  <c r="I643" i="23"/>
  <c r="G643" i="23"/>
  <c r="G686" i="23"/>
  <c r="I63" i="23" l="1"/>
  <c r="H63" i="23"/>
  <c r="G64" i="23"/>
  <c r="G63" i="23"/>
  <c r="I21" i="23" l="1"/>
  <c r="H21" i="23"/>
  <c r="G21" i="23"/>
  <c r="I24" i="23"/>
  <c r="H24" i="23"/>
  <c r="G24" i="23"/>
  <c r="I380" i="23" l="1"/>
  <c r="H380" i="23"/>
  <c r="G380" i="23"/>
  <c r="I373" i="23"/>
  <c r="H373" i="23"/>
  <c r="G373" i="23"/>
  <c r="I471" i="23"/>
  <c r="H471" i="23"/>
  <c r="G471" i="23"/>
  <c r="I314" i="23" l="1"/>
  <c r="H314" i="23"/>
  <c r="G314" i="23"/>
  <c r="G131" i="26" l="1"/>
  <c r="H131" i="26"/>
  <c r="F131" i="26"/>
  <c r="G311" i="26"/>
  <c r="H311" i="26"/>
  <c r="F311" i="26"/>
  <c r="G353" i="26"/>
  <c r="H353" i="26"/>
  <c r="F353" i="26"/>
  <c r="G428" i="26"/>
  <c r="H428" i="26"/>
  <c r="F428" i="26"/>
  <c r="G599" i="26"/>
  <c r="H599" i="26"/>
  <c r="F599" i="26"/>
  <c r="H224" i="25"/>
  <c r="I224" i="25"/>
  <c r="G224" i="25"/>
  <c r="H228" i="25"/>
  <c r="I228" i="25"/>
  <c r="G228" i="25"/>
  <c r="G230" i="25" l="1"/>
  <c r="G229" i="25" s="1"/>
  <c r="G233" i="25"/>
  <c r="G234" i="25"/>
  <c r="G236" i="25"/>
  <c r="G235" i="25" s="1"/>
  <c r="G238" i="25"/>
  <c r="G237" i="25" s="1"/>
  <c r="G240" i="25"/>
  <c r="G241" i="25"/>
  <c r="G242" i="25"/>
  <c r="G244" i="25"/>
  <c r="G245" i="25"/>
  <c r="G247" i="25"/>
  <c r="G248" i="25"/>
  <c r="G250" i="25"/>
  <c r="G249" i="25" s="1"/>
  <c r="G252" i="25"/>
  <c r="G251" i="25" s="1"/>
  <c r="G254" i="25"/>
  <c r="G253" i="25" s="1"/>
  <c r="G256" i="25"/>
  <c r="G257" i="25"/>
  <c r="G259" i="25"/>
  <c r="G258" i="25" s="1"/>
  <c r="G261" i="25"/>
  <c r="G260" i="25" s="1"/>
  <c r="G263" i="25"/>
  <c r="G262" i="25" s="1"/>
  <c r="G265" i="25"/>
  <c r="G264" i="25" s="1"/>
  <c r="G267" i="25"/>
  <c r="G268" i="25"/>
  <c r="G270" i="25"/>
  <c r="G271" i="25"/>
  <c r="G274" i="25"/>
  <c r="G275" i="25"/>
  <c r="G277" i="25"/>
  <c r="G276" i="25" s="1"/>
  <c r="G279" i="25"/>
  <c r="G280" i="25"/>
  <c r="G281" i="25"/>
  <c r="G282" i="25"/>
  <c r="G284" i="25"/>
  <c r="G285" i="25"/>
  <c r="G289" i="25"/>
  <c r="G288" i="25" s="1"/>
  <c r="G287" i="25" s="1"/>
  <c r="G291" i="25"/>
  <c r="G290" i="25" s="1"/>
  <c r="G293" i="25"/>
  <c r="G292" i="25" s="1"/>
  <c r="G295" i="25"/>
  <c r="G296" i="25"/>
  <c r="G298" i="25"/>
  <c r="G297" i="25" s="1"/>
  <c r="G300" i="25"/>
  <c r="G301" i="25"/>
  <c r="G303" i="25"/>
  <c r="G304" i="25"/>
  <c r="G305" i="25"/>
  <c r="G307" i="25"/>
  <c r="G308" i="25"/>
  <c r="G309" i="25"/>
  <c r="G314" i="25"/>
  <c r="G313" i="25" s="1"/>
  <c r="G312" i="25" s="1"/>
  <c r="G316" i="25"/>
  <c r="G315" i="25" s="1"/>
  <c r="G318" i="25"/>
  <c r="G319" i="25"/>
  <c r="G321" i="25"/>
  <c r="G320" i="25" s="1"/>
  <c r="G323" i="25"/>
  <c r="G324" i="25"/>
  <c r="G325" i="25"/>
  <c r="G326" i="25"/>
  <c r="G328" i="25"/>
  <c r="G327" i="25" s="1"/>
  <c r="G330" i="25"/>
  <c r="G329" i="25" s="1"/>
  <c r="G332" i="25"/>
  <c r="G331" i="25" s="1"/>
  <c r="G335" i="25"/>
  <c r="G336" i="25"/>
  <c r="G339" i="25"/>
  <c r="G340" i="25"/>
  <c r="G341" i="25"/>
  <c r="G345" i="25"/>
  <c r="G344" i="25" s="1"/>
  <c r="G343" i="25" s="1"/>
  <c r="G347" i="25"/>
  <c r="G346" i="25" s="1"/>
  <c r="G349" i="25"/>
  <c r="G350" i="25"/>
  <c r="G351" i="25"/>
  <c r="G353" i="25"/>
  <c r="G354" i="25"/>
  <c r="G358" i="25"/>
  <c r="G359" i="25"/>
  <c r="G361" i="25"/>
  <c r="G360" i="25" s="1"/>
  <c r="G363" i="25"/>
  <c r="G364" i="25"/>
  <c r="G365" i="25"/>
  <c r="G367" i="25"/>
  <c r="G368" i="25"/>
  <c r="G370" i="25"/>
  <c r="G371" i="25"/>
  <c r="G373" i="25"/>
  <c r="G374" i="25"/>
  <c r="G376" i="25"/>
  <c r="G377" i="25"/>
  <c r="G379" i="25"/>
  <c r="G378" i="25" s="1"/>
  <c r="G381" i="25"/>
  <c r="G382" i="25"/>
  <c r="G384" i="25"/>
  <c r="G385" i="25"/>
  <c r="G387" i="25"/>
  <c r="G388" i="25"/>
  <c r="G390" i="25"/>
  <c r="G391" i="25"/>
  <c r="G393" i="25"/>
  <c r="G394" i="25"/>
  <c r="G396" i="25"/>
  <c r="G397" i="25"/>
  <c r="G399" i="25"/>
  <c r="G400" i="25"/>
  <c r="G402" i="25"/>
  <c r="G403" i="25"/>
  <c r="G405" i="25"/>
  <c r="G406" i="25"/>
  <c r="G408" i="25"/>
  <c r="G407" i="25" s="1"/>
  <c r="G410" i="25"/>
  <c r="G409" i="25" s="1"/>
  <c r="G412" i="25"/>
  <c r="G413" i="25"/>
  <c r="G415" i="25"/>
  <c r="G416" i="25"/>
  <c r="G418" i="25"/>
  <c r="G419" i="25"/>
  <c r="G421" i="25"/>
  <c r="G422" i="25"/>
  <c r="G424" i="25"/>
  <c r="G425" i="25"/>
  <c r="G427" i="25"/>
  <c r="G428" i="25"/>
  <c r="G430" i="25"/>
  <c r="G431" i="25"/>
  <c r="G432" i="25"/>
  <c r="G434" i="25"/>
  <c r="G433" i="25" s="1"/>
  <c r="G437" i="25"/>
  <c r="G438" i="25"/>
  <c r="G441" i="25"/>
  <c r="G440" i="25" s="1"/>
  <c r="G445" i="25"/>
  <c r="G444" i="25" s="1"/>
  <c r="G443" i="25" s="1"/>
  <c r="G447" i="25"/>
  <c r="G446" i="25" s="1"/>
  <c r="G449" i="25"/>
  <c r="G450" i="25"/>
  <c r="G452" i="25"/>
  <c r="G451" i="25" s="1"/>
  <c r="G454" i="25"/>
  <c r="G455" i="25"/>
  <c r="G457" i="25"/>
  <c r="G456" i="25" s="1"/>
  <c r="G459" i="25"/>
  <c r="G458" i="25" s="1"/>
  <c r="G461" i="25"/>
  <c r="G460" i="25" s="1"/>
  <c r="G463" i="25"/>
  <c r="G462" i="25" s="1"/>
  <c r="G465" i="25"/>
  <c r="G464" i="25" s="1"/>
  <c r="G469" i="25"/>
  <c r="G468" i="25" s="1"/>
  <c r="G471" i="25"/>
  <c r="G470" i="25" s="1"/>
  <c r="G473" i="25"/>
  <c r="G472" i="25" s="1"/>
  <c r="G475" i="25"/>
  <c r="G474" i="25" s="1"/>
  <c r="G477" i="25"/>
  <c r="G476" i="25" s="1"/>
  <c r="G484" i="25"/>
  <c r="G483" i="25" s="1"/>
  <c r="G482" i="25" s="1"/>
  <c r="G487" i="25"/>
  <c r="G486" i="25" s="1"/>
  <c r="G489" i="25"/>
  <c r="G488" i="25" s="1"/>
  <c r="G491" i="25"/>
  <c r="G490" i="25" s="1"/>
  <c r="G493" i="25"/>
  <c r="G492" i="25" s="1"/>
  <c r="G495" i="25"/>
  <c r="G494" i="25" s="1"/>
  <c r="G497" i="25"/>
  <c r="G496" i="25" s="1"/>
  <c r="G500" i="25"/>
  <c r="G501" i="25"/>
  <c r="G505" i="25"/>
  <c r="G504" i="25" s="1"/>
  <c r="G507" i="25"/>
  <c r="G506" i="25" s="1"/>
  <c r="G509" i="25"/>
  <c r="G508" i="25" s="1"/>
  <c r="G512" i="25"/>
  <c r="G511" i="25" s="1"/>
  <c r="G514" i="25"/>
  <c r="G513" i="25" s="1"/>
  <c r="G517" i="25"/>
  <c r="G516" i="25" s="1"/>
  <c r="G515" i="25" s="1"/>
  <c r="G520" i="25"/>
  <c r="G519" i="25" s="1"/>
  <c r="G518" i="25" s="1"/>
  <c r="G523" i="25"/>
  <c r="G524" i="25"/>
  <c r="G527" i="25"/>
  <c r="G526" i="25" s="1"/>
  <c r="G525" i="25" s="1"/>
  <c r="G530" i="25"/>
  <c r="G529" i="25" s="1"/>
  <c r="G528" i="25" s="1"/>
  <c r="G539" i="25"/>
  <c r="G538" i="25" s="1"/>
  <c r="G537" i="25" s="1"/>
  <c r="G542" i="25"/>
  <c r="G541" i="25" s="1"/>
  <c r="G540" i="25" s="1"/>
  <c r="G546" i="25"/>
  <c r="G545" i="25" s="1"/>
  <c r="G548" i="25"/>
  <c r="G547" i="25" s="1"/>
  <c r="G550" i="25"/>
  <c r="G549" i="25" s="1"/>
  <c r="G552" i="25"/>
  <c r="G551" i="25" s="1"/>
  <c r="G554" i="25"/>
  <c r="G553" i="25" s="1"/>
  <c r="G562" i="25"/>
  <c r="G561" i="25" s="1"/>
  <c r="G589" i="25"/>
  <c r="G588" i="25" s="1"/>
  <c r="G576" i="25" s="1"/>
  <c r="G375" i="25" l="1"/>
  <c r="G436" i="25"/>
  <c r="G435" i="25" s="1"/>
  <c r="G467" i="25"/>
  <c r="G423" i="25"/>
  <c r="G411" i="25"/>
  <c r="G404" i="25"/>
  <c r="G398" i="25"/>
  <c r="G269" i="25"/>
  <c r="G426" i="25"/>
  <c r="G420" i="25"/>
  <c r="G414" i="25"/>
  <c r="G401" i="25"/>
  <c r="G306" i="25"/>
  <c r="G294" i="25"/>
  <c r="G557" i="25"/>
  <c r="G362" i="25"/>
  <c r="G334" i="25"/>
  <c r="G333" i="25" s="1"/>
  <c r="G283" i="25"/>
  <c r="G302" i="25"/>
  <c r="G266" i="25"/>
  <c r="G499" i="25"/>
  <c r="G498" i="25" s="1"/>
  <c r="G383" i="25"/>
  <c r="G338" i="25"/>
  <c r="G337" i="25" s="1"/>
  <c r="G544" i="25"/>
  <c r="G543" i="25" s="1"/>
  <c r="G395" i="25"/>
  <c r="G389" i="25"/>
  <c r="G372" i="25"/>
  <c r="G366" i="25"/>
  <c r="G299" i="25"/>
  <c r="G246" i="25"/>
  <c r="G232" i="25"/>
  <c r="G448" i="25"/>
  <c r="G386" i="25"/>
  <c r="G357" i="25"/>
  <c r="G255" i="25"/>
  <c r="G243" i="25"/>
  <c r="G429" i="25"/>
  <c r="G239" i="25"/>
  <c r="G522" i="25"/>
  <c r="G521" i="25" s="1"/>
  <c r="G417" i="25"/>
  <c r="G380" i="25"/>
  <c r="G369" i="25"/>
  <c r="G348" i="25"/>
  <c r="G322" i="25"/>
  <c r="G278" i="25"/>
  <c r="G485" i="25"/>
  <c r="G392" i="25"/>
  <c r="G317" i="25"/>
  <c r="G273" i="25"/>
  <c r="G510" i="25"/>
  <c r="G352" i="25"/>
  <c r="G503" i="25"/>
  <c r="G420" i="26"/>
  <c r="H420" i="26"/>
  <c r="F420" i="26"/>
  <c r="H353" i="25"/>
  <c r="I353" i="25"/>
  <c r="H496" i="23"/>
  <c r="I496" i="23"/>
  <c r="J496" i="23"/>
  <c r="K496" i="23"/>
  <c r="L496" i="23"/>
  <c r="M496" i="23"/>
  <c r="N496" i="23"/>
  <c r="O496" i="23"/>
  <c r="P496" i="23"/>
  <c r="Q496" i="23"/>
  <c r="G496" i="23"/>
  <c r="G502" i="25" l="1"/>
  <c r="G466" i="25"/>
  <c r="G272" i="25"/>
  <c r="G356" i="25"/>
  <c r="G355" i="25" s="1"/>
  <c r="G286" i="25"/>
  <c r="G311" i="25"/>
  <c r="G231" i="25"/>
  <c r="G342" i="25"/>
  <c r="G355" i="26"/>
  <c r="H355" i="26"/>
  <c r="F355" i="26"/>
  <c r="H226" i="25"/>
  <c r="I226" i="25"/>
  <c r="G226" i="25"/>
  <c r="I337" i="23"/>
  <c r="H337" i="23"/>
  <c r="G337" i="23"/>
  <c r="G310" i="25" l="1"/>
  <c r="G154" i="26"/>
  <c r="G153" i="26" s="1"/>
  <c r="H154" i="26"/>
  <c r="H153" i="26" s="1"/>
  <c r="F154" i="26"/>
  <c r="F153" i="26" s="1"/>
  <c r="H550" i="25"/>
  <c r="H549" i="25" s="1"/>
  <c r="I550" i="25"/>
  <c r="I549" i="25" s="1"/>
  <c r="H98" i="23"/>
  <c r="I98" i="23"/>
  <c r="G98" i="23"/>
  <c r="H130" i="26" l="1"/>
  <c r="G130" i="26"/>
  <c r="F130" i="26"/>
  <c r="H316" i="25"/>
  <c r="H315" i="25" s="1"/>
  <c r="I316" i="25"/>
  <c r="I315" i="25" s="1"/>
  <c r="I91" i="23"/>
  <c r="I90" i="23" s="1"/>
  <c r="H91" i="23"/>
  <c r="H90" i="23" s="1"/>
  <c r="G91" i="23"/>
  <c r="G90" i="23" s="1"/>
  <c r="G354" i="26" l="1"/>
  <c r="H354" i="26"/>
  <c r="F354" i="26"/>
  <c r="H225" i="25"/>
  <c r="I225" i="25"/>
  <c r="G225" i="25"/>
  <c r="H309" i="25" l="1"/>
  <c r="I309" i="25"/>
  <c r="G406" i="26"/>
  <c r="H406" i="26"/>
  <c r="F406" i="26" l="1"/>
  <c r="H150" i="26" l="1"/>
  <c r="H149" i="26" s="1"/>
  <c r="G150" i="26"/>
  <c r="G149" i="26" s="1"/>
  <c r="F150" i="26"/>
  <c r="F149" i="26" s="1"/>
  <c r="I546" i="25"/>
  <c r="I545" i="25" s="1"/>
  <c r="H546" i="25"/>
  <c r="H545" i="25" s="1"/>
  <c r="I94" i="23"/>
  <c r="H94" i="23"/>
  <c r="G94" i="23"/>
  <c r="G152" i="26"/>
  <c r="G151" i="26" s="1"/>
  <c r="H152" i="26"/>
  <c r="H151" i="26" s="1"/>
  <c r="F152" i="26"/>
  <c r="F151" i="26" s="1"/>
  <c r="H548" i="25"/>
  <c r="H547" i="25" s="1"/>
  <c r="I548" i="25"/>
  <c r="I547" i="25" s="1"/>
  <c r="H96" i="23"/>
  <c r="I96" i="23"/>
  <c r="G96" i="23"/>
  <c r="H544" i="25" l="1"/>
  <c r="I544" i="25"/>
  <c r="G182" i="26" l="1"/>
  <c r="H182" i="26"/>
  <c r="F182" i="26"/>
  <c r="G179" i="26"/>
  <c r="H179" i="26"/>
  <c r="F179" i="26"/>
  <c r="H130" i="25"/>
  <c r="I130" i="25"/>
  <c r="G130" i="25"/>
  <c r="H127" i="25"/>
  <c r="I127" i="25"/>
  <c r="G127" i="25"/>
  <c r="H109" i="23"/>
  <c r="I109" i="23"/>
  <c r="G109" i="23"/>
  <c r="H106" i="23"/>
  <c r="I106" i="23"/>
  <c r="G106" i="23"/>
  <c r="G129" i="26"/>
  <c r="H129" i="26"/>
  <c r="F129" i="26"/>
  <c r="H314" i="25"/>
  <c r="I314" i="25"/>
  <c r="I475" i="23"/>
  <c r="I474" i="23" s="1"/>
  <c r="H475" i="23"/>
  <c r="H474" i="23" s="1"/>
  <c r="G475" i="23"/>
  <c r="G474" i="23" s="1"/>
  <c r="H352" i="26"/>
  <c r="G352" i="26"/>
  <c r="F352" i="26"/>
  <c r="I223" i="25"/>
  <c r="H223" i="25"/>
  <c r="G223" i="25"/>
  <c r="I342" i="23"/>
  <c r="H342" i="23"/>
  <c r="G342" i="23"/>
  <c r="G615" i="26" l="1"/>
  <c r="G614" i="26" s="1"/>
  <c r="G612" i="26" s="1"/>
  <c r="H615" i="26"/>
  <c r="H614" i="26" s="1"/>
  <c r="H612" i="26" s="1"/>
  <c r="F615" i="26"/>
  <c r="F614" i="26" s="1"/>
  <c r="F612" i="26" s="1"/>
  <c r="H52" i="25"/>
  <c r="I52" i="25"/>
  <c r="G52" i="25"/>
  <c r="H153" i="23"/>
  <c r="H152" i="23" s="1"/>
  <c r="H151" i="23" s="1"/>
  <c r="I153" i="23"/>
  <c r="I152" i="23" s="1"/>
  <c r="I151" i="23" s="1"/>
  <c r="G153" i="23"/>
  <c r="G152" i="23" s="1"/>
  <c r="G151" i="23" s="1"/>
  <c r="F613" i="26" l="1"/>
  <c r="H613" i="26"/>
  <c r="G613" i="26"/>
  <c r="H51" i="25" l="1"/>
  <c r="I51" i="25"/>
  <c r="G51" i="25"/>
  <c r="H230" i="25" l="1"/>
  <c r="H229" i="25" s="1"/>
  <c r="I230" i="25"/>
  <c r="I229" i="25" s="1"/>
  <c r="G313" i="26"/>
  <c r="H313" i="26"/>
  <c r="F313" i="26"/>
  <c r="G312" i="26" l="1"/>
  <c r="H312" i="26"/>
  <c r="F312" i="26"/>
  <c r="G310" i="26"/>
  <c r="H310" i="26"/>
  <c r="F310" i="26"/>
  <c r="H227" i="25"/>
  <c r="I227" i="25"/>
  <c r="G227" i="25"/>
  <c r="H300" i="23"/>
  <c r="I300" i="23"/>
  <c r="H298" i="23"/>
  <c r="I298" i="23"/>
  <c r="G300" i="23"/>
  <c r="G298" i="23"/>
  <c r="G691" i="23" l="1"/>
  <c r="F554" i="26" l="1"/>
  <c r="G225" i="26"/>
  <c r="G224" i="26" s="1"/>
  <c r="H225" i="26"/>
  <c r="H224" i="26" s="1"/>
  <c r="F225" i="26"/>
  <c r="F224" i="26" s="1"/>
  <c r="H497" i="25"/>
  <c r="H496" i="25" s="1"/>
  <c r="I497" i="25"/>
  <c r="I496" i="25" s="1"/>
  <c r="I657" i="23"/>
  <c r="H657" i="23"/>
  <c r="G657" i="23"/>
  <c r="H60" i="23" l="1"/>
  <c r="I60" i="23"/>
  <c r="G60" i="23"/>
  <c r="G597" i="26" l="1"/>
  <c r="G596" i="26" s="1"/>
  <c r="H597" i="26"/>
  <c r="H596" i="26" s="1"/>
  <c r="F597" i="26"/>
  <c r="F596" i="26" s="1"/>
  <c r="H461" i="25"/>
  <c r="H460" i="25" s="1"/>
  <c r="I461" i="25"/>
  <c r="I460" i="25" s="1"/>
  <c r="I408" i="23"/>
  <c r="I407" i="23" s="1"/>
  <c r="I406" i="23" s="1"/>
  <c r="H408" i="23"/>
  <c r="H407" i="23" s="1"/>
  <c r="H406" i="23" s="1"/>
  <c r="G408" i="23"/>
  <c r="G407" i="23" s="1"/>
  <c r="G406" i="23" s="1"/>
  <c r="F270" i="26" l="1"/>
  <c r="G223" i="26" l="1"/>
  <c r="G222" i="26" s="1"/>
  <c r="H223" i="26"/>
  <c r="H222" i="26" s="1"/>
  <c r="F223" i="26"/>
  <c r="F222" i="26" s="1"/>
  <c r="H495" i="25"/>
  <c r="H494" i="25" s="1"/>
  <c r="I495" i="25"/>
  <c r="I494" i="25" s="1"/>
  <c r="G655" i="23"/>
  <c r="I655" i="23"/>
  <c r="H655" i="23"/>
  <c r="F336" i="26" l="1"/>
  <c r="F335" i="26" s="1"/>
  <c r="G336" i="26"/>
  <c r="G335" i="26" s="1"/>
  <c r="H336" i="26"/>
  <c r="H335" i="26" s="1"/>
  <c r="G339" i="26"/>
  <c r="H339" i="26"/>
  <c r="H185" i="25"/>
  <c r="H184" i="25" s="1"/>
  <c r="I185" i="25"/>
  <c r="I184" i="25" s="1"/>
  <c r="H271" i="25"/>
  <c r="I271" i="25"/>
  <c r="G185" i="25" l="1"/>
  <c r="G184" i="25" s="1"/>
  <c r="G128" i="26" l="1"/>
  <c r="G127" i="26" s="1"/>
  <c r="H128" i="26"/>
  <c r="H127" i="26" s="1"/>
  <c r="F128" i="26"/>
  <c r="F127" i="26" s="1"/>
  <c r="H313" i="25"/>
  <c r="H312" i="25" s="1"/>
  <c r="I313" i="25"/>
  <c r="I312" i="25" s="1"/>
  <c r="H598" i="26" l="1"/>
  <c r="G598" i="26"/>
  <c r="F598" i="26"/>
  <c r="H463" i="25"/>
  <c r="H462" i="25" s="1"/>
  <c r="I463" i="25"/>
  <c r="I462" i="25" s="1"/>
  <c r="G179" i="23"/>
  <c r="I179" i="23"/>
  <c r="H179" i="23"/>
  <c r="G385" i="26" l="1"/>
  <c r="G384" i="26" s="1"/>
  <c r="H385" i="26"/>
  <c r="H384" i="26" s="1"/>
  <c r="F385" i="26"/>
  <c r="F384" i="26" s="1"/>
  <c r="H289" i="25"/>
  <c r="H288" i="25" s="1"/>
  <c r="H287" i="25" s="1"/>
  <c r="I289" i="25"/>
  <c r="I288" i="25" s="1"/>
  <c r="I287" i="25" s="1"/>
  <c r="H445" i="23"/>
  <c r="I445" i="23"/>
  <c r="G445" i="23"/>
  <c r="G345" i="26"/>
  <c r="G344" i="26" s="1"/>
  <c r="H345" i="26"/>
  <c r="H344" i="26" s="1"/>
  <c r="F345" i="26"/>
  <c r="F344" i="26" s="1"/>
  <c r="H335" i="23"/>
  <c r="I335" i="23"/>
  <c r="G335" i="23"/>
  <c r="G242" i="26" l="1"/>
  <c r="H242" i="26"/>
  <c r="F242" i="26"/>
  <c r="H523" i="25"/>
  <c r="I523" i="25"/>
  <c r="H674" i="23"/>
  <c r="I674" i="23"/>
  <c r="H207" i="23" l="1"/>
  <c r="I207" i="23"/>
  <c r="H84" i="23"/>
  <c r="I84" i="23"/>
  <c r="G84" i="23"/>
  <c r="G207" i="23" l="1"/>
  <c r="G281" i="26" l="1"/>
  <c r="G280" i="26" s="1"/>
  <c r="H281" i="26"/>
  <c r="H280" i="26" s="1"/>
  <c r="F281" i="26"/>
  <c r="F280" i="26" s="1"/>
  <c r="H196" i="25"/>
  <c r="H195" i="25" s="1"/>
  <c r="I196" i="25"/>
  <c r="I195" i="25" s="1"/>
  <c r="G196" i="25"/>
  <c r="G195" i="25" s="1"/>
  <c r="I279" i="23"/>
  <c r="H279" i="23"/>
  <c r="G279" i="23"/>
  <c r="G178" i="26" l="1"/>
  <c r="G177" i="26" s="1"/>
  <c r="H178" i="26"/>
  <c r="H177" i="26" s="1"/>
  <c r="F178" i="26"/>
  <c r="F177" i="26" s="1"/>
  <c r="H129" i="25"/>
  <c r="H128" i="25" s="1"/>
  <c r="I129" i="25"/>
  <c r="I128" i="25" s="1"/>
  <c r="G129" i="25"/>
  <c r="G128" i="25" s="1"/>
  <c r="I126" i="25"/>
  <c r="I125" i="25" s="1"/>
  <c r="H126" i="25"/>
  <c r="H125" i="25" s="1"/>
  <c r="G126" i="25"/>
  <c r="G125" i="25" s="1"/>
  <c r="H124" i="25" l="1"/>
  <c r="I124" i="25"/>
  <c r="H222" i="25"/>
  <c r="H221" i="25" s="1"/>
  <c r="I222" i="25"/>
  <c r="I221" i="25" s="1"/>
  <c r="G601" i="26" l="1"/>
  <c r="G600" i="26" s="1"/>
  <c r="H601" i="26"/>
  <c r="H600" i="26" s="1"/>
  <c r="F601" i="26"/>
  <c r="F600" i="26" s="1"/>
  <c r="H465" i="25"/>
  <c r="H464" i="25" s="1"/>
  <c r="I465" i="25"/>
  <c r="I464" i="25" s="1"/>
  <c r="I181" i="23"/>
  <c r="H181" i="23"/>
  <c r="G181" i="23"/>
  <c r="F338" i="26" l="1"/>
  <c r="F339" i="26"/>
  <c r="G421" i="26"/>
  <c r="G419" i="26" s="1"/>
  <c r="H421" i="26"/>
  <c r="H419" i="26" s="1"/>
  <c r="F421" i="26"/>
  <c r="F419" i="26" s="1"/>
  <c r="H354" i="25"/>
  <c r="H352" i="25" s="1"/>
  <c r="I354" i="25"/>
  <c r="I352" i="25" s="1"/>
  <c r="F337" i="26" l="1"/>
  <c r="G122" i="26"/>
  <c r="G121" i="26" s="1"/>
  <c r="H122" i="26"/>
  <c r="H121" i="26" s="1"/>
  <c r="F122" i="26"/>
  <c r="F121" i="26" s="1"/>
  <c r="H92" i="25"/>
  <c r="H91" i="25" s="1"/>
  <c r="I92" i="25"/>
  <c r="I91" i="25" s="1"/>
  <c r="G92" i="25"/>
  <c r="G91" i="25" s="1"/>
  <c r="G222" i="25" l="1"/>
  <c r="G221" i="25" s="1"/>
  <c r="G158" i="26" l="1"/>
  <c r="G157" i="26" s="1"/>
  <c r="H158" i="26"/>
  <c r="H157" i="26" s="1"/>
  <c r="F158" i="26"/>
  <c r="F157" i="26" s="1"/>
  <c r="H554" i="25"/>
  <c r="H553" i="25" s="1"/>
  <c r="I554" i="25"/>
  <c r="I553" i="25" s="1"/>
  <c r="H102" i="23"/>
  <c r="I102" i="23"/>
  <c r="G102" i="23"/>
  <c r="G86" i="23" l="1"/>
  <c r="G117" i="26"/>
  <c r="G116" i="26" s="1"/>
  <c r="H117" i="26"/>
  <c r="H116" i="26" s="1"/>
  <c r="F117" i="26"/>
  <c r="F116" i="26" s="1"/>
  <c r="H86" i="25"/>
  <c r="H85" i="25" s="1"/>
  <c r="I86" i="25"/>
  <c r="I85" i="25" s="1"/>
  <c r="G86" i="25"/>
  <c r="G85" i="25" s="1"/>
  <c r="H79" i="23"/>
  <c r="I79" i="23"/>
  <c r="G79" i="23"/>
  <c r="G125" i="26"/>
  <c r="H125" i="26"/>
  <c r="F125" i="26"/>
  <c r="H95" i="25"/>
  <c r="I95" i="25"/>
  <c r="G95" i="25"/>
  <c r="I86" i="23"/>
  <c r="H86" i="23"/>
  <c r="F120" i="26"/>
  <c r="H120" i="26"/>
  <c r="G120" i="26"/>
  <c r="H81" i="23" l="1"/>
  <c r="I81" i="23"/>
  <c r="G559" i="26"/>
  <c r="H559" i="26"/>
  <c r="G560" i="26"/>
  <c r="H560" i="26"/>
  <c r="G561" i="26"/>
  <c r="H561" i="26"/>
  <c r="F561" i="26"/>
  <c r="F559" i="26"/>
  <c r="H323" i="25"/>
  <c r="I323" i="25"/>
  <c r="H324" i="25"/>
  <c r="I324" i="25"/>
  <c r="H325" i="25"/>
  <c r="I325" i="25"/>
  <c r="H326" i="25"/>
  <c r="I326" i="25"/>
  <c r="H148" i="23"/>
  <c r="I148" i="23"/>
  <c r="G148" i="23"/>
  <c r="I322" i="25" l="1"/>
  <c r="H322" i="25"/>
  <c r="G205" i="26"/>
  <c r="G204" i="26" s="1"/>
  <c r="H205" i="26"/>
  <c r="H204" i="26" s="1"/>
  <c r="F205" i="26"/>
  <c r="F204" i="26" s="1"/>
  <c r="H471" i="25"/>
  <c r="H470" i="25" s="1"/>
  <c r="I471" i="25"/>
  <c r="I470" i="25" s="1"/>
  <c r="H637" i="23"/>
  <c r="I637" i="23"/>
  <c r="G637" i="23"/>
  <c r="G331" i="26"/>
  <c r="G330" i="26" s="1"/>
  <c r="H331" i="26"/>
  <c r="H330" i="26" s="1"/>
  <c r="F331" i="26"/>
  <c r="F330" i="26" s="1"/>
  <c r="H171" i="25"/>
  <c r="H170" i="25" s="1"/>
  <c r="I171" i="25"/>
  <c r="I170" i="25" s="1"/>
  <c r="G171" i="25"/>
  <c r="G170" i="25" s="1"/>
  <c r="H329" i="23"/>
  <c r="I329" i="23"/>
  <c r="G329" i="23"/>
  <c r="J369" i="23" l="1"/>
  <c r="K369" i="23"/>
  <c r="L369" i="23"/>
  <c r="M369" i="23"/>
  <c r="N369" i="23"/>
  <c r="O369" i="23"/>
  <c r="P369" i="23"/>
  <c r="Q369" i="23"/>
  <c r="H404" i="23"/>
  <c r="H403" i="23" s="1"/>
  <c r="I404" i="23"/>
  <c r="I403" i="23" s="1"/>
  <c r="G404" i="23"/>
  <c r="G403" i="23" s="1"/>
  <c r="G273" i="26" l="1"/>
  <c r="G272" i="26" s="1"/>
  <c r="H273" i="26"/>
  <c r="H272" i="26" s="1"/>
  <c r="F273" i="26"/>
  <c r="F272" i="26" s="1"/>
  <c r="H274" i="23" l="1"/>
  <c r="I274" i="23"/>
  <c r="G274" i="23"/>
  <c r="G181" i="26"/>
  <c r="G180" i="26" s="1"/>
  <c r="H181" i="26"/>
  <c r="H180" i="26" s="1"/>
  <c r="F181" i="26"/>
  <c r="F180" i="26" s="1"/>
  <c r="G81" i="23"/>
  <c r="G441" i="26"/>
  <c r="H441" i="26"/>
  <c r="F441" i="26"/>
  <c r="H107" i="25"/>
  <c r="I107" i="25"/>
  <c r="G107" i="25"/>
  <c r="H226" i="23"/>
  <c r="H225" i="23" s="1"/>
  <c r="I226" i="23"/>
  <c r="I225" i="23" s="1"/>
  <c r="G226" i="23"/>
  <c r="G225" i="23" s="1"/>
  <c r="G285" i="26"/>
  <c r="G284" i="26" s="1"/>
  <c r="H285" i="26"/>
  <c r="H284" i="26" s="1"/>
  <c r="F285" i="26"/>
  <c r="F284" i="26" s="1"/>
  <c r="G279" i="26"/>
  <c r="G278" i="26" s="1"/>
  <c r="H279" i="26"/>
  <c r="H278" i="26" s="1"/>
  <c r="F279" i="26"/>
  <c r="F278" i="26" s="1"/>
  <c r="H198" i="25"/>
  <c r="H197" i="25" s="1"/>
  <c r="I198" i="25"/>
  <c r="I197" i="25" s="1"/>
  <c r="G198" i="25"/>
  <c r="G197" i="25" s="1"/>
  <c r="H194" i="25"/>
  <c r="H193" i="25" s="1"/>
  <c r="I194" i="25"/>
  <c r="I193" i="25" s="1"/>
  <c r="G194" i="25"/>
  <c r="G193" i="25" s="1"/>
  <c r="G286" i="23"/>
  <c r="I286" i="23"/>
  <c r="H286" i="23"/>
  <c r="G277" i="23"/>
  <c r="I277" i="23"/>
  <c r="H277" i="23"/>
  <c r="G207" i="26" l="1"/>
  <c r="G206" i="26" s="1"/>
  <c r="H207" i="26"/>
  <c r="H206" i="26" s="1"/>
  <c r="F207" i="26"/>
  <c r="F206" i="26" s="1"/>
  <c r="H473" i="25"/>
  <c r="H472" i="25" s="1"/>
  <c r="I473" i="25"/>
  <c r="I472" i="25" s="1"/>
  <c r="I639" i="23"/>
  <c r="H639" i="23"/>
  <c r="G639" i="23"/>
  <c r="G674" i="23" l="1"/>
  <c r="G283" i="26" l="1"/>
  <c r="G282" i="26" s="1"/>
  <c r="H283" i="26"/>
  <c r="H282" i="26" s="1"/>
  <c r="H200" i="25"/>
  <c r="H199" i="25" s="1"/>
  <c r="I200" i="25"/>
  <c r="I199" i="25" s="1"/>
  <c r="H284" i="23"/>
  <c r="I284" i="23"/>
  <c r="F283" i="26"/>
  <c r="F282" i="26" s="1"/>
  <c r="G574" i="26"/>
  <c r="G573" i="26" s="1"/>
  <c r="H574" i="26"/>
  <c r="H573" i="26" s="1"/>
  <c r="F574" i="26"/>
  <c r="F573" i="26" s="1"/>
  <c r="H345" i="25"/>
  <c r="H344" i="25" s="1"/>
  <c r="H343" i="25" s="1"/>
  <c r="I345" i="25"/>
  <c r="I344" i="25" s="1"/>
  <c r="I343" i="25" s="1"/>
  <c r="J578" i="23"/>
  <c r="K578" i="23"/>
  <c r="L578" i="23"/>
  <c r="M578" i="23"/>
  <c r="N578" i="23"/>
  <c r="O578" i="23"/>
  <c r="P578" i="23"/>
  <c r="Q578" i="23"/>
  <c r="H592" i="23"/>
  <c r="I592" i="23"/>
  <c r="G592" i="23"/>
  <c r="G284" i="23" l="1"/>
  <c r="G200" i="25"/>
  <c r="G199" i="25" s="1"/>
  <c r="G304" i="26" l="1"/>
  <c r="H304" i="26"/>
  <c r="F304" i="26"/>
  <c r="H174" i="25"/>
  <c r="I174" i="25"/>
  <c r="G174" i="25"/>
  <c r="I308" i="23"/>
  <c r="G308" i="23"/>
  <c r="G389" i="26" l="1"/>
  <c r="G388" i="26" s="1"/>
  <c r="H389" i="26"/>
  <c r="H388" i="26" s="1"/>
  <c r="F389" i="26"/>
  <c r="F388" i="26" s="1"/>
  <c r="H293" i="25"/>
  <c r="H292" i="25" s="1"/>
  <c r="I293" i="25"/>
  <c r="I292" i="25" s="1"/>
  <c r="I449" i="23"/>
  <c r="H449" i="23"/>
  <c r="G449" i="23"/>
  <c r="H605" i="23" l="1"/>
  <c r="I605" i="23"/>
  <c r="G605" i="23"/>
  <c r="G191" i="26"/>
  <c r="G190" i="26" s="1"/>
  <c r="H191" i="26"/>
  <c r="H190" i="26" s="1"/>
  <c r="F191" i="26"/>
  <c r="F190" i="26" s="1"/>
  <c r="H141" i="25"/>
  <c r="H140" i="25" s="1"/>
  <c r="I141" i="25"/>
  <c r="I140" i="25" s="1"/>
  <c r="G141" i="25"/>
  <c r="G140" i="25" s="1"/>
  <c r="J629" i="23"/>
  <c r="K629" i="23"/>
  <c r="L629" i="23"/>
  <c r="M629" i="23"/>
  <c r="N629" i="23"/>
  <c r="O629" i="23"/>
  <c r="P629" i="23"/>
  <c r="Q629" i="23"/>
  <c r="H632" i="23"/>
  <c r="I632" i="23"/>
  <c r="G632" i="23"/>
  <c r="I602" i="23" l="1"/>
  <c r="I601" i="23" s="1"/>
  <c r="H602" i="23"/>
  <c r="H601" i="23" s="1"/>
  <c r="G602" i="23"/>
  <c r="G601" i="23" s="1"/>
  <c r="G209" i="26"/>
  <c r="H209" i="26"/>
  <c r="H202" i="26"/>
  <c r="G203" i="26"/>
  <c r="G202" i="26" s="1"/>
  <c r="F203" i="26"/>
  <c r="F202" i="26" s="1"/>
  <c r="H469" i="25"/>
  <c r="H468" i="25" s="1"/>
  <c r="I469" i="25"/>
  <c r="I468" i="25" s="1"/>
  <c r="J634" i="23"/>
  <c r="K634" i="23"/>
  <c r="L634" i="23"/>
  <c r="M634" i="23"/>
  <c r="N634" i="23"/>
  <c r="O634" i="23"/>
  <c r="P634" i="23"/>
  <c r="Q634" i="23"/>
  <c r="I635" i="23"/>
  <c r="H635" i="23"/>
  <c r="G635" i="23"/>
  <c r="G145" i="26" l="1"/>
  <c r="G144" i="26" s="1"/>
  <c r="H145" i="26"/>
  <c r="H144" i="26" s="1"/>
  <c r="F145" i="26"/>
  <c r="F144" i="26" s="1"/>
  <c r="H626" i="23"/>
  <c r="G146" i="26" s="1"/>
  <c r="I626" i="23"/>
  <c r="H146" i="26" s="1"/>
  <c r="G624" i="23"/>
  <c r="I624" i="23"/>
  <c r="H624" i="23"/>
  <c r="G626" i="23" l="1"/>
  <c r="F146" i="26" s="1"/>
  <c r="G604" i="26" l="1"/>
  <c r="H604" i="26"/>
  <c r="F604" i="26"/>
  <c r="H454" i="25"/>
  <c r="I454" i="25"/>
  <c r="G184" i="23"/>
  <c r="H184" i="23"/>
  <c r="G603" i="26" s="1"/>
  <c r="I184" i="23"/>
  <c r="H603" i="26" s="1"/>
  <c r="F603" i="26" l="1"/>
  <c r="G453" i="25"/>
  <c r="G442" i="25" s="1"/>
  <c r="H453" i="25"/>
  <c r="I453" i="25"/>
  <c r="G619" i="26" l="1"/>
  <c r="H619" i="26"/>
  <c r="F619" i="26"/>
  <c r="G605" i="26"/>
  <c r="H605" i="26"/>
  <c r="F605" i="26"/>
  <c r="G593" i="26"/>
  <c r="H593" i="26"/>
  <c r="F593" i="26"/>
  <c r="G589" i="26"/>
  <c r="G587" i="26" s="1"/>
  <c r="H589" i="26"/>
  <c r="H587" i="26" s="1"/>
  <c r="G584" i="26"/>
  <c r="H584" i="26"/>
  <c r="G580" i="26"/>
  <c r="H580" i="26"/>
  <c r="F580" i="26"/>
  <c r="G576" i="26"/>
  <c r="H576" i="26"/>
  <c r="G577" i="26"/>
  <c r="H577" i="26"/>
  <c r="F577" i="26"/>
  <c r="G571" i="26"/>
  <c r="H571" i="26"/>
  <c r="G572" i="26"/>
  <c r="H572" i="26"/>
  <c r="F571" i="26"/>
  <c r="F572" i="26"/>
  <c r="G568" i="26"/>
  <c r="H568" i="26"/>
  <c r="F568" i="26"/>
  <c r="G566" i="26"/>
  <c r="H566" i="26"/>
  <c r="F566" i="26"/>
  <c r="G564" i="26"/>
  <c r="H564" i="26"/>
  <c r="F564" i="26"/>
  <c r="G562" i="26"/>
  <c r="G558" i="26" s="1"/>
  <c r="H562" i="26"/>
  <c r="H558" i="26" s="1"/>
  <c r="F562" i="26"/>
  <c r="F560" i="26"/>
  <c r="F557" i="26"/>
  <c r="G554" i="26"/>
  <c r="H554" i="26"/>
  <c r="G555" i="26"/>
  <c r="H555" i="26"/>
  <c r="G551" i="26"/>
  <c r="H551" i="26"/>
  <c r="G552" i="26"/>
  <c r="H552" i="26"/>
  <c r="F552" i="26"/>
  <c r="F551" i="26"/>
  <c r="G547" i="26"/>
  <c r="H547" i="26"/>
  <c r="G548" i="26"/>
  <c r="H548" i="26"/>
  <c r="F548" i="26"/>
  <c r="F547" i="26"/>
  <c r="G545" i="26"/>
  <c r="H545" i="26"/>
  <c r="F545" i="26"/>
  <c r="G542" i="26"/>
  <c r="H542" i="26"/>
  <c r="G543" i="26"/>
  <c r="H543" i="26"/>
  <c r="F543" i="26"/>
  <c r="F542" i="26"/>
  <c r="G540" i="26"/>
  <c r="H540" i="26"/>
  <c r="F540" i="26"/>
  <c r="G537" i="26"/>
  <c r="H537" i="26"/>
  <c r="G538" i="26"/>
  <c r="H538" i="26"/>
  <c r="F538" i="26"/>
  <c r="F537" i="26"/>
  <c r="G535" i="26"/>
  <c r="F535" i="26"/>
  <c r="G533" i="26"/>
  <c r="H533" i="26"/>
  <c r="F533" i="26"/>
  <c r="G529" i="26"/>
  <c r="H529" i="26"/>
  <c r="F529" i="26"/>
  <c r="G525" i="26"/>
  <c r="H525" i="26"/>
  <c r="G526" i="26"/>
  <c r="H526" i="26"/>
  <c r="G527" i="26"/>
  <c r="H527" i="26"/>
  <c r="F527" i="26"/>
  <c r="F526" i="26"/>
  <c r="F525" i="26"/>
  <c r="G523" i="26"/>
  <c r="H523" i="26"/>
  <c r="F523" i="26"/>
  <c r="G521" i="26"/>
  <c r="H521" i="26"/>
  <c r="G519" i="26"/>
  <c r="H519" i="26"/>
  <c r="F519" i="26"/>
  <c r="G516" i="26"/>
  <c r="H516" i="26"/>
  <c r="G517" i="26"/>
  <c r="H517" i="26"/>
  <c r="F517" i="26"/>
  <c r="F516" i="26"/>
  <c r="G514" i="26"/>
  <c r="H514" i="26"/>
  <c r="G509" i="26"/>
  <c r="H509" i="26"/>
  <c r="G510" i="26"/>
  <c r="H510" i="26"/>
  <c r="G511" i="26"/>
  <c r="H511" i="26"/>
  <c r="F510" i="26"/>
  <c r="F511" i="26"/>
  <c r="F509" i="26"/>
  <c r="G503" i="26"/>
  <c r="H503" i="26"/>
  <c r="G504" i="26"/>
  <c r="H504" i="26"/>
  <c r="F504" i="26"/>
  <c r="F503" i="26"/>
  <c r="G500" i="26"/>
  <c r="H500" i="26"/>
  <c r="G501" i="26"/>
  <c r="H501" i="26"/>
  <c r="F501" i="26"/>
  <c r="F500" i="26"/>
  <c r="G497" i="26"/>
  <c r="H497" i="26"/>
  <c r="G498" i="26"/>
  <c r="H498" i="26"/>
  <c r="F498" i="26"/>
  <c r="F497" i="26"/>
  <c r="G495" i="26"/>
  <c r="H495" i="26"/>
  <c r="F495" i="26"/>
  <c r="G492" i="26"/>
  <c r="H492" i="26"/>
  <c r="F492" i="26"/>
  <c r="G490" i="26"/>
  <c r="H490" i="26"/>
  <c r="F490" i="26"/>
  <c r="G483" i="26"/>
  <c r="H483" i="26"/>
  <c r="G484" i="26"/>
  <c r="H484" i="26"/>
  <c r="F484" i="26"/>
  <c r="F483" i="26"/>
  <c r="G468" i="26"/>
  <c r="H468" i="26"/>
  <c r="G469" i="26"/>
  <c r="H469" i="26"/>
  <c r="F469" i="26"/>
  <c r="F468" i="26"/>
  <c r="G466" i="26"/>
  <c r="H466" i="26"/>
  <c r="F466" i="26"/>
  <c r="G462" i="26"/>
  <c r="H462" i="26"/>
  <c r="G463" i="26"/>
  <c r="H463" i="26"/>
  <c r="G459" i="26"/>
  <c r="H459" i="26"/>
  <c r="G460" i="26"/>
  <c r="H460" i="26"/>
  <c r="F460" i="26"/>
  <c r="F459" i="26"/>
  <c r="G457" i="26"/>
  <c r="H457" i="26"/>
  <c r="F457" i="26"/>
  <c r="G454" i="26"/>
  <c r="H454" i="26"/>
  <c r="F454" i="26"/>
  <c r="G452" i="26"/>
  <c r="H452" i="26"/>
  <c r="F452" i="26"/>
  <c r="G450" i="26"/>
  <c r="H450" i="26"/>
  <c r="F450" i="26"/>
  <c r="G445" i="26"/>
  <c r="H445" i="26"/>
  <c r="F445" i="26"/>
  <c r="G443" i="26"/>
  <c r="H443" i="26"/>
  <c r="F443" i="26"/>
  <c r="G439" i="26"/>
  <c r="H439" i="26"/>
  <c r="G435" i="26"/>
  <c r="H435" i="26"/>
  <c r="G430" i="26"/>
  <c r="H430" i="26"/>
  <c r="F430" i="26"/>
  <c r="F427" i="26"/>
  <c r="G575" i="26" l="1"/>
  <c r="H575" i="26"/>
  <c r="F558" i="26"/>
  <c r="G423" i="26"/>
  <c r="H423" i="26"/>
  <c r="F423" i="26"/>
  <c r="G418" i="26"/>
  <c r="H418" i="26"/>
  <c r="F418" i="26"/>
  <c r="G410" i="26"/>
  <c r="H410" i="26"/>
  <c r="G411" i="26"/>
  <c r="H411" i="26"/>
  <c r="F411" i="26"/>
  <c r="F410" i="26"/>
  <c r="G404" i="26"/>
  <c r="H404" i="26"/>
  <c r="G405" i="26"/>
  <c r="H405" i="26"/>
  <c r="F405" i="26"/>
  <c r="G400" i="26"/>
  <c r="H400" i="26"/>
  <c r="G401" i="26"/>
  <c r="H401" i="26"/>
  <c r="G402" i="26"/>
  <c r="H402" i="26"/>
  <c r="F401" i="26"/>
  <c r="F402" i="26"/>
  <c r="F400" i="26"/>
  <c r="G396" i="26"/>
  <c r="H396" i="26"/>
  <c r="F396" i="26"/>
  <c r="G394" i="26"/>
  <c r="H394" i="26"/>
  <c r="G391" i="26"/>
  <c r="H391" i="26"/>
  <c r="F391" i="26"/>
  <c r="G387" i="26"/>
  <c r="H387" i="26"/>
  <c r="F387" i="26"/>
  <c r="G383" i="26"/>
  <c r="H383" i="26"/>
  <c r="F383" i="26"/>
  <c r="G374" i="26"/>
  <c r="H374" i="26"/>
  <c r="G375" i="26"/>
  <c r="H375" i="26"/>
  <c r="H376" i="26"/>
  <c r="G377" i="26"/>
  <c r="H377" i="26"/>
  <c r="F375" i="26"/>
  <c r="F376" i="26"/>
  <c r="F377" i="26"/>
  <c r="F374" i="26"/>
  <c r="F372" i="26"/>
  <c r="G369" i="26"/>
  <c r="H369" i="26"/>
  <c r="G370" i="26"/>
  <c r="H370" i="26"/>
  <c r="F370" i="26"/>
  <c r="F369" i="26"/>
  <c r="G365" i="26"/>
  <c r="H365" i="26"/>
  <c r="G366" i="26"/>
  <c r="H366" i="26"/>
  <c r="G367" i="26"/>
  <c r="H367" i="26"/>
  <c r="F366" i="26"/>
  <c r="F367" i="26"/>
  <c r="F365" i="26"/>
  <c r="G362" i="26"/>
  <c r="H362" i="26"/>
  <c r="G363" i="26"/>
  <c r="H363" i="26"/>
  <c r="F363" i="26"/>
  <c r="F362" i="26"/>
  <c r="G359" i="26"/>
  <c r="H359" i="26"/>
  <c r="G360" i="26"/>
  <c r="H360" i="26"/>
  <c r="F360" i="26"/>
  <c r="F359" i="26"/>
  <c r="G357" i="26"/>
  <c r="H357" i="26"/>
  <c r="F357" i="26"/>
  <c r="G351" i="26"/>
  <c r="H351" i="26"/>
  <c r="F351" i="26"/>
  <c r="G347" i="26"/>
  <c r="H347" i="26"/>
  <c r="F347" i="26"/>
  <c r="G342" i="26"/>
  <c r="H342" i="26"/>
  <c r="G343" i="26"/>
  <c r="H343" i="26"/>
  <c r="F343" i="26"/>
  <c r="F342" i="26"/>
  <c r="G334" i="26" l="1"/>
  <c r="H334" i="26"/>
  <c r="F334" i="26"/>
  <c r="G328" i="26"/>
  <c r="H328" i="26"/>
  <c r="F328" i="26"/>
  <c r="G326" i="26"/>
  <c r="H326" i="26"/>
  <c r="F326" i="26"/>
  <c r="H324" i="26"/>
  <c r="G324" i="26"/>
  <c r="G318" i="26"/>
  <c r="H318" i="26"/>
  <c r="G319" i="26"/>
  <c r="H319" i="26"/>
  <c r="F319" i="26"/>
  <c r="F318" i="26"/>
  <c r="G315" i="26"/>
  <c r="H315" i="26"/>
  <c r="G316" i="26"/>
  <c r="H316" i="26"/>
  <c r="F316" i="26"/>
  <c r="F315" i="26"/>
  <c r="G308" i="26"/>
  <c r="H308" i="26"/>
  <c r="F308" i="26"/>
  <c r="H303" i="26"/>
  <c r="H302" i="26" s="1"/>
  <c r="G299" i="26"/>
  <c r="H299" i="26"/>
  <c r="G301" i="26"/>
  <c r="H301" i="26"/>
  <c r="F300" i="26"/>
  <c r="F301" i="26"/>
  <c r="F299" i="26"/>
  <c r="F297" i="26"/>
  <c r="G295" i="26"/>
  <c r="H295" i="26"/>
  <c r="F295" i="26"/>
  <c r="G289" i="26"/>
  <c r="H289" i="26"/>
  <c r="F289" i="26"/>
  <c r="G268" i="26"/>
  <c r="H268" i="26"/>
  <c r="G271" i="26"/>
  <c r="H271" i="26"/>
  <c r="F269" i="26"/>
  <c r="F271" i="26"/>
  <c r="F268" i="26"/>
  <c r="G262" i="26"/>
  <c r="H262" i="26"/>
  <c r="F262" i="26"/>
  <c r="G255" i="26"/>
  <c r="H255" i="26"/>
  <c r="G252" i="26"/>
  <c r="H252" i="26"/>
  <c r="G253" i="26"/>
  <c r="H253" i="26"/>
  <c r="F253" i="26"/>
  <c r="F252" i="26"/>
  <c r="G250" i="26"/>
  <c r="H250" i="26"/>
  <c r="G245" i="26"/>
  <c r="H245" i="26"/>
  <c r="F245" i="26"/>
  <c r="G243" i="26"/>
  <c r="G241" i="26" s="1"/>
  <c r="H243" i="26"/>
  <c r="H241" i="26" s="1"/>
  <c r="G240" i="26"/>
  <c r="H240" i="26"/>
  <c r="F240" i="26"/>
  <c r="G238" i="26"/>
  <c r="H238" i="26"/>
  <c r="F238" i="26"/>
  <c r="G236" i="26"/>
  <c r="H236" i="26"/>
  <c r="F236" i="26"/>
  <c r="H234" i="26"/>
  <c r="G232" i="26"/>
  <c r="H232" i="26"/>
  <c r="F232" i="26"/>
  <c r="G221" i="26"/>
  <c r="H221" i="26"/>
  <c r="F221" i="26"/>
  <c r="G219" i="26"/>
  <c r="H219" i="26"/>
  <c r="F219" i="26"/>
  <c r="G217" i="26"/>
  <c r="H217" i="26"/>
  <c r="G213" i="26"/>
  <c r="H213" i="26"/>
  <c r="F213" i="26"/>
  <c r="G200" i="26"/>
  <c r="H200" i="26"/>
  <c r="F200" i="26"/>
  <c r="G198" i="26"/>
  <c r="H198" i="26"/>
  <c r="F198" i="26"/>
  <c r="G195" i="26"/>
  <c r="H195" i="26"/>
  <c r="G196" i="26"/>
  <c r="H196" i="26"/>
  <c r="F196" i="26"/>
  <c r="F195" i="26"/>
  <c r="G184" i="26"/>
  <c r="H184" i="26"/>
  <c r="F184" i="26"/>
  <c r="G162" i="26"/>
  <c r="H162" i="26"/>
  <c r="G160" i="26"/>
  <c r="H160" i="26"/>
  <c r="G156" i="26"/>
  <c r="H156" i="26"/>
  <c r="F156" i="26"/>
  <c r="G143" i="26"/>
  <c r="H143" i="26"/>
  <c r="F143" i="26"/>
  <c r="H141" i="26"/>
  <c r="G141" i="26"/>
  <c r="G139" i="26"/>
  <c r="H139" i="26"/>
  <c r="F139" i="26"/>
  <c r="G137" i="26"/>
  <c r="H137" i="26"/>
  <c r="F137" i="26"/>
  <c r="G134" i="26"/>
  <c r="H134" i="26"/>
  <c r="F134" i="26"/>
  <c r="G124" i="26"/>
  <c r="G123" i="26" s="1"/>
  <c r="H124" i="26"/>
  <c r="H123" i="26" s="1"/>
  <c r="F124" i="26"/>
  <c r="F123" i="26" s="1"/>
  <c r="G119" i="26"/>
  <c r="G118" i="26" s="1"/>
  <c r="H119" i="26"/>
  <c r="H118" i="26" s="1"/>
  <c r="F119" i="26"/>
  <c r="F118" i="26" s="1"/>
  <c r="G115" i="26"/>
  <c r="H115" i="26"/>
  <c r="F115" i="26"/>
  <c r="G111" i="26"/>
  <c r="H111" i="26"/>
  <c r="G113" i="26"/>
  <c r="H113" i="26"/>
  <c r="F113" i="26"/>
  <c r="G105" i="26"/>
  <c r="H105" i="26"/>
  <c r="F105" i="26"/>
  <c r="G100" i="26"/>
  <c r="H100" i="26"/>
  <c r="F100" i="26"/>
  <c r="G95" i="26"/>
  <c r="H95" i="26"/>
  <c r="G96" i="26"/>
  <c r="H96" i="26"/>
  <c r="F95" i="26"/>
  <c r="G93" i="26"/>
  <c r="H93" i="26"/>
  <c r="G89" i="26"/>
  <c r="H89" i="26"/>
  <c r="G91" i="26"/>
  <c r="H91" i="26"/>
  <c r="F91" i="26"/>
  <c r="F89" i="26"/>
  <c r="G87" i="26"/>
  <c r="H87" i="26"/>
  <c r="F87" i="26"/>
  <c r="G85" i="26"/>
  <c r="H85" i="26"/>
  <c r="G83" i="26"/>
  <c r="H83" i="26"/>
  <c r="G77" i="26"/>
  <c r="H77" i="26"/>
  <c r="F77" i="26"/>
  <c r="G75" i="26"/>
  <c r="H75" i="26"/>
  <c r="F75" i="26"/>
  <c r="G73" i="26"/>
  <c r="H73" i="26"/>
  <c r="F73" i="26"/>
  <c r="G71" i="26"/>
  <c r="H71" i="26"/>
  <c r="G69" i="26"/>
  <c r="H69" i="26"/>
  <c r="F69" i="26"/>
  <c r="G67" i="26"/>
  <c r="H67" i="26"/>
  <c r="F67" i="26"/>
  <c r="G63" i="26"/>
  <c r="H63" i="26"/>
  <c r="F63" i="26"/>
  <c r="G56" i="26"/>
  <c r="H56" i="26"/>
  <c r="F56" i="26"/>
  <c r="G51" i="26"/>
  <c r="H51" i="26"/>
  <c r="F51" i="26"/>
  <c r="G46" i="26"/>
  <c r="H46" i="26"/>
  <c r="F46" i="26"/>
  <c r="G40" i="26"/>
  <c r="H40" i="26"/>
  <c r="F40" i="26"/>
  <c r="G34" i="26"/>
  <c r="H34" i="26"/>
  <c r="F34" i="26"/>
  <c r="G31" i="26"/>
  <c r="H31" i="26"/>
  <c r="F31" i="26"/>
  <c r="G27" i="26"/>
  <c r="H27" i="26"/>
  <c r="G24" i="26"/>
  <c r="G23" i="26" s="1"/>
  <c r="H24" i="26"/>
  <c r="H23" i="26" s="1"/>
  <c r="G20" i="26"/>
  <c r="H20" i="26"/>
  <c r="G21" i="26"/>
  <c r="H21" i="26"/>
  <c r="G22" i="26"/>
  <c r="H22" i="26"/>
  <c r="F21" i="26"/>
  <c r="F22" i="26"/>
  <c r="H589" i="25"/>
  <c r="I589" i="25"/>
  <c r="H552" i="25"/>
  <c r="I552" i="25"/>
  <c r="H539" i="25"/>
  <c r="I539" i="25"/>
  <c r="H530" i="25"/>
  <c r="I530" i="25"/>
  <c r="H527" i="25"/>
  <c r="I527" i="25"/>
  <c r="H524" i="25"/>
  <c r="H522" i="25" s="1"/>
  <c r="I524" i="25"/>
  <c r="I522" i="25" s="1"/>
  <c r="H520" i="25"/>
  <c r="I520" i="25"/>
  <c r="H517" i="25"/>
  <c r="I517" i="25"/>
  <c r="H514" i="25"/>
  <c r="I514" i="25"/>
  <c r="H512" i="25"/>
  <c r="I512" i="25"/>
  <c r="I509" i="25"/>
  <c r="H509" i="25"/>
  <c r="H507" i="25"/>
  <c r="I507" i="25"/>
  <c r="H505" i="25"/>
  <c r="I505" i="25"/>
  <c r="H500" i="25"/>
  <c r="I500" i="25"/>
  <c r="H501" i="25"/>
  <c r="I501" i="25"/>
  <c r="H493" i="25"/>
  <c r="I493" i="25"/>
  <c r="H491" i="25"/>
  <c r="I491" i="25"/>
  <c r="H489" i="25"/>
  <c r="I489" i="25"/>
  <c r="H487" i="25"/>
  <c r="I487" i="25"/>
  <c r="H484" i="25"/>
  <c r="I484" i="25"/>
  <c r="H477" i="25"/>
  <c r="I477" i="25"/>
  <c r="H475" i="25"/>
  <c r="I475" i="25"/>
  <c r="G94" i="26" l="1"/>
  <c r="H94" i="26"/>
  <c r="G88" i="26"/>
  <c r="F88" i="26"/>
  <c r="H88" i="26"/>
  <c r="H457" i="25"/>
  <c r="I457" i="25"/>
  <c r="H455" i="25"/>
  <c r="I455" i="25"/>
  <c r="H445" i="25"/>
  <c r="I445" i="25"/>
  <c r="H441" i="25"/>
  <c r="I441" i="25"/>
  <c r="H437" i="25"/>
  <c r="I437" i="25"/>
  <c r="H438" i="25"/>
  <c r="I438" i="25"/>
  <c r="H434" i="25"/>
  <c r="I434" i="25"/>
  <c r="H430" i="25"/>
  <c r="I430" i="25"/>
  <c r="H431" i="25"/>
  <c r="I431" i="25"/>
  <c r="H432" i="25"/>
  <c r="I432" i="25"/>
  <c r="H424" i="25"/>
  <c r="I424" i="25"/>
  <c r="H425" i="25"/>
  <c r="I425" i="25"/>
  <c r="H421" i="25"/>
  <c r="I421" i="25"/>
  <c r="H422" i="25"/>
  <c r="I422" i="25"/>
  <c r="H418" i="25"/>
  <c r="I418" i="25"/>
  <c r="H419" i="25"/>
  <c r="I419" i="25"/>
  <c r="H415" i="25"/>
  <c r="I415" i="25"/>
  <c r="H416" i="25"/>
  <c r="I416" i="25"/>
  <c r="H413" i="25"/>
  <c r="I413" i="25"/>
  <c r="H410" i="25"/>
  <c r="I410" i="25"/>
  <c r="H408" i="25"/>
  <c r="I408" i="25"/>
  <c r="H406" i="25"/>
  <c r="I406" i="25"/>
  <c r="H399" i="25"/>
  <c r="I399" i="25"/>
  <c r="H400" i="25"/>
  <c r="I400" i="25"/>
  <c r="H384" i="25"/>
  <c r="I384" i="25"/>
  <c r="H385" i="25"/>
  <c r="I385" i="25"/>
  <c r="H381" i="25"/>
  <c r="I381" i="25"/>
  <c r="H382" i="25"/>
  <c r="I382" i="25"/>
  <c r="H379" i="25"/>
  <c r="I379" i="25"/>
  <c r="H377" i="25"/>
  <c r="I377" i="25"/>
  <c r="H373" i="25"/>
  <c r="I373" i="25"/>
  <c r="H374" i="25"/>
  <c r="I374" i="25"/>
  <c r="H370" i="25"/>
  <c r="I370" i="25"/>
  <c r="H371" i="25"/>
  <c r="I371" i="25"/>
  <c r="H367" i="25"/>
  <c r="I367" i="25"/>
  <c r="H365" i="25"/>
  <c r="I365" i="25"/>
  <c r="H361" i="25"/>
  <c r="I361" i="25"/>
  <c r="H358" i="25"/>
  <c r="I358" i="25"/>
  <c r="H359" i="25"/>
  <c r="I359" i="25"/>
  <c r="H351" i="25"/>
  <c r="I351" i="25"/>
  <c r="H340" i="25"/>
  <c r="I340" i="25"/>
  <c r="H341" i="25"/>
  <c r="I341" i="25"/>
  <c r="H335" i="25"/>
  <c r="I335" i="25"/>
  <c r="H336" i="25"/>
  <c r="I336" i="25"/>
  <c r="H332" i="25"/>
  <c r="I332" i="25"/>
  <c r="H330" i="25"/>
  <c r="I330" i="25"/>
  <c r="H328" i="25"/>
  <c r="I328" i="25"/>
  <c r="H318" i="25"/>
  <c r="I318" i="25"/>
  <c r="H319" i="25"/>
  <c r="I319" i="25"/>
  <c r="H321" i="25"/>
  <c r="I321" i="25"/>
  <c r="H307" i="25"/>
  <c r="I307" i="25"/>
  <c r="H308" i="25"/>
  <c r="I308" i="25"/>
  <c r="H303" i="25"/>
  <c r="I303" i="25"/>
  <c r="H304" i="25"/>
  <c r="I304" i="25"/>
  <c r="H305" i="25"/>
  <c r="I305" i="25"/>
  <c r="H300" i="25"/>
  <c r="I300" i="25"/>
  <c r="H298" i="25"/>
  <c r="I298" i="25"/>
  <c r="H295" i="25"/>
  <c r="I295" i="25"/>
  <c r="H291" i="25"/>
  <c r="I291" i="25"/>
  <c r="I436" i="25" l="1"/>
  <c r="H436" i="25"/>
  <c r="H285" i="25"/>
  <c r="I285" i="25"/>
  <c r="H279" i="25"/>
  <c r="I279" i="25"/>
  <c r="H280" i="25"/>
  <c r="I280" i="25"/>
  <c r="I281" i="25"/>
  <c r="H282" i="25"/>
  <c r="I282" i="25"/>
  <c r="H274" i="25"/>
  <c r="I274" i="25"/>
  <c r="H275" i="25"/>
  <c r="I275" i="25"/>
  <c r="H267" i="25"/>
  <c r="I267" i="25"/>
  <c r="H268" i="25"/>
  <c r="I268" i="25"/>
  <c r="H265" i="25"/>
  <c r="H263" i="25"/>
  <c r="I263" i="25"/>
  <c r="H259" i="25"/>
  <c r="I259" i="25"/>
  <c r="H256" i="25"/>
  <c r="I256" i="25"/>
  <c r="H254" i="25"/>
  <c r="I254" i="25"/>
  <c r="H252" i="25"/>
  <c r="I252" i="25"/>
  <c r="H250" i="25"/>
  <c r="I250" i="25"/>
  <c r="H244" i="25"/>
  <c r="I244" i="25"/>
  <c r="H245" i="25"/>
  <c r="I245" i="25"/>
  <c r="H240" i="25"/>
  <c r="I240" i="25"/>
  <c r="H241" i="25"/>
  <c r="I241" i="25"/>
  <c r="H242" i="25"/>
  <c r="I242" i="25"/>
  <c r="H238" i="25"/>
  <c r="I238" i="25"/>
  <c r="H236" i="25"/>
  <c r="I236" i="25"/>
  <c r="H233" i="25"/>
  <c r="I233" i="25"/>
  <c r="H234" i="25"/>
  <c r="I234" i="25"/>
  <c r="H219" i="25"/>
  <c r="I219" i="25"/>
  <c r="G219" i="25"/>
  <c r="H216" i="25"/>
  <c r="I216" i="25"/>
  <c r="G216" i="25"/>
  <c r="H214" i="25"/>
  <c r="I214" i="25"/>
  <c r="G214" i="25"/>
  <c r="H208" i="25"/>
  <c r="I208" i="25"/>
  <c r="G208" i="25"/>
  <c r="H190" i="25"/>
  <c r="I190" i="25"/>
  <c r="H191" i="25"/>
  <c r="I191" i="25"/>
  <c r="H192" i="25"/>
  <c r="I192" i="25"/>
  <c r="G191" i="25"/>
  <c r="G192" i="25"/>
  <c r="G190" i="25"/>
  <c r="H187" i="25"/>
  <c r="I187" i="25"/>
  <c r="H188" i="25"/>
  <c r="I188" i="25"/>
  <c r="G188" i="25"/>
  <c r="G187" i="25"/>
  <c r="H183" i="25"/>
  <c r="I183" i="25"/>
  <c r="G183" i="25"/>
  <c r="H181" i="25"/>
  <c r="I181" i="25"/>
  <c r="G181" i="25"/>
  <c r="H180" i="25"/>
  <c r="I180" i="25"/>
  <c r="G180" i="25"/>
  <c r="H176" i="25"/>
  <c r="I176" i="25"/>
  <c r="H178" i="25"/>
  <c r="I178" i="25"/>
  <c r="G177" i="25"/>
  <c r="G178" i="25"/>
  <c r="G176" i="25"/>
  <c r="I173" i="25"/>
  <c r="I172" i="25" s="1"/>
  <c r="H168" i="25"/>
  <c r="I168" i="25"/>
  <c r="G168" i="25"/>
  <c r="G164" i="25"/>
  <c r="H159" i="25"/>
  <c r="I159" i="25"/>
  <c r="H162" i="25"/>
  <c r="I162" i="25"/>
  <c r="G160" i="25"/>
  <c r="G161" i="25"/>
  <c r="G162" i="25"/>
  <c r="G159" i="25"/>
  <c r="H155" i="25"/>
  <c r="I155" i="25"/>
  <c r="G155" i="25"/>
  <c r="H153" i="25"/>
  <c r="I153" i="25"/>
  <c r="G153" i="25"/>
  <c r="H150" i="25"/>
  <c r="I150" i="25"/>
  <c r="G150" i="25"/>
  <c r="H147" i="25"/>
  <c r="I147" i="25"/>
  <c r="H146" i="25"/>
  <c r="I146" i="25"/>
  <c r="I145" i="25" l="1"/>
  <c r="H145" i="25"/>
  <c r="H139" i="25" l="1"/>
  <c r="I139" i="25"/>
  <c r="G139" i="25"/>
  <c r="H137" i="25"/>
  <c r="I137" i="25"/>
  <c r="G137" i="25"/>
  <c r="H122" i="25"/>
  <c r="I122" i="25"/>
  <c r="G122" i="25"/>
  <c r="I119" i="25"/>
  <c r="H119" i="25"/>
  <c r="H117" i="25"/>
  <c r="I117" i="25"/>
  <c r="G117" i="25"/>
  <c r="H115" i="25"/>
  <c r="I115" i="25"/>
  <c r="H111" i="25"/>
  <c r="I111" i="25"/>
  <c r="H94" i="25"/>
  <c r="H93" i="25" s="1"/>
  <c r="I94" i="25"/>
  <c r="I93" i="25" s="1"/>
  <c r="G94" i="25"/>
  <c r="G93" i="25" s="1"/>
  <c r="H84" i="25" l="1"/>
  <c r="H83" i="25" s="1"/>
  <c r="I84" i="25"/>
  <c r="I83" i="25" s="1"/>
  <c r="G84" i="25"/>
  <c r="G83" i="25" s="1"/>
  <c r="H80" i="25"/>
  <c r="I80" i="25"/>
  <c r="H82" i="25"/>
  <c r="I82" i="25"/>
  <c r="G82" i="25"/>
  <c r="H76" i="25"/>
  <c r="I76" i="25"/>
  <c r="G76" i="25"/>
  <c r="H71" i="25"/>
  <c r="I71" i="25"/>
  <c r="H72" i="25"/>
  <c r="I72" i="25"/>
  <c r="G71" i="25"/>
  <c r="H69" i="25"/>
  <c r="H68" i="25" s="1"/>
  <c r="I69" i="25"/>
  <c r="I68" i="25" s="1"/>
  <c r="H65" i="25"/>
  <c r="I65" i="25"/>
  <c r="H67" i="25"/>
  <c r="I67" i="25"/>
  <c r="G67" i="25"/>
  <c r="G65" i="25"/>
  <c r="H63" i="25"/>
  <c r="H62" i="25" s="1"/>
  <c r="I63" i="25"/>
  <c r="I62" i="25" s="1"/>
  <c r="G63" i="25"/>
  <c r="G62" i="25" s="1"/>
  <c r="H61" i="25"/>
  <c r="H60" i="25" s="1"/>
  <c r="I61" i="25"/>
  <c r="I60" i="25" s="1"/>
  <c r="H59" i="25"/>
  <c r="H58" i="25" s="1"/>
  <c r="I59" i="25"/>
  <c r="I58" i="25" s="1"/>
  <c r="H57" i="25"/>
  <c r="H56" i="25" s="1"/>
  <c r="I57" i="25"/>
  <c r="I56" i="25" s="1"/>
  <c r="H55" i="25"/>
  <c r="H54" i="25" s="1"/>
  <c r="I55" i="25"/>
  <c r="I54" i="25" s="1"/>
  <c r="H50" i="25"/>
  <c r="H49" i="25" s="1"/>
  <c r="I50" i="25"/>
  <c r="I49" i="25" s="1"/>
  <c r="G50" i="25"/>
  <c r="G49" i="25" s="1"/>
  <c r="H48" i="25"/>
  <c r="I48" i="25"/>
  <c r="G48" i="25"/>
  <c r="H45" i="25"/>
  <c r="I45" i="25"/>
  <c r="G45" i="25"/>
  <c r="H38" i="25"/>
  <c r="H37" i="25" s="1"/>
  <c r="I38" i="25"/>
  <c r="I37" i="25" s="1"/>
  <c r="G38" i="25"/>
  <c r="G37" i="25" s="1"/>
  <c r="H36" i="25"/>
  <c r="H35" i="25" s="1"/>
  <c r="I36" i="25"/>
  <c r="I35" i="25" s="1"/>
  <c r="G36" i="25"/>
  <c r="G35" i="25" s="1"/>
  <c r="H33" i="25"/>
  <c r="I33" i="25"/>
  <c r="H34" i="25"/>
  <c r="I34" i="25"/>
  <c r="G34" i="25"/>
  <c r="G33" i="25"/>
  <c r="H31" i="25"/>
  <c r="H30" i="25" s="1"/>
  <c r="I31" i="25"/>
  <c r="I30" i="25" s="1"/>
  <c r="G31" i="25"/>
  <c r="G30" i="25" s="1"/>
  <c r="H28" i="25"/>
  <c r="H27" i="25" s="1"/>
  <c r="I28" i="25"/>
  <c r="I27" i="25" s="1"/>
  <c r="G28" i="25"/>
  <c r="G27" i="25" s="1"/>
  <c r="H26" i="25"/>
  <c r="H25" i="25" s="1"/>
  <c r="I26" i="25"/>
  <c r="I25" i="25" s="1"/>
  <c r="H618" i="26"/>
  <c r="H617" i="26" s="1"/>
  <c r="H616" i="26" s="1"/>
  <c r="G618" i="26"/>
  <c r="G617" i="26" s="1"/>
  <c r="G616" i="26" s="1"/>
  <c r="F618" i="26"/>
  <c r="F617" i="26" s="1"/>
  <c r="F616" i="26" s="1"/>
  <c r="H602" i="26"/>
  <c r="G602" i="26"/>
  <c r="F602" i="26"/>
  <c r="H592" i="26"/>
  <c r="G592" i="26"/>
  <c r="F592" i="26"/>
  <c r="H583" i="26"/>
  <c r="G583" i="26"/>
  <c r="H579" i="26"/>
  <c r="G579" i="26"/>
  <c r="F579" i="26"/>
  <c r="H567" i="26"/>
  <c r="G567" i="26"/>
  <c r="F567" i="26"/>
  <c r="H565" i="26"/>
  <c r="G565" i="26"/>
  <c r="F565" i="26"/>
  <c r="H563" i="26"/>
  <c r="G563" i="26"/>
  <c r="F563" i="26"/>
  <c r="H556" i="26"/>
  <c r="G556" i="26"/>
  <c r="F556" i="26"/>
  <c r="H553" i="26"/>
  <c r="G553" i="26"/>
  <c r="H550" i="26"/>
  <c r="G550" i="26"/>
  <c r="F550" i="26"/>
  <c r="H546" i="26"/>
  <c r="G546" i="26"/>
  <c r="F546" i="26"/>
  <c r="H544" i="26"/>
  <c r="G544" i="26"/>
  <c r="F544" i="26"/>
  <c r="H541" i="26"/>
  <c r="G541" i="26"/>
  <c r="F541" i="26"/>
  <c r="H539" i="26"/>
  <c r="G539" i="26"/>
  <c r="F539" i="26"/>
  <c r="H536" i="26"/>
  <c r="G536" i="26"/>
  <c r="F536" i="26"/>
  <c r="G534" i="26"/>
  <c r="F534" i="26"/>
  <c r="H532" i="26"/>
  <c r="G532" i="26"/>
  <c r="F532" i="26"/>
  <c r="H528" i="26"/>
  <c r="G528" i="26"/>
  <c r="F528" i="26"/>
  <c r="H524" i="26"/>
  <c r="G524" i="26"/>
  <c r="F524" i="26"/>
  <c r="H522" i="26"/>
  <c r="G522" i="26"/>
  <c r="F522" i="26"/>
  <c r="H520" i="26"/>
  <c r="G520" i="26"/>
  <c r="H518" i="26"/>
  <c r="G518" i="26"/>
  <c r="F518" i="26"/>
  <c r="H515" i="26"/>
  <c r="G515" i="26"/>
  <c r="F515" i="26"/>
  <c r="H513" i="26"/>
  <c r="G513" i="26"/>
  <c r="H508" i="26"/>
  <c r="G508" i="26"/>
  <c r="F508" i="26"/>
  <c r="H502" i="26"/>
  <c r="G502" i="26"/>
  <c r="F502" i="26"/>
  <c r="H499" i="26"/>
  <c r="G499" i="26"/>
  <c r="F499" i="26"/>
  <c r="H496" i="26"/>
  <c r="G496" i="26"/>
  <c r="F496" i="26"/>
  <c r="H491" i="26"/>
  <c r="G491" i="26"/>
  <c r="F491" i="26"/>
  <c r="H482" i="26"/>
  <c r="G482" i="26"/>
  <c r="F482" i="26"/>
  <c r="H467" i="26"/>
  <c r="G467" i="26"/>
  <c r="F467" i="26"/>
  <c r="H461" i="26"/>
  <c r="G461" i="26"/>
  <c r="H458" i="26"/>
  <c r="G458" i="26"/>
  <c r="F458" i="26"/>
  <c r="H456" i="26"/>
  <c r="G456" i="26"/>
  <c r="F456" i="26"/>
  <c r="H451" i="26"/>
  <c r="G451" i="26"/>
  <c r="F451" i="26"/>
  <c r="H449" i="26"/>
  <c r="G449" i="26"/>
  <c r="F449" i="26"/>
  <c r="H444" i="26"/>
  <c r="G444" i="26"/>
  <c r="F444" i="26"/>
  <c r="H442" i="26"/>
  <c r="G442" i="26"/>
  <c r="F442" i="26"/>
  <c r="H440" i="26"/>
  <c r="G440" i="26"/>
  <c r="F440" i="26"/>
  <c r="H438" i="26"/>
  <c r="G438" i="26"/>
  <c r="H434" i="26"/>
  <c r="G434" i="26"/>
  <c r="H422" i="26"/>
  <c r="G422" i="26"/>
  <c r="F422" i="26"/>
  <c r="H409" i="26"/>
  <c r="H408" i="26" s="1"/>
  <c r="G409" i="26"/>
  <c r="G408" i="26" s="1"/>
  <c r="F409" i="26"/>
  <c r="F408" i="26" s="1"/>
  <c r="H403" i="26"/>
  <c r="G403" i="26"/>
  <c r="H399" i="26"/>
  <c r="G399" i="26"/>
  <c r="F399" i="26"/>
  <c r="H393" i="26"/>
  <c r="G393" i="26"/>
  <c r="H386" i="26"/>
  <c r="G386" i="26"/>
  <c r="F386" i="26"/>
  <c r="H382" i="26"/>
  <c r="G382" i="26"/>
  <c r="F382" i="26"/>
  <c r="H373" i="26"/>
  <c r="F373" i="26"/>
  <c r="F371" i="26"/>
  <c r="H368" i="26"/>
  <c r="G368" i="26"/>
  <c r="F368" i="26"/>
  <c r="H364" i="26"/>
  <c r="G364" i="26"/>
  <c r="F364" i="26"/>
  <c r="H361" i="26"/>
  <c r="G361" i="26"/>
  <c r="F361" i="26"/>
  <c r="G358" i="26"/>
  <c r="H358" i="26"/>
  <c r="F358" i="26"/>
  <c r="H356" i="26"/>
  <c r="G356" i="26"/>
  <c r="F356" i="26"/>
  <c r="H341" i="26"/>
  <c r="G341" i="26"/>
  <c r="F341" i="26"/>
  <c r="H333" i="26"/>
  <c r="G333" i="26"/>
  <c r="F333" i="26"/>
  <c r="F332" i="26" s="1"/>
  <c r="H325" i="26"/>
  <c r="G325" i="26"/>
  <c r="F325" i="26"/>
  <c r="H323" i="26"/>
  <c r="G323" i="26"/>
  <c r="H317" i="26"/>
  <c r="G317" i="26"/>
  <c r="F317" i="26"/>
  <c r="H314" i="26"/>
  <c r="G314" i="26"/>
  <c r="F314" i="26"/>
  <c r="F298" i="26"/>
  <c r="F296" i="26"/>
  <c r="H294" i="26"/>
  <c r="G294" i="26"/>
  <c r="F294" i="26"/>
  <c r="F267" i="26"/>
  <c r="H261" i="26"/>
  <c r="G261" i="26"/>
  <c r="F261" i="26"/>
  <c r="H254" i="26"/>
  <c r="G254" i="26"/>
  <c r="H251" i="26"/>
  <c r="G251" i="26"/>
  <c r="F251" i="26"/>
  <c r="H249" i="26"/>
  <c r="G249" i="26"/>
  <c r="H244" i="26"/>
  <c r="G244" i="26"/>
  <c r="F244" i="26"/>
  <c r="H239" i="26"/>
  <c r="G239" i="26"/>
  <c r="F239" i="26"/>
  <c r="H237" i="26"/>
  <c r="G237" i="26"/>
  <c r="F237" i="26"/>
  <c r="H235" i="26"/>
  <c r="G235" i="26"/>
  <c r="F235" i="26"/>
  <c r="H233" i="26"/>
  <c r="H231" i="26"/>
  <c r="G231" i="26"/>
  <c r="F231" i="26"/>
  <c r="H220" i="26"/>
  <c r="G220" i="26"/>
  <c r="F220" i="26"/>
  <c r="H218" i="26"/>
  <c r="G218" i="26"/>
  <c r="F218" i="26"/>
  <c r="H216" i="26"/>
  <c r="G216" i="26"/>
  <c r="H212" i="26"/>
  <c r="G212" i="26"/>
  <c r="F212" i="26"/>
  <c r="H208" i="26"/>
  <c r="G208" i="26"/>
  <c r="H199" i="26"/>
  <c r="G199" i="26"/>
  <c r="F199" i="26"/>
  <c r="H197" i="26"/>
  <c r="G197" i="26"/>
  <c r="F197" i="26"/>
  <c r="H194" i="26"/>
  <c r="G194" i="26"/>
  <c r="F194" i="26"/>
  <c r="F183" i="26"/>
  <c r="H161" i="26"/>
  <c r="G161" i="26"/>
  <c r="H159" i="26"/>
  <c r="G159" i="26"/>
  <c r="H155" i="26"/>
  <c r="G155" i="26"/>
  <c r="F155" i="26"/>
  <c r="H142" i="26"/>
  <c r="G142" i="26"/>
  <c r="F142" i="26"/>
  <c r="H140" i="26"/>
  <c r="G140" i="26"/>
  <c r="H138" i="26"/>
  <c r="G138" i="26"/>
  <c r="F138" i="26"/>
  <c r="H136" i="26"/>
  <c r="G136" i="26"/>
  <c r="F136" i="26"/>
  <c r="H133" i="26"/>
  <c r="H132" i="26" s="1"/>
  <c r="G133" i="26"/>
  <c r="G132" i="26" s="1"/>
  <c r="F133" i="26"/>
  <c r="F132" i="26" s="1"/>
  <c r="H114" i="26"/>
  <c r="G114" i="26"/>
  <c r="F114" i="26"/>
  <c r="H104" i="26"/>
  <c r="G104" i="26"/>
  <c r="F104" i="26"/>
  <c r="H92" i="26"/>
  <c r="G92" i="26"/>
  <c r="H86" i="26"/>
  <c r="G86" i="26"/>
  <c r="F86" i="26"/>
  <c r="H84" i="26"/>
  <c r="G84" i="26"/>
  <c r="H82" i="26"/>
  <c r="G82" i="26"/>
  <c r="H76" i="26"/>
  <c r="G76" i="26"/>
  <c r="F76" i="26"/>
  <c r="H74" i="26"/>
  <c r="F74" i="26"/>
  <c r="G74" i="26"/>
  <c r="H72" i="26"/>
  <c r="G72" i="26"/>
  <c r="F72" i="26"/>
  <c r="H70" i="26"/>
  <c r="G70" i="26"/>
  <c r="H68" i="26"/>
  <c r="G68" i="26"/>
  <c r="F68" i="26"/>
  <c r="H66" i="26"/>
  <c r="G66" i="26"/>
  <c r="F66" i="26"/>
  <c r="H62" i="26"/>
  <c r="G62" i="26"/>
  <c r="F62" i="26"/>
  <c r="H55" i="26"/>
  <c r="H54" i="26" s="1"/>
  <c r="G55" i="26"/>
  <c r="G54" i="26" s="1"/>
  <c r="F55" i="26"/>
  <c r="F54" i="26" s="1"/>
  <c r="H45" i="26"/>
  <c r="H44" i="26" s="1"/>
  <c r="G45" i="26"/>
  <c r="G44" i="26" s="1"/>
  <c r="F45" i="26"/>
  <c r="F44" i="26" s="1"/>
  <c r="H39" i="26"/>
  <c r="G39" i="26"/>
  <c r="F39" i="26"/>
  <c r="H26" i="26"/>
  <c r="G26" i="26"/>
  <c r="H19" i="26"/>
  <c r="G19" i="26"/>
  <c r="G100" i="25"/>
  <c r="H100" i="25"/>
  <c r="I100" i="25"/>
  <c r="G106" i="25"/>
  <c r="H106" i="25"/>
  <c r="I106" i="25"/>
  <c r="H110" i="25"/>
  <c r="I110" i="25"/>
  <c r="H114" i="25"/>
  <c r="I114" i="25"/>
  <c r="G116" i="25"/>
  <c r="H116" i="25"/>
  <c r="I116" i="25"/>
  <c r="H118" i="25"/>
  <c r="I118" i="25"/>
  <c r="G121" i="25"/>
  <c r="G120" i="25" s="1"/>
  <c r="H121" i="25"/>
  <c r="H120" i="25" s="1"/>
  <c r="I121" i="25"/>
  <c r="I120" i="25" s="1"/>
  <c r="G136" i="25"/>
  <c r="H136" i="25"/>
  <c r="H123" i="25" s="1"/>
  <c r="I136" i="25"/>
  <c r="I123" i="25" s="1"/>
  <c r="G138" i="25"/>
  <c r="G124" i="25" s="1"/>
  <c r="G149" i="25"/>
  <c r="H149" i="25"/>
  <c r="I149" i="25"/>
  <c r="G152" i="25"/>
  <c r="H152" i="25"/>
  <c r="I152" i="25"/>
  <c r="G154" i="25"/>
  <c r="H154" i="25"/>
  <c r="I154" i="25"/>
  <c r="G158" i="25"/>
  <c r="G163" i="25"/>
  <c r="G175" i="25"/>
  <c r="G179" i="25"/>
  <c r="I179" i="25"/>
  <c r="H179" i="25"/>
  <c r="G182" i="25"/>
  <c r="H182" i="25"/>
  <c r="I182" i="25"/>
  <c r="G186" i="25"/>
  <c r="H186" i="25"/>
  <c r="I186" i="25"/>
  <c r="G189" i="25"/>
  <c r="H189" i="25"/>
  <c r="I189" i="25"/>
  <c r="G213" i="25"/>
  <c r="H213" i="25"/>
  <c r="I213" i="25"/>
  <c r="H232" i="25"/>
  <c r="I232" i="25"/>
  <c r="H235" i="25"/>
  <c r="I235" i="25"/>
  <c r="H237" i="25"/>
  <c r="I237" i="25"/>
  <c r="H239" i="25"/>
  <c r="I239" i="25"/>
  <c r="H243" i="25"/>
  <c r="I243" i="25"/>
  <c r="H249" i="25"/>
  <c r="I249" i="25"/>
  <c r="H251" i="25"/>
  <c r="I251" i="25"/>
  <c r="H253" i="25"/>
  <c r="I253" i="25"/>
  <c r="H258" i="25"/>
  <c r="I258" i="25"/>
  <c r="H262" i="25"/>
  <c r="I262" i="25"/>
  <c r="H264" i="25"/>
  <c r="H266" i="25"/>
  <c r="I266" i="25"/>
  <c r="H273" i="25"/>
  <c r="I273" i="25"/>
  <c r="I278" i="25"/>
  <c r="H290" i="25"/>
  <c r="I290" i="25"/>
  <c r="H297" i="25"/>
  <c r="I297" i="25"/>
  <c r="H302" i="25"/>
  <c r="I302" i="25"/>
  <c r="H306" i="25"/>
  <c r="I306" i="25"/>
  <c r="H317" i="25"/>
  <c r="I317" i="25"/>
  <c r="H320" i="25"/>
  <c r="I320" i="25"/>
  <c r="H327" i="25"/>
  <c r="I327" i="25"/>
  <c r="H329" i="25"/>
  <c r="I329" i="25"/>
  <c r="H331" i="25"/>
  <c r="I331" i="25"/>
  <c r="H334" i="25"/>
  <c r="H333" i="25" s="1"/>
  <c r="I334" i="25"/>
  <c r="I333" i="25" s="1"/>
  <c r="H357" i="25"/>
  <c r="I357" i="25"/>
  <c r="H360" i="25"/>
  <c r="I360" i="25"/>
  <c r="H369" i="25"/>
  <c r="I369" i="25"/>
  <c r="H372" i="25"/>
  <c r="I372" i="25"/>
  <c r="H378" i="25"/>
  <c r="I378" i="25"/>
  <c r="H380" i="25"/>
  <c r="I380" i="25"/>
  <c r="H383" i="25"/>
  <c r="I383" i="25"/>
  <c r="H398" i="25"/>
  <c r="I398" i="25"/>
  <c r="H407" i="25"/>
  <c r="I407" i="25"/>
  <c r="H409" i="25"/>
  <c r="I409" i="25"/>
  <c r="H414" i="25"/>
  <c r="I414" i="25"/>
  <c r="H417" i="25"/>
  <c r="I417" i="25"/>
  <c r="H420" i="25"/>
  <c r="I420" i="25"/>
  <c r="H423" i="25"/>
  <c r="I423" i="25"/>
  <c r="H429" i="25"/>
  <c r="I429" i="25"/>
  <c r="H433" i="25"/>
  <c r="I433" i="25"/>
  <c r="H440" i="25"/>
  <c r="I440" i="25"/>
  <c r="H444" i="25"/>
  <c r="H443" i="25" s="1"/>
  <c r="I444" i="25"/>
  <c r="I443" i="25" s="1"/>
  <c r="H456" i="25"/>
  <c r="I456" i="25"/>
  <c r="H474" i="25"/>
  <c r="I474" i="25"/>
  <c r="H476" i="25"/>
  <c r="I476" i="25"/>
  <c r="H483" i="25"/>
  <c r="H482" i="25" s="1"/>
  <c r="I483" i="25"/>
  <c r="I482" i="25" s="1"/>
  <c r="H486" i="25"/>
  <c r="I486" i="25"/>
  <c r="H488" i="25"/>
  <c r="I488" i="25"/>
  <c r="H490" i="25"/>
  <c r="I490" i="25"/>
  <c r="H492" i="25"/>
  <c r="I492" i="25"/>
  <c r="H499" i="25"/>
  <c r="H498" i="25" s="1"/>
  <c r="I499" i="25"/>
  <c r="I498" i="25" s="1"/>
  <c r="H504" i="25"/>
  <c r="I504" i="25"/>
  <c r="H506" i="25"/>
  <c r="I506" i="25"/>
  <c r="H508" i="25"/>
  <c r="I508" i="25"/>
  <c r="H511" i="25"/>
  <c r="I511" i="25"/>
  <c r="H513" i="25"/>
  <c r="I513" i="25"/>
  <c r="H516" i="25"/>
  <c r="H515" i="25" s="1"/>
  <c r="I516" i="25"/>
  <c r="I515" i="25" s="1"/>
  <c r="H519" i="25"/>
  <c r="H518" i="25" s="1"/>
  <c r="I519" i="25"/>
  <c r="I518" i="25" s="1"/>
  <c r="H521" i="25"/>
  <c r="I521" i="25"/>
  <c r="H526" i="25"/>
  <c r="H525" i="25" s="1"/>
  <c r="I526" i="25"/>
  <c r="I525" i="25" s="1"/>
  <c r="H529" i="25"/>
  <c r="H528" i="25" s="1"/>
  <c r="I529" i="25"/>
  <c r="I528" i="25" s="1"/>
  <c r="H538" i="25"/>
  <c r="H537" i="25" s="1"/>
  <c r="I538" i="25"/>
  <c r="I537" i="25" s="1"/>
  <c r="H551" i="25"/>
  <c r="H543" i="25" s="1"/>
  <c r="I551" i="25"/>
  <c r="I543" i="25" s="1"/>
  <c r="I557" i="25"/>
  <c r="I561" i="25"/>
  <c r="H588" i="25"/>
  <c r="I588" i="25"/>
  <c r="F176" i="26" l="1"/>
  <c r="H226" i="26"/>
  <c r="G123" i="25"/>
  <c r="G148" i="26"/>
  <c r="H148" i="26"/>
  <c r="G201" i="26"/>
  <c r="H201" i="26"/>
  <c r="I467" i="25"/>
  <c r="H467" i="25"/>
  <c r="I311" i="25"/>
  <c r="H311" i="25"/>
  <c r="H485" i="25"/>
  <c r="I485" i="25"/>
  <c r="H70" i="25"/>
  <c r="I70" i="25"/>
  <c r="H176" i="26"/>
  <c r="G176" i="26"/>
  <c r="G135" i="26"/>
  <c r="H135" i="26"/>
  <c r="G64" i="25"/>
  <c r="I64" i="25"/>
  <c r="H64" i="25"/>
  <c r="G18" i="26"/>
  <c r="H32" i="25"/>
  <c r="G32" i="25"/>
  <c r="I510" i="25"/>
  <c r="I435" i="25"/>
  <c r="H151" i="25"/>
  <c r="H18" i="26"/>
  <c r="I151" i="25"/>
  <c r="H398" i="26"/>
  <c r="H248" i="26"/>
  <c r="H435" i="25"/>
  <c r="I32" i="25"/>
  <c r="G248" i="26"/>
  <c r="G398" i="26"/>
  <c r="G151" i="25"/>
  <c r="H510" i="25"/>
  <c r="I503" i="25"/>
  <c r="I24" i="25"/>
  <c r="H24" i="25"/>
  <c r="I142" i="25"/>
  <c r="H142" i="25"/>
  <c r="H503" i="25"/>
  <c r="H466" i="25" l="1"/>
  <c r="I466" i="25"/>
  <c r="H502" i="25"/>
  <c r="I502" i="25"/>
  <c r="H126" i="26"/>
  <c r="G126" i="26"/>
  <c r="H175" i="26"/>
  <c r="F96" i="26" l="1"/>
  <c r="F94" i="26" s="1"/>
  <c r="G72" i="25"/>
  <c r="G70" i="25" s="1"/>
  <c r="F93" i="26"/>
  <c r="F92" i="26" s="1"/>
  <c r="G69" i="25"/>
  <c r="G68" i="25" s="1"/>
  <c r="F83" i="26"/>
  <c r="F82" i="26" s="1"/>
  <c r="G59" i="25"/>
  <c r="G58" i="25" s="1"/>
  <c r="F85" i="26"/>
  <c r="F84" i="26" s="1"/>
  <c r="G61" i="25"/>
  <c r="G60" i="25" s="1"/>
  <c r="F162" i="26"/>
  <c r="F161" i="26" s="1"/>
  <c r="G57" i="25"/>
  <c r="G56" i="25" s="1"/>
  <c r="J615" i="23"/>
  <c r="K615" i="23"/>
  <c r="L615" i="23"/>
  <c r="M615" i="23"/>
  <c r="N615" i="23"/>
  <c r="O615" i="23"/>
  <c r="P615" i="23"/>
  <c r="Q615" i="23"/>
  <c r="J600" i="23"/>
  <c r="K600" i="23"/>
  <c r="L600" i="23"/>
  <c r="M600" i="23"/>
  <c r="N600" i="23"/>
  <c r="O600" i="23"/>
  <c r="P600" i="23"/>
  <c r="Q600" i="23"/>
  <c r="H346" i="23"/>
  <c r="I346" i="23"/>
  <c r="G346" i="23"/>
  <c r="H344" i="23"/>
  <c r="I344" i="23"/>
  <c r="G344" i="23"/>
  <c r="H65" i="23"/>
  <c r="I65" i="23"/>
  <c r="H100" i="23"/>
  <c r="H93" i="23" s="1"/>
  <c r="H89" i="23" s="1"/>
  <c r="I100" i="23"/>
  <c r="I93" i="23" s="1"/>
  <c r="I89" i="23" s="1"/>
  <c r="H121" i="23"/>
  <c r="H105" i="23" s="1"/>
  <c r="I121" i="23"/>
  <c r="I105" i="23" s="1"/>
  <c r="H132" i="23"/>
  <c r="I132" i="23"/>
  <c r="H138" i="23"/>
  <c r="I138" i="23"/>
  <c r="H140" i="23"/>
  <c r="I140" i="23"/>
  <c r="H166" i="23"/>
  <c r="I166" i="23"/>
  <c r="H170" i="23"/>
  <c r="I170" i="23"/>
  <c r="H222" i="23"/>
  <c r="H221" i="23" s="1"/>
  <c r="H220" i="23" s="1"/>
  <c r="I222" i="23"/>
  <c r="I221" i="23" s="1"/>
  <c r="I220" i="23" s="1"/>
  <c r="H263" i="23"/>
  <c r="I263" i="23"/>
  <c r="H443" i="23"/>
  <c r="I443" i="23"/>
  <c r="H579" i="23"/>
  <c r="I579" i="23"/>
  <c r="H582" i="23"/>
  <c r="I582" i="23"/>
  <c r="H584" i="23"/>
  <c r="I584" i="23"/>
  <c r="H586" i="23"/>
  <c r="I586" i="23"/>
  <c r="H598" i="23"/>
  <c r="I598" i="23"/>
  <c r="H613" i="23"/>
  <c r="H612" i="23" s="1"/>
  <c r="I613" i="23"/>
  <c r="I612" i="23" s="1"/>
  <c r="H616" i="23"/>
  <c r="I616" i="23"/>
  <c r="H618" i="23"/>
  <c r="I618" i="23"/>
  <c r="I622" i="23"/>
  <c r="H630" i="23"/>
  <c r="I630" i="23"/>
  <c r="H645" i="23"/>
  <c r="I645" i="23"/>
  <c r="H649" i="23"/>
  <c r="I649" i="23"/>
  <c r="H651" i="23"/>
  <c r="I651" i="23"/>
  <c r="H653" i="23"/>
  <c r="I653" i="23"/>
  <c r="H664" i="23"/>
  <c r="I664" i="23"/>
  <c r="H668" i="23"/>
  <c r="I668" i="23"/>
  <c r="H670" i="23"/>
  <c r="I670" i="23"/>
  <c r="H672" i="23"/>
  <c r="I672" i="23"/>
  <c r="H677" i="23"/>
  <c r="I677" i="23"/>
  <c r="H693" i="23"/>
  <c r="H691" i="23" s="1"/>
  <c r="I693" i="23"/>
  <c r="I691" i="23" s="1"/>
  <c r="H695" i="23"/>
  <c r="I695" i="23"/>
  <c r="H697" i="23"/>
  <c r="I697" i="23"/>
  <c r="G464" i="23"/>
  <c r="H629" i="23" l="1"/>
  <c r="I629" i="23"/>
  <c r="F324" i="26"/>
  <c r="F323" i="26" s="1"/>
  <c r="F329" i="26"/>
  <c r="F327" i="26" s="1"/>
  <c r="G169" i="25"/>
  <c r="G167" i="25" s="1"/>
  <c r="F404" i="26"/>
  <c r="F397" i="26"/>
  <c r="F395" i="26" s="1"/>
  <c r="G392" i="26"/>
  <c r="G390" i="26" s="1"/>
  <c r="H296" i="25"/>
  <c r="H294" i="25" s="1"/>
  <c r="F392" i="26"/>
  <c r="F390" i="26" s="1"/>
  <c r="H392" i="26"/>
  <c r="H390" i="26" s="1"/>
  <c r="I296" i="25"/>
  <c r="I294" i="25" s="1"/>
  <c r="F394" i="26"/>
  <c r="F393" i="26" s="1"/>
  <c r="I690" i="23"/>
  <c r="I689" i="23" s="1"/>
  <c r="H690" i="23"/>
  <c r="H689" i="23" s="1"/>
  <c r="F403" i="26" l="1"/>
  <c r="F398" i="26" s="1"/>
  <c r="F20" i="26"/>
  <c r="F19" i="26" s="1"/>
  <c r="F24" i="26" l="1"/>
  <c r="F23" i="26" s="1"/>
  <c r="F53" i="26"/>
  <c r="F52" i="26" s="1"/>
  <c r="F27" i="26"/>
  <c r="F26" i="26" s="1"/>
  <c r="F49" i="26"/>
  <c r="F18" i="26" l="1"/>
  <c r="F71" i="26"/>
  <c r="F70" i="26" s="1"/>
  <c r="G26" i="25"/>
  <c r="G25" i="25" s="1"/>
  <c r="G24" i="25" s="1"/>
  <c r="F255" i="26"/>
  <c r="F254" i="26" s="1"/>
  <c r="F111" i="26"/>
  <c r="G80" i="25"/>
  <c r="F42" i="26"/>
  <c r="G22" i="25"/>
  <c r="F102" i="26"/>
  <c r="G98" i="25"/>
  <c r="H297" i="26" l="1"/>
  <c r="H296" i="26" s="1"/>
  <c r="I164" i="25"/>
  <c r="I163" i="25" s="1"/>
  <c r="H623" i="26"/>
  <c r="H622" i="26" s="1"/>
  <c r="H621" i="26" s="1"/>
  <c r="H620" i="26" s="1"/>
  <c r="I593" i="25"/>
  <c r="I592" i="25" s="1"/>
  <c r="I591" i="25" s="1"/>
  <c r="I590" i="25" s="1"/>
  <c r="I576" i="25" s="1"/>
  <c r="F589" i="26" l="1"/>
  <c r="F587" i="26" s="1"/>
  <c r="G147" i="25"/>
  <c r="F584" i="26"/>
  <c r="F583" i="26" s="1"/>
  <c r="G145" i="25" l="1"/>
  <c r="G142" i="25" s="1"/>
  <c r="F160" i="26"/>
  <c r="F159" i="26" s="1"/>
  <c r="F148" i="26" s="1"/>
  <c r="G55" i="25"/>
  <c r="G54" i="25" s="1"/>
  <c r="I702" i="23"/>
  <c r="H702" i="23"/>
  <c r="G702" i="23"/>
  <c r="G697" i="23"/>
  <c r="G695" i="23"/>
  <c r="G693" i="23"/>
  <c r="I687" i="23"/>
  <c r="H687" i="23"/>
  <c r="G687" i="23"/>
  <c r="I684" i="23"/>
  <c r="H684" i="23"/>
  <c r="G684" i="23"/>
  <c r="I682" i="23"/>
  <c r="H682" i="23"/>
  <c r="G677" i="23"/>
  <c r="G672" i="23"/>
  <c r="G670" i="23"/>
  <c r="G668" i="23"/>
  <c r="I666" i="23"/>
  <c r="G664" i="23"/>
  <c r="G653" i="23"/>
  <c r="G651" i="23"/>
  <c r="G645" i="23"/>
  <c r="I641" i="23"/>
  <c r="I634" i="23" s="1"/>
  <c r="H641" i="23"/>
  <c r="H634" i="23" s="1"/>
  <c r="G630" i="23"/>
  <c r="G622" i="23"/>
  <c r="I620" i="23"/>
  <c r="I615" i="23" s="1"/>
  <c r="H620" i="23"/>
  <c r="H615" i="23" s="1"/>
  <c r="G618" i="23"/>
  <c r="G616" i="23"/>
  <c r="G613" i="23"/>
  <c r="G612" i="23" s="1"/>
  <c r="I609" i="23"/>
  <c r="I608" i="23" s="1"/>
  <c r="I607" i="23" s="1"/>
  <c r="H609" i="23"/>
  <c r="H608" i="23" s="1"/>
  <c r="H607" i="23" s="1"/>
  <c r="G609" i="23"/>
  <c r="G608" i="23" s="1"/>
  <c r="G607" i="23" s="1"/>
  <c r="G598" i="23"/>
  <c r="G586" i="23"/>
  <c r="G584" i="23"/>
  <c r="G582" i="23"/>
  <c r="I575" i="23"/>
  <c r="H575" i="23"/>
  <c r="G575" i="23"/>
  <c r="I573" i="23"/>
  <c r="H573" i="23"/>
  <c r="G573" i="23"/>
  <c r="I570" i="23"/>
  <c r="H570" i="23"/>
  <c r="G570" i="23"/>
  <c r="I568" i="23"/>
  <c r="H568" i="23"/>
  <c r="G568" i="23"/>
  <c r="I566" i="23"/>
  <c r="H566" i="23"/>
  <c r="I563" i="23"/>
  <c r="H563" i="23"/>
  <c r="G563" i="23"/>
  <c r="I558" i="23"/>
  <c r="H558" i="23"/>
  <c r="G558" i="23"/>
  <c r="I552" i="23"/>
  <c r="H552" i="23"/>
  <c r="G552" i="23"/>
  <c r="I549" i="23"/>
  <c r="H549" i="23"/>
  <c r="G549" i="23"/>
  <c r="I546" i="23"/>
  <c r="H546" i="23"/>
  <c r="G546" i="23"/>
  <c r="I541" i="23"/>
  <c r="H541" i="23"/>
  <c r="G541" i="23"/>
  <c r="I532" i="23"/>
  <c r="H532" i="23"/>
  <c r="G532" i="23"/>
  <c r="G502" i="23"/>
  <c r="I517" i="23"/>
  <c r="H517" i="23"/>
  <c r="G517" i="23"/>
  <c r="I511" i="23"/>
  <c r="H511" i="23"/>
  <c r="I508" i="23"/>
  <c r="H508" i="23"/>
  <c r="G508" i="23"/>
  <c r="I499" i="23"/>
  <c r="H499" i="23"/>
  <c r="G499" i="23"/>
  <c r="Q492" i="23"/>
  <c r="P492" i="23"/>
  <c r="O492" i="23"/>
  <c r="N492" i="23"/>
  <c r="M492" i="23"/>
  <c r="L492" i="23"/>
  <c r="K492" i="23"/>
  <c r="J492" i="23"/>
  <c r="I486" i="23"/>
  <c r="I485" i="23" s="1"/>
  <c r="H486" i="23"/>
  <c r="H485" i="23" s="1"/>
  <c r="G486" i="23"/>
  <c r="G485" i="23" s="1"/>
  <c r="I482" i="23"/>
  <c r="H482" i="23"/>
  <c r="G482" i="23"/>
  <c r="I470" i="23"/>
  <c r="I469" i="23" s="1"/>
  <c r="I468" i="23" s="1"/>
  <c r="H470" i="23"/>
  <c r="H469" i="23" s="1"/>
  <c r="H468" i="23" s="1"/>
  <c r="G470" i="23"/>
  <c r="G469" i="23" s="1"/>
  <c r="G468" i="23" s="1"/>
  <c r="I464" i="23"/>
  <c r="H464" i="23"/>
  <c r="I460" i="23"/>
  <c r="H460" i="23"/>
  <c r="G460" i="23"/>
  <c r="G456" i="23"/>
  <c r="I454" i="23"/>
  <c r="H454" i="23"/>
  <c r="G454" i="23"/>
  <c r="I451" i="23"/>
  <c r="H451" i="23"/>
  <c r="G451" i="23"/>
  <c r="I447" i="23"/>
  <c r="H447" i="23"/>
  <c r="G447" i="23"/>
  <c r="G443" i="23"/>
  <c r="Q440" i="23"/>
  <c r="P440" i="23"/>
  <c r="O440" i="23"/>
  <c r="N440" i="23"/>
  <c r="M440" i="23"/>
  <c r="L440" i="23"/>
  <c r="K440" i="23"/>
  <c r="J440" i="23"/>
  <c r="I437" i="23"/>
  <c r="H437" i="23"/>
  <c r="G437" i="23"/>
  <c r="I435" i="23"/>
  <c r="H435" i="23"/>
  <c r="G435" i="23"/>
  <c r="G431" i="23"/>
  <c r="I429" i="23"/>
  <c r="H429" i="23"/>
  <c r="G429" i="23"/>
  <c r="I427" i="23"/>
  <c r="H427" i="23"/>
  <c r="G427" i="23"/>
  <c r="I400" i="23"/>
  <c r="H400" i="23"/>
  <c r="G400" i="23"/>
  <c r="H398" i="23"/>
  <c r="G398" i="23"/>
  <c r="I396" i="23"/>
  <c r="H396" i="23"/>
  <c r="G396" i="23"/>
  <c r="I392" i="23"/>
  <c r="H392" i="23"/>
  <c r="G392" i="23"/>
  <c r="I388" i="23"/>
  <c r="H388" i="23"/>
  <c r="G388" i="23"/>
  <c r="I386" i="23"/>
  <c r="H386" i="23"/>
  <c r="G386" i="23"/>
  <c r="I383" i="23"/>
  <c r="H383" i="23"/>
  <c r="G383" i="23"/>
  <c r="I381" i="23"/>
  <c r="H381" i="23"/>
  <c r="G381" i="23"/>
  <c r="I378" i="23"/>
  <c r="I376" i="23"/>
  <c r="H376" i="23"/>
  <c r="G376" i="23"/>
  <c r="I374" i="23"/>
  <c r="H374" i="23"/>
  <c r="G374" i="23"/>
  <c r="I364" i="23"/>
  <c r="G364" i="23"/>
  <c r="G362" i="23"/>
  <c r="I359" i="23"/>
  <c r="H359" i="23"/>
  <c r="G359" i="23"/>
  <c r="I352" i="23"/>
  <c r="H352" i="23"/>
  <c r="G352" i="23"/>
  <c r="I349" i="23"/>
  <c r="H349" i="23"/>
  <c r="G349" i="23"/>
  <c r="I332" i="23"/>
  <c r="H332" i="23"/>
  <c r="G332" i="23"/>
  <c r="I327" i="23"/>
  <c r="H327" i="23"/>
  <c r="G327" i="23"/>
  <c r="I325" i="23"/>
  <c r="H325" i="23"/>
  <c r="G325" i="23"/>
  <c r="I319" i="23"/>
  <c r="H319" i="23"/>
  <c r="G319" i="23"/>
  <c r="I316" i="23"/>
  <c r="H316" i="23"/>
  <c r="G316" i="23"/>
  <c r="I217" i="25"/>
  <c r="H217" i="25"/>
  <c r="G217" i="25"/>
  <c r="H308" i="23"/>
  <c r="G304" i="23"/>
  <c r="I302" i="23"/>
  <c r="G302" i="23"/>
  <c r="I296" i="23"/>
  <c r="H296" i="23"/>
  <c r="G296" i="23"/>
  <c r="H277" i="26"/>
  <c r="G277" i="26"/>
  <c r="F277" i="26"/>
  <c r="H276" i="26"/>
  <c r="G276" i="26"/>
  <c r="F276" i="26"/>
  <c r="G263" i="23"/>
  <c r="H260" i="26"/>
  <c r="G260" i="26"/>
  <c r="F260" i="26"/>
  <c r="I255" i="23"/>
  <c r="I254" i="23" s="1"/>
  <c r="H255" i="23"/>
  <c r="H254" i="23" s="1"/>
  <c r="G255" i="23"/>
  <c r="G254" i="23" s="1"/>
  <c r="I252" i="23"/>
  <c r="H252" i="23"/>
  <c r="G252" i="23"/>
  <c r="I245" i="23"/>
  <c r="H245" i="23"/>
  <c r="G245" i="23"/>
  <c r="G240" i="23"/>
  <c r="I231" i="23"/>
  <c r="H231" i="23"/>
  <c r="I229" i="23"/>
  <c r="H229" i="23"/>
  <c r="G229" i="23"/>
  <c r="G222" i="23"/>
  <c r="G221" i="23" s="1"/>
  <c r="G220" i="23" s="1"/>
  <c r="I218" i="23"/>
  <c r="H218" i="23"/>
  <c r="G218" i="23"/>
  <c r="I216" i="23"/>
  <c r="H216" i="23"/>
  <c r="G216" i="23"/>
  <c r="I205" i="23"/>
  <c r="H205" i="23"/>
  <c r="G205" i="23"/>
  <c r="I202" i="23"/>
  <c r="H202" i="23"/>
  <c r="G202" i="23"/>
  <c r="I200" i="23"/>
  <c r="H200" i="23"/>
  <c r="G200" i="23"/>
  <c r="I198" i="23"/>
  <c r="H198" i="23"/>
  <c r="G198" i="23"/>
  <c r="I196" i="23"/>
  <c r="H196" i="23"/>
  <c r="G196" i="23"/>
  <c r="I183" i="23"/>
  <c r="H183" i="23"/>
  <c r="G183" i="23"/>
  <c r="I175" i="23"/>
  <c r="H175" i="23"/>
  <c r="G175" i="23"/>
  <c r="G166" i="23"/>
  <c r="I161" i="23"/>
  <c r="I160" i="23" s="1"/>
  <c r="I159" i="23" s="1"/>
  <c r="I157" i="23"/>
  <c r="I156" i="23" s="1"/>
  <c r="I155" i="23" s="1"/>
  <c r="H157" i="23"/>
  <c r="H156" i="23" s="1"/>
  <c r="H155" i="23" s="1"/>
  <c r="G157" i="23"/>
  <c r="G156" i="23" s="1"/>
  <c r="G155" i="23" s="1"/>
  <c r="I145" i="23"/>
  <c r="I144" i="23" s="1"/>
  <c r="H145" i="23"/>
  <c r="H144" i="23" s="1"/>
  <c r="G145" i="23"/>
  <c r="G144" i="23" s="1"/>
  <c r="I142" i="23"/>
  <c r="H142" i="23"/>
  <c r="G142" i="23"/>
  <c r="G140" i="23"/>
  <c r="G138" i="23"/>
  <c r="I136" i="23"/>
  <c r="H136" i="23"/>
  <c r="I126" i="23"/>
  <c r="I125" i="23" s="1"/>
  <c r="I124" i="23" s="1"/>
  <c r="H126" i="23"/>
  <c r="H125" i="23" s="1"/>
  <c r="H124" i="23" s="1"/>
  <c r="G126" i="23"/>
  <c r="G125" i="23" s="1"/>
  <c r="G124" i="23" s="1"/>
  <c r="G121" i="23"/>
  <c r="G112" i="23"/>
  <c r="G100" i="23"/>
  <c r="Q67" i="23"/>
  <c r="Q41" i="23" s="1"/>
  <c r="P67" i="23"/>
  <c r="P41" i="23" s="1"/>
  <c r="O67" i="23"/>
  <c r="O41" i="23" s="1"/>
  <c r="N67" i="23"/>
  <c r="N41" i="23" s="1"/>
  <c r="M67" i="23"/>
  <c r="M41" i="23" s="1"/>
  <c r="L67" i="23"/>
  <c r="L41" i="23" s="1"/>
  <c r="K67" i="23"/>
  <c r="K41" i="23" s="1"/>
  <c r="J67" i="23"/>
  <c r="J41" i="23" s="1"/>
  <c r="I67" i="23"/>
  <c r="H67" i="23"/>
  <c r="G67" i="23"/>
  <c r="G65" i="23"/>
  <c r="I58" i="23"/>
  <c r="H58" i="23"/>
  <c r="G58" i="23"/>
  <c r="I56" i="23"/>
  <c r="H56" i="23"/>
  <c r="G56" i="23"/>
  <c r="I54" i="23"/>
  <c r="H54" i="23"/>
  <c r="G54" i="23"/>
  <c r="I50" i="23"/>
  <c r="H50" i="23"/>
  <c r="G50" i="23"/>
  <c r="G90" i="25"/>
  <c r="I44" i="23"/>
  <c r="H44" i="23"/>
  <c r="G44" i="23"/>
  <c r="I42" i="23"/>
  <c r="H42" i="23"/>
  <c r="G42" i="23"/>
  <c r="I39" i="23"/>
  <c r="I38" i="23" s="1"/>
  <c r="H39" i="23"/>
  <c r="H38" i="23" s="1"/>
  <c r="G39" i="23"/>
  <c r="G38" i="23" s="1"/>
  <c r="I36" i="23"/>
  <c r="I35" i="23" s="1"/>
  <c r="H36" i="23"/>
  <c r="H35" i="23" s="1"/>
  <c r="G36" i="23"/>
  <c r="G35" i="23" s="1"/>
  <c r="I30" i="23"/>
  <c r="H30" i="23"/>
  <c r="G30" i="23"/>
  <c r="G105" i="23" l="1"/>
  <c r="I559" i="25"/>
  <c r="I556" i="25" s="1"/>
  <c r="I555" i="25" s="1"/>
  <c r="I659" i="23"/>
  <c r="G629" i="23"/>
  <c r="G93" i="23"/>
  <c r="G89" i="23" s="1"/>
  <c r="G275" i="26"/>
  <c r="H275" i="26"/>
  <c r="G690" i="23"/>
  <c r="I270" i="25"/>
  <c r="I269" i="25" s="1"/>
  <c r="H338" i="26"/>
  <c r="H337" i="26" s="1"/>
  <c r="H332" i="26" s="1"/>
  <c r="G338" i="26"/>
  <c r="G337" i="26" s="1"/>
  <c r="G332" i="26" s="1"/>
  <c r="H270" i="25"/>
  <c r="H269" i="25" s="1"/>
  <c r="I90" i="25"/>
  <c r="G104" i="23"/>
  <c r="H90" i="25"/>
  <c r="H104" i="23"/>
  <c r="I104" i="23"/>
  <c r="I562" i="23"/>
  <c r="H562" i="23"/>
  <c r="F275" i="26"/>
  <c r="G20" i="23"/>
  <c r="F30" i="26"/>
  <c r="F29" i="26" s="1"/>
  <c r="G44" i="25"/>
  <c r="G43" i="25" s="1"/>
  <c r="H36" i="26"/>
  <c r="I18" i="25"/>
  <c r="I48" i="23"/>
  <c r="H61" i="26"/>
  <c r="H60" i="26" s="1"/>
  <c r="G103" i="26"/>
  <c r="H99" i="25"/>
  <c r="H134" i="23"/>
  <c r="G437" i="26"/>
  <c r="G436" i="26" s="1"/>
  <c r="H113" i="25"/>
  <c r="H112" i="25" s="1"/>
  <c r="H168" i="23"/>
  <c r="G586" i="26"/>
  <c r="G585" i="26" s="1"/>
  <c r="H609" i="26"/>
  <c r="I450" i="25"/>
  <c r="F264" i="26"/>
  <c r="G202" i="25"/>
  <c r="H270" i="26"/>
  <c r="I161" i="25"/>
  <c r="H288" i="26"/>
  <c r="I207" i="25"/>
  <c r="G293" i="26"/>
  <c r="H212" i="25"/>
  <c r="G303" i="26"/>
  <c r="G302" i="26" s="1"/>
  <c r="H173" i="25"/>
  <c r="H172" i="25" s="1"/>
  <c r="F447" i="26"/>
  <c r="I441" i="23"/>
  <c r="H381" i="26"/>
  <c r="H380" i="26" s="1"/>
  <c r="H456" i="23"/>
  <c r="G397" i="26"/>
  <c r="G395" i="26" s="1"/>
  <c r="H301" i="25"/>
  <c r="H299" i="25" s="1"/>
  <c r="H286" i="25" s="1"/>
  <c r="G416" i="26"/>
  <c r="H349" i="25"/>
  <c r="H417" i="26"/>
  <c r="I350" i="25"/>
  <c r="H514" i="23"/>
  <c r="G465" i="26"/>
  <c r="G464" i="26" s="1"/>
  <c r="H376" i="25"/>
  <c r="H375" i="25" s="1"/>
  <c r="F472" i="26"/>
  <c r="G474" i="26"/>
  <c r="H390" i="25"/>
  <c r="H475" i="26"/>
  <c r="I391" i="25"/>
  <c r="F478" i="26"/>
  <c r="G426" i="26"/>
  <c r="H363" i="25"/>
  <c r="H427" i="26"/>
  <c r="I364" i="25"/>
  <c r="F481" i="26"/>
  <c r="H486" i="26"/>
  <c r="I402" i="25"/>
  <c r="G538" i="23"/>
  <c r="F489" i="26"/>
  <c r="F488" i="26" s="1"/>
  <c r="I505" i="23"/>
  <c r="H431" i="26"/>
  <c r="H429" i="26" s="1"/>
  <c r="I368" i="25"/>
  <c r="I366" i="25" s="1"/>
  <c r="F507" i="26"/>
  <c r="F576" i="26"/>
  <c r="F575" i="26" s="1"/>
  <c r="H666" i="23"/>
  <c r="G234" i="26"/>
  <c r="G233" i="26" s="1"/>
  <c r="G226" i="26" s="1"/>
  <c r="H561" i="25"/>
  <c r="F243" i="26"/>
  <c r="F241" i="26" s="1"/>
  <c r="F17" i="26"/>
  <c r="F16" i="26" s="1"/>
  <c r="F15" i="26" s="1"/>
  <c r="G16" i="25"/>
  <c r="G15" i="25" s="1"/>
  <c r="G17" i="23"/>
  <c r="G16" i="23" s="1"/>
  <c r="H20" i="23"/>
  <c r="G30" i="26"/>
  <c r="G29" i="26" s="1"/>
  <c r="H44" i="25"/>
  <c r="H43" i="25" s="1"/>
  <c r="I23" i="23"/>
  <c r="H33" i="26"/>
  <c r="H32" i="26" s="1"/>
  <c r="I47" i="25"/>
  <c r="I46" i="25" s="1"/>
  <c r="F37" i="26"/>
  <c r="G19" i="25"/>
  <c r="G38" i="26"/>
  <c r="H20" i="25"/>
  <c r="G43" i="26"/>
  <c r="H23" i="25"/>
  <c r="I46" i="23"/>
  <c r="H59" i="26"/>
  <c r="H58" i="26" s="1"/>
  <c r="I542" i="25"/>
  <c r="I541" i="25" s="1"/>
  <c r="I540" i="25" s="1"/>
  <c r="G102" i="26"/>
  <c r="H98" i="25"/>
  <c r="H103" i="26"/>
  <c r="I99" i="25"/>
  <c r="I130" i="23"/>
  <c r="H433" i="26"/>
  <c r="H432" i="26" s="1"/>
  <c r="I109" i="25"/>
  <c r="I108" i="25" s="1"/>
  <c r="I134" i="23"/>
  <c r="H437" i="26"/>
  <c r="H436" i="26" s="1"/>
  <c r="I113" i="25"/>
  <c r="I112" i="25" s="1"/>
  <c r="I168" i="23"/>
  <c r="H586" i="26"/>
  <c r="H585" i="26" s="1"/>
  <c r="I173" i="23"/>
  <c r="H591" i="26"/>
  <c r="H590" i="26" s="1"/>
  <c r="I447" i="25"/>
  <c r="I446" i="25" s="1"/>
  <c r="G177" i="23"/>
  <c r="F595" i="26"/>
  <c r="F594" i="26" s="1"/>
  <c r="H608" i="26"/>
  <c r="I449" i="25"/>
  <c r="G191" i="23"/>
  <c r="F611" i="26"/>
  <c r="F610" i="26" s="1"/>
  <c r="F99" i="26"/>
  <c r="G75" i="25"/>
  <c r="G49" i="26"/>
  <c r="H50" i="26"/>
  <c r="F259" i="26"/>
  <c r="F258" i="26" s="1"/>
  <c r="G89" i="25"/>
  <c r="G88" i="25" s="1"/>
  <c r="G87" i="25" s="1"/>
  <c r="G264" i="26"/>
  <c r="H202" i="25"/>
  <c r="H265" i="26"/>
  <c r="I203" i="25"/>
  <c r="G269" i="26"/>
  <c r="H160" i="25"/>
  <c r="H287" i="26"/>
  <c r="I206" i="25"/>
  <c r="F291" i="26"/>
  <c r="G210" i="25"/>
  <c r="G292" i="26"/>
  <c r="H211" i="25"/>
  <c r="H293" i="26"/>
  <c r="I212" i="25"/>
  <c r="H304" i="23"/>
  <c r="G300" i="26"/>
  <c r="G298" i="26" s="1"/>
  <c r="H177" i="25"/>
  <c r="H175" i="25" s="1"/>
  <c r="G313" i="23"/>
  <c r="F309" i="26"/>
  <c r="F307" i="26" s="1"/>
  <c r="G215" i="25"/>
  <c r="H356" i="23"/>
  <c r="G350" i="26"/>
  <c r="G349" i="26" s="1"/>
  <c r="H284" i="25"/>
  <c r="H283" i="25" s="1"/>
  <c r="G447" i="26"/>
  <c r="H247" i="25"/>
  <c r="H448" i="26"/>
  <c r="I248" i="25"/>
  <c r="G378" i="23"/>
  <c r="F455" i="26"/>
  <c r="F453" i="26" s="1"/>
  <c r="I394" i="23"/>
  <c r="H531" i="26"/>
  <c r="H530" i="26" s="1"/>
  <c r="I261" i="25"/>
  <c r="I260" i="25" s="1"/>
  <c r="I456" i="23"/>
  <c r="H397" i="26"/>
  <c r="H395" i="26" s="1"/>
  <c r="I301" i="25"/>
  <c r="I299" i="25" s="1"/>
  <c r="I286" i="25" s="1"/>
  <c r="I479" i="23"/>
  <c r="I478" i="23" s="1"/>
  <c r="I477" i="23" s="1"/>
  <c r="I473" i="23" s="1"/>
  <c r="H490" i="23"/>
  <c r="G414" i="26"/>
  <c r="G413" i="26" s="1"/>
  <c r="H347" i="25"/>
  <c r="H346" i="25" s="1"/>
  <c r="H416" i="26"/>
  <c r="I349" i="25"/>
  <c r="F462" i="26"/>
  <c r="I514" i="23"/>
  <c r="H465" i="26"/>
  <c r="H464" i="26" s="1"/>
  <c r="I376" i="25"/>
  <c r="I375" i="25" s="1"/>
  <c r="F471" i="26"/>
  <c r="G472" i="26"/>
  <c r="H388" i="25"/>
  <c r="H474" i="26"/>
  <c r="I390" i="25"/>
  <c r="F477" i="26"/>
  <c r="G478" i="26"/>
  <c r="H394" i="25"/>
  <c r="H426" i="26"/>
  <c r="I363" i="25"/>
  <c r="F480" i="26"/>
  <c r="G481" i="26"/>
  <c r="H397" i="25"/>
  <c r="F487" i="26"/>
  <c r="H538" i="23"/>
  <c r="G489" i="26"/>
  <c r="G488" i="26" s="1"/>
  <c r="H405" i="25"/>
  <c r="H404" i="25" s="1"/>
  <c r="G543" i="23"/>
  <c r="F494" i="26"/>
  <c r="F493" i="26" s="1"/>
  <c r="F506" i="26"/>
  <c r="G507" i="26"/>
  <c r="H428" i="25"/>
  <c r="F555" i="26"/>
  <c r="G588" i="23"/>
  <c r="F570" i="26"/>
  <c r="F569" i="26" s="1"/>
  <c r="G649" i="23"/>
  <c r="F217" i="26"/>
  <c r="F216" i="26" s="1"/>
  <c r="G682" i="23"/>
  <c r="G681" i="23" s="1"/>
  <c r="F250" i="26"/>
  <c r="F249" i="26" s="1"/>
  <c r="F248" i="26" s="1"/>
  <c r="F43" i="26"/>
  <c r="F41" i="26" s="1"/>
  <c r="G23" i="25"/>
  <c r="G21" i="25" s="1"/>
  <c r="G50" i="26"/>
  <c r="I323" i="23"/>
  <c r="I322" i="23" s="1"/>
  <c r="H322" i="26"/>
  <c r="H321" i="26" s="1"/>
  <c r="G356" i="23"/>
  <c r="F350" i="26"/>
  <c r="F349" i="26" s="1"/>
  <c r="H479" i="23"/>
  <c r="H478" i="23" s="1"/>
  <c r="H477" i="23" s="1"/>
  <c r="H473" i="23" s="1"/>
  <c r="G17" i="26"/>
  <c r="G16" i="26" s="1"/>
  <c r="G15" i="26" s="1"/>
  <c r="H16" i="25"/>
  <c r="H15" i="25" s="1"/>
  <c r="H17" i="23"/>
  <c r="H16" i="23" s="1"/>
  <c r="F36" i="26"/>
  <c r="G18" i="25"/>
  <c r="G42" i="26"/>
  <c r="H22" i="25"/>
  <c r="H49" i="26"/>
  <c r="G259" i="26"/>
  <c r="G258" i="26" s="1"/>
  <c r="H89" i="25"/>
  <c r="F266" i="26"/>
  <c r="G204" i="25"/>
  <c r="H269" i="26"/>
  <c r="I160" i="25"/>
  <c r="F288" i="26"/>
  <c r="G207" i="25"/>
  <c r="G291" i="26"/>
  <c r="H210" i="25"/>
  <c r="H292" i="26"/>
  <c r="I211" i="25"/>
  <c r="H302" i="23"/>
  <c r="G297" i="26"/>
  <c r="G296" i="26" s="1"/>
  <c r="H164" i="25"/>
  <c r="H163" i="25" s="1"/>
  <c r="I304" i="23"/>
  <c r="H300" i="26"/>
  <c r="H298" i="26" s="1"/>
  <c r="I177" i="25"/>
  <c r="I175" i="25" s="1"/>
  <c r="H313" i="23"/>
  <c r="G309" i="26"/>
  <c r="G307" i="26" s="1"/>
  <c r="H215" i="25"/>
  <c r="G323" i="23"/>
  <c r="G322" i="23" s="1"/>
  <c r="F322" i="26"/>
  <c r="F321" i="26" s="1"/>
  <c r="F320" i="26" s="1"/>
  <c r="G339" i="23"/>
  <c r="F348" i="26"/>
  <c r="F346" i="26" s="1"/>
  <c r="G220" i="25"/>
  <c r="G218" i="25" s="1"/>
  <c r="H350" i="26"/>
  <c r="H349" i="26" s="1"/>
  <c r="I284" i="25"/>
  <c r="I283" i="25" s="1"/>
  <c r="H447" i="26"/>
  <c r="I247" i="25"/>
  <c r="H378" i="23"/>
  <c r="G455" i="26"/>
  <c r="G453" i="26" s="1"/>
  <c r="H257" i="25"/>
  <c r="H255" i="25" s="1"/>
  <c r="H431" i="23"/>
  <c r="H426" i="23" s="1"/>
  <c r="G329" i="26"/>
  <c r="G327" i="26" s="1"/>
  <c r="H169" i="25"/>
  <c r="H167" i="25" s="1"/>
  <c r="G441" i="23"/>
  <c r="G440" i="23" s="1"/>
  <c r="F381" i="26"/>
  <c r="F380" i="26" s="1"/>
  <c r="F379" i="26" s="1"/>
  <c r="I490" i="23"/>
  <c r="H414" i="26"/>
  <c r="H413" i="26" s="1"/>
  <c r="I347" i="25"/>
  <c r="I346" i="25" s="1"/>
  <c r="F417" i="26"/>
  <c r="F463" i="26"/>
  <c r="G471" i="26"/>
  <c r="H387" i="25"/>
  <c r="H472" i="26"/>
  <c r="I388" i="25"/>
  <c r="F475" i="26"/>
  <c r="G477" i="26"/>
  <c r="H393" i="25"/>
  <c r="H478" i="26"/>
  <c r="I394" i="25"/>
  <c r="G480" i="26"/>
  <c r="H396" i="25"/>
  <c r="H481" i="26"/>
  <c r="I397" i="25"/>
  <c r="F486" i="26"/>
  <c r="G487" i="26"/>
  <c r="H403" i="25"/>
  <c r="I538" i="23"/>
  <c r="H489" i="26"/>
  <c r="H488" i="26" s="1"/>
  <c r="I405" i="25"/>
  <c r="I404" i="25" s="1"/>
  <c r="G505" i="23"/>
  <c r="F431" i="26"/>
  <c r="F429" i="26" s="1"/>
  <c r="H543" i="23"/>
  <c r="G494" i="26"/>
  <c r="G493" i="26" s="1"/>
  <c r="H412" i="25"/>
  <c r="H411" i="25" s="1"/>
  <c r="G506" i="26"/>
  <c r="H427" i="25"/>
  <c r="H507" i="26"/>
  <c r="I428" i="25"/>
  <c r="H588" i="23"/>
  <c r="H578" i="23" s="1"/>
  <c r="G570" i="26"/>
  <c r="G569" i="26" s="1"/>
  <c r="G549" i="26" s="1"/>
  <c r="H339" i="25"/>
  <c r="H338" i="25" s="1"/>
  <c r="H337" i="25" s="1"/>
  <c r="G620" i="23"/>
  <c r="G615" i="23" s="1"/>
  <c r="F141" i="26"/>
  <c r="F140" i="26" s="1"/>
  <c r="F135" i="26" s="1"/>
  <c r="F126" i="26" s="1"/>
  <c r="H23" i="23"/>
  <c r="G33" i="26"/>
  <c r="G32" i="26" s="1"/>
  <c r="H47" i="25"/>
  <c r="H46" i="25" s="1"/>
  <c r="F38" i="26"/>
  <c r="G20" i="25"/>
  <c r="H46" i="23"/>
  <c r="H542" i="25"/>
  <c r="H541" i="25" s="1"/>
  <c r="H540" i="25" s="1"/>
  <c r="G59" i="26"/>
  <c r="G58" i="26" s="1"/>
  <c r="I75" i="23"/>
  <c r="H112" i="26"/>
  <c r="H110" i="26" s="1"/>
  <c r="I81" i="25"/>
  <c r="I79" i="25" s="1"/>
  <c r="I78" i="25" s="1"/>
  <c r="H130" i="23"/>
  <c r="G433" i="26"/>
  <c r="G432" i="26" s="1"/>
  <c r="H109" i="25"/>
  <c r="H108" i="25" s="1"/>
  <c r="G136" i="23"/>
  <c r="F439" i="26"/>
  <c r="F438" i="26" s="1"/>
  <c r="G115" i="25"/>
  <c r="G114" i="25" s="1"/>
  <c r="H161" i="23"/>
  <c r="H160" i="23" s="1"/>
  <c r="H159" i="23" s="1"/>
  <c r="G623" i="26"/>
  <c r="G622" i="26" s="1"/>
  <c r="G621" i="26" s="1"/>
  <c r="G620" i="26" s="1"/>
  <c r="H593" i="25"/>
  <c r="H592" i="25" s="1"/>
  <c r="H591" i="25" s="1"/>
  <c r="H590" i="25" s="1"/>
  <c r="H576" i="25" s="1"/>
  <c r="H173" i="23"/>
  <c r="G591" i="26"/>
  <c r="G590" i="26" s="1"/>
  <c r="H447" i="25"/>
  <c r="H446" i="25" s="1"/>
  <c r="G608" i="26"/>
  <c r="H449" i="25"/>
  <c r="H98" i="26"/>
  <c r="I74" i="25"/>
  <c r="G231" i="23"/>
  <c r="G228" i="23" s="1"/>
  <c r="G224" i="23" s="1"/>
  <c r="F521" i="26"/>
  <c r="F520" i="26" s="1"/>
  <c r="G119" i="25"/>
  <c r="G118" i="25" s="1"/>
  <c r="H53" i="26"/>
  <c r="H52" i="26" s="1"/>
  <c r="G265" i="26"/>
  <c r="H203" i="25"/>
  <c r="H266" i="26"/>
  <c r="I204" i="25"/>
  <c r="G287" i="26"/>
  <c r="H206" i="25"/>
  <c r="F292" i="26"/>
  <c r="G211" i="25"/>
  <c r="I339" i="23"/>
  <c r="H348" i="26"/>
  <c r="H346" i="26" s="1"/>
  <c r="I220" i="25"/>
  <c r="I218" i="25" s="1"/>
  <c r="I362" i="23"/>
  <c r="H372" i="26"/>
  <c r="H371" i="26" s="1"/>
  <c r="I277" i="25"/>
  <c r="I276" i="25" s="1"/>
  <c r="G448" i="26"/>
  <c r="H248" i="25"/>
  <c r="H394" i="23"/>
  <c r="H385" i="23" s="1"/>
  <c r="G531" i="26"/>
  <c r="G530" i="26" s="1"/>
  <c r="G512" i="26" s="1"/>
  <c r="H261" i="25"/>
  <c r="H260" i="25" s="1"/>
  <c r="G490" i="23"/>
  <c r="F414" i="26"/>
  <c r="F413" i="26" s="1"/>
  <c r="I20" i="23"/>
  <c r="H30" i="26"/>
  <c r="H29" i="26" s="1"/>
  <c r="I44" i="25"/>
  <c r="I43" i="25" s="1"/>
  <c r="I29" i="25" s="1"/>
  <c r="G37" i="26"/>
  <c r="H19" i="25"/>
  <c r="H38" i="26"/>
  <c r="I20" i="25"/>
  <c r="H43" i="26"/>
  <c r="I23" i="25"/>
  <c r="G48" i="23"/>
  <c r="F61" i="26"/>
  <c r="F60" i="26" s="1"/>
  <c r="H102" i="26"/>
  <c r="I98" i="25"/>
  <c r="G75" i="23"/>
  <c r="F112" i="26"/>
  <c r="F110" i="26" s="1"/>
  <c r="G81" i="25"/>
  <c r="G79" i="25" s="1"/>
  <c r="G78" i="25" s="1"/>
  <c r="G132" i="23"/>
  <c r="F435" i="26"/>
  <c r="F434" i="26" s="1"/>
  <c r="G111" i="25"/>
  <c r="G110" i="25" s="1"/>
  <c r="H177" i="23"/>
  <c r="G595" i="26"/>
  <c r="G594" i="26" s="1"/>
  <c r="H459" i="25"/>
  <c r="H458" i="25" s="1"/>
  <c r="F609" i="26"/>
  <c r="H191" i="23"/>
  <c r="G611" i="26"/>
  <c r="G610" i="26" s="1"/>
  <c r="H452" i="25"/>
  <c r="H451" i="25" s="1"/>
  <c r="F98" i="26"/>
  <c r="G74" i="25"/>
  <c r="G99" i="26"/>
  <c r="H75" i="25"/>
  <c r="H264" i="26"/>
  <c r="I202" i="25"/>
  <c r="H17" i="26"/>
  <c r="H16" i="26" s="1"/>
  <c r="H15" i="26" s="1"/>
  <c r="I16" i="25"/>
  <c r="I15" i="25" s="1"/>
  <c r="I17" i="23"/>
  <c r="I16" i="23" s="1"/>
  <c r="G23" i="23"/>
  <c r="F33" i="26"/>
  <c r="F32" i="26" s="1"/>
  <c r="G47" i="25"/>
  <c r="G46" i="25" s="1"/>
  <c r="G36" i="26"/>
  <c r="H18" i="25"/>
  <c r="H37" i="26"/>
  <c r="I19" i="25"/>
  <c r="H42" i="26"/>
  <c r="I22" i="25"/>
  <c r="G46" i="23"/>
  <c r="F59" i="26"/>
  <c r="F58" i="26" s="1"/>
  <c r="H48" i="23"/>
  <c r="G61" i="26"/>
  <c r="G60" i="26" s="1"/>
  <c r="F103" i="26"/>
  <c r="F101" i="26" s="1"/>
  <c r="G99" i="25"/>
  <c r="G97" i="25" s="1"/>
  <c r="G96" i="25" s="1"/>
  <c r="H75" i="23"/>
  <c r="G112" i="26"/>
  <c r="G110" i="26" s="1"/>
  <c r="H81" i="25"/>
  <c r="H79" i="25" s="1"/>
  <c r="H78" i="25" s="1"/>
  <c r="G130" i="23"/>
  <c r="F433" i="26"/>
  <c r="F432" i="26" s="1"/>
  <c r="G109" i="25"/>
  <c r="G108" i="25" s="1"/>
  <c r="G134" i="23"/>
  <c r="F437" i="26"/>
  <c r="F436" i="26" s="1"/>
  <c r="G113" i="25"/>
  <c r="G112" i="25" s="1"/>
  <c r="G168" i="23"/>
  <c r="F586" i="26"/>
  <c r="F585" i="26" s="1"/>
  <c r="G173" i="23"/>
  <c r="F591" i="26"/>
  <c r="F590" i="26" s="1"/>
  <c r="I177" i="23"/>
  <c r="H595" i="26"/>
  <c r="H594" i="26" s="1"/>
  <c r="I459" i="25"/>
  <c r="I458" i="25" s="1"/>
  <c r="F608" i="26"/>
  <c r="G609" i="26"/>
  <c r="H450" i="25"/>
  <c r="I191" i="23"/>
  <c r="H611" i="26"/>
  <c r="H610" i="26" s="1"/>
  <c r="I452" i="25"/>
  <c r="I451" i="25" s="1"/>
  <c r="G98" i="26"/>
  <c r="H74" i="25"/>
  <c r="H99" i="26"/>
  <c r="I75" i="25"/>
  <c r="F50" i="26"/>
  <c r="F48" i="26" s="1"/>
  <c r="F47" i="26" s="1"/>
  <c r="G53" i="26"/>
  <c r="G52" i="26" s="1"/>
  <c r="H259" i="26"/>
  <c r="H258" i="26" s="1"/>
  <c r="I89" i="25"/>
  <c r="F265" i="26"/>
  <c r="G203" i="25"/>
  <c r="G266" i="26"/>
  <c r="H204" i="25"/>
  <c r="G270" i="26"/>
  <c r="H161" i="25"/>
  <c r="F287" i="26"/>
  <c r="G206" i="25"/>
  <c r="G288" i="26"/>
  <c r="H207" i="25"/>
  <c r="H291" i="26"/>
  <c r="I210" i="25"/>
  <c r="F293" i="26"/>
  <c r="G212" i="25"/>
  <c r="F303" i="26"/>
  <c r="F302" i="26" s="1"/>
  <c r="G173" i="25"/>
  <c r="G172" i="25" s="1"/>
  <c r="I313" i="23"/>
  <c r="H309" i="26"/>
  <c r="H307" i="26" s="1"/>
  <c r="I215" i="25"/>
  <c r="H323" i="23"/>
  <c r="H322" i="23" s="1"/>
  <c r="G322" i="26"/>
  <c r="G321" i="26" s="1"/>
  <c r="H339" i="23"/>
  <c r="G348" i="26"/>
  <c r="G346" i="26" s="1"/>
  <c r="H220" i="25"/>
  <c r="H218" i="25" s="1"/>
  <c r="I356" i="23"/>
  <c r="H362" i="23"/>
  <c r="G372" i="26"/>
  <c r="G371" i="26" s="1"/>
  <c r="H277" i="25"/>
  <c r="H276" i="25" s="1"/>
  <c r="H364" i="23"/>
  <c r="G376" i="26"/>
  <c r="G373" i="26" s="1"/>
  <c r="H281" i="25"/>
  <c r="H278" i="25" s="1"/>
  <c r="F448" i="26"/>
  <c r="H455" i="26"/>
  <c r="H453" i="26" s="1"/>
  <c r="I257" i="25"/>
  <c r="I255" i="25" s="1"/>
  <c r="G394" i="23"/>
  <c r="G385" i="23" s="1"/>
  <c r="F531" i="26"/>
  <c r="F530" i="26" s="1"/>
  <c r="I398" i="23"/>
  <c r="H535" i="26"/>
  <c r="H534" i="26" s="1"/>
  <c r="I265" i="25"/>
  <c r="I264" i="25" s="1"/>
  <c r="I431" i="23"/>
  <c r="I426" i="23" s="1"/>
  <c r="H329" i="26"/>
  <c r="H327" i="26" s="1"/>
  <c r="I169" i="25"/>
  <c r="I167" i="25" s="1"/>
  <c r="H441" i="23"/>
  <c r="G381" i="26"/>
  <c r="G380" i="26" s="1"/>
  <c r="G479" i="23"/>
  <c r="G478" i="23" s="1"/>
  <c r="G477" i="23" s="1"/>
  <c r="G473" i="23" s="1"/>
  <c r="F416" i="26"/>
  <c r="G417" i="26"/>
  <c r="H350" i="25"/>
  <c r="G514" i="23"/>
  <c r="F465" i="26"/>
  <c r="F464" i="26" s="1"/>
  <c r="H471" i="26"/>
  <c r="I387" i="25"/>
  <c r="F474" i="26"/>
  <c r="G475" i="26"/>
  <c r="H391" i="25"/>
  <c r="H477" i="26"/>
  <c r="I393" i="25"/>
  <c r="F426" i="26"/>
  <c r="F425" i="26" s="1"/>
  <c r="G427" i="26"/>
  <c r="H364" i="25"/>
  <c r="H480" i="26"/>
  <c r="I396" i="25"/>
  <c r="G486" i="26"/>
  <c r="H402" i="25"/>
  <c r="H487" i="26"/>
  <c r="I403" i="25"/>
  <c r="H505" i="23"/>
  <c r="G431" i="26"/>
  <c r="G429" i="26" s="1"/>
  <c r="H368" i="25"/>
  <c r="H366" i="25" s="1"/>
  <c r="I543" i="23"/>
  <c r="H494" i="26"/>
  <c r="H493" i="26" s="1"/>
  <c r="I412" i="25"/>
  <c r="I411" i="25" s="1"/>
  <c r="H506" i="26"/>
  <c r="I427" i="25"/>
  <c r="G566" i="23"/>
  <c r="G562" i="23" s="1"/>
  <c r="F514" i="26"/>
  <c r="F513" i="26" s="1"/>
  <c r="I588" i="23"/>
  <c r="I578" i="23" s="1"/>
  <c r="H570" i="26"/>
  <c r="H569" i="26" s="1"/>
  <c r="H549" i="26" s="1"/>
  <c r="I339" i="25"/>
  <c r="I338" i="25" s="1"/>
  <c r="I337" i="25" s="1"/>
  <c r="G641" i="23"/>
  <c r="F209" i="26"/>
  <c r="F208" i="26" s="1"/>
  <c r="G666" i="23"/>
  <c r="G659" i="23" s="1"/>
  <c r="F234" i="26"/>
  <c r="F233" i="26" s="1"/>
  <c r="G492" i="23"/>
  <c r="I502" i="23"/>
  <c r="H681" i="23"/>
  <c r="H459" i="23"/>
  <c r="I236" i="23"/>
  <c r="I26" i="23"/>
  <c r="I260" i="23"/>
  <c r="G265" i="23"/>
  <c r="I265" i="23"/>
  <c r="I281" i="23"/>
  <c r="H292" i="23"/>
  <c r="H371" i="23"/>
  <c r="H529" i="23"/>
  <c r="H210" i="23"/>
  <c r="H195" i="23" s="1"/>
  <c r="H194" i="23" s="1"/>
  <c r="G236" i="23"/>
  <c r="G235" i="23" s="1"/>
  <c r="G234" i="23" s="1"/>
  <c r="G233" i="23" s="1"/>
  <c r="H502" i="23"/>
  <c r="H535" i="23"/>
  <c r="I555" i="23"/>
  <c r="H32" i="23"/>
  <c r="G62" i="23"/>
  <c r="H215" i="23"/>
  <c r="H214" i="23" s="1"/>
  <c r="I288" i="23"/>
  <c r="I371" i="23"/>
  <c r="I370" i="23" s="1"/>
  <c r="I434" i="23"/>
  <c r="H492" i="23"/>
  <c r="I492" i="23"/>
  <c r="G511" i="23"/>
  <c r="G520" i="23"/>
  <c r="G529" i="23"/>
  <c r="G188" i="23"/>
  <c r="I210" i="23"/>
  <c r="I195" i="23" s="1"/>
  <c r="I194" i="23" s="1"/>
  <c r="G215" i="23"/>
  <c r="G214" i="23" s="1"/>
  <c r="H288" i="23"/>
  <c r="I292" i="23"/>
  <c r="I459" i="23"/>
  <c r="G523" i="23"/>
  <c r="I526" i="23"/>
  <c r="G535" i="23"/>
  <c r="H555" i="23"/>
  <c r="H520" i="23"/>
  <c r="H526" i="23"/>
  <c r="H62" i="23"/>
  <c r="G32" i="23"/>
  <c r="I188" i="23"/>
  <c r="I215" i="23"/>
  <c r="I214" i="23" s="1"/>
  <c r="H228" i="23"/>
  <c r="H224" i="23" s="1"/>
  <c r="I529" i="23"/>
  <c r="G579" i="23"/>
  <c r="I681" i="23"/>
  <c r="G689" i="23"/>
  <c r="I244" i="23"/>
  <c r="I243" i="23" s="1"/>
  <c r="I242" i="23" s="1"/>
  <c r="I269" i="23"/>
  <c r="G426" i="23"/>
  <c r="G210" i="23"/>
  <c r="G195" i="23" s="1"/>
  <c r="G194" i="23" s="1"/>
  <c r="G371" i="23"/>
  <c r="I523" i="23"/>
  <c r="G526" i="23"/>
  <c r="I62" i="23"/>
  <c r="H236" i="23"/>
  <c r="G269" i="23"/>
  <c r="G281" i="23"/>
  <c r="G434" i="23"/>
  <c r="H434" i="23"/>
  <c r="G555" i="23"/>
  <c r="G26" i="23"/>
  <c r="H26" i="23"/>
  <c r="G260" i="23"/>
  <c r="H269" i="23"/>
  <c r="H281" i="23"/>
  <c r="G459" i="23"/>
  <c r="I520" i="23"/>
  <c r="I32" i="23"/>
  <c r="H244" i="23"/>
  <c r="H243" i="23" s="1"/>
  <c r="H242" i="23" s="1"/>
  <c r="H260" i="23"/>
  <c r="G292" i="23"/>
  <c r="H523" i="23"/>
  <c r="I535" i="23"/>
  <c r="H188" i="23"/>
  <c r="G244" i="23"/>
  <c r="G243" i="23" s="1"/>
  <c r="G242" i="23" s="1"/>
  <c r="H265" i="23"/>
  <c r="I228" i="23"/>
  <c r="I224" i="23" s="1"/>
  <c r="G288" i="23"/>
  <c r="G41" i="23" l="1"/>
  <c r="H29" i="25"/>
  <c r="H41" i="23"/>
  <c r="I41" i="23"/>
  <c r="G29" i="25"/>
  <c r="H559" i="25"/>
  <c r="H659" i="23"/>
  <c r="H628" i="23" s="1"/>
  <c r="F226" i="26"/>
  <c r="G634" i="23"/>
  <c r="G559" i="25"/>
  <c r="G556" i="25" s="1"/>
  <c r="G555" i="25" s="1"/>
  <c r="I385" i="23"/>
  <c r="I369" i="23" s="1"/>
  <c r="H158" i="25"/>
  <c r="I276" i="23"/>
  <c r="H276" i="23"/>
  <c r="G276" i="23"/>
  <c r="F201" i="26"/>
  <c r="H320" i="26"/>
  <c r="I331" i="23"/>
  <c r="G331" i="23"/>
  <c r="H331" i="23"/>
  <c r="F340" i="26"/>
  <c r="G340" i="26"/>
  <c r="G320" i="26"/>
  <c r="H340" i="26"/>
  <c r="G578" i="23"/>
  <c r="I158" i="25"/>
  <c r="I440" i="23"/>
  <c r="I439" i="23" s="1"/>
  <c r="G582" i="26"/>
  <c r="F582" i="26"/>
  <c r="H582" i="26"/>
  <c r="H129" i="23"/>
  <c r="H128" i="23" s="1"/>
  <c r="H392" i="25"/>
  <c r="F476" i="26"/>
  <c r="G165" i="23"/>
  <c r="H440" i="23"/>
  <c r="H439" i="23" s="1"/>
  <c r="I165" i="23"/>
  <c r="H165" i="23"/>
  <c r="H379" i="26"/>
  <c r="H378" i="26" s="1"/>
  <c r="G379" i="26"/>
  <c r="G378" i="26" s="1"/>
  <c r="G489" i="23"/>
  <c r="I489" i="23"/>
  <c r="H489" i="23"/>
  <c r="F109" i="26"/>
  <c r="F108" i="26" s="1"/>
  <c r="H109" i="26"/>
  <c r="H108" i="26" s="1"/>
  <c r="H74" i="23"/>
  <c r="H73" i="23" s="1"/>
  <c r="I259" i="23"/>
  <c r="G109" i="26"/>
  <c r="G108" i="26" s="1"/>
  <c r="G74" i="23"/>
  <c r="G73" i="23" s="1"/>
  <c r="I74" i="23"/>
  <c r="I73" i="23" s="1"/>
  <c r="G205" i="25"/>
  <c r="H73" i="25"/>
  <c r="H53" i="25" s="1"/>
  <c r="F607" i="26"/>
  <c r="F606" i="26" s="1"/>
  <c r="G370" i="23"/>
  <c r="G369" i="23" s="1"/>
  <c r="G259" i="23"/>
  <c r="H259" i="23"/>
  <c r="G187" i="23"/>
  <c r="G267" i="26"/>
  <c r="H512" i="26"/>
  <c r="F512" i="26"/>
  <c r="H501" i="23"/>
  <c r="I501" i="23"/>
  <c r="G501" i="23"/>
  <c r="I401" i="25"/>
  <c r="H389" i="25"/>
  <c r="I448" i="25"/>
  <c r="I442" i="25" s="1"/>
  <c r="H187" i="23"/>
  <c r="H101" i="26"/>
  <c r="I129" i="23"/>
  <c r="I128" i="23" s="1"/>
  <c r="H370" i="23"/>
  <c r="H369" i="23" s="1"/>
  <c r="I187" i="23"/>
  <c r="I628" i="23"/>
  <c r="I348" i="25"/>
  <c r="I342" i="25" s="1"/>
  <c r="I205" i="25"/>
  <c r="F378" i="26"/>
  <c r="H21" i="25"/>
  <c r="G73" i="25"/>
  <c r="G53" i="25" s="1"/>
  <c r="I97" i="25"/>
  <c r="I96" i="25" s="1"/>
  <c r="H105" i="25"/>
  <c r="H104" i="25" s="1"/>
  <c r="G290" i="26"/>
  <c r="H485" i="26"/>
  <c r="G473" i="26"/>
  <c r="G101" i="26"/>
  <c r="H446" i="26"/>
  <c r="G425" i="26"/>
  <c r="F97" i="26"/>
  <c r="F57" i="26" s="1"/>
  <c r="G476" i="26"/>
  <c r="G77" i="25"/>
  <c r="F415" i="26"/>
  <c r="F412" i="26" s="1"/>
  <c r="H201" i="25"/>
  <c r="G209" i="25"/>
  <c r="H557" i="25"/>
  <c r="H476" i="26"/>
  <c r="G129" i="23"/>
  <c r="G128" i="23" s="1"/>
  <c r="H41" i="26"/>
  <c r="G35" i="26"/>
  <c r="H263" i="26"/>
  <c r="H48" i="26"/>
  <c r="H47" i="26" s="1"/>
  <c r="I386" i="25"/>
  <c r="G41" i="26"/>
  <c r="H426" i="25"/>
  <c r="H395" i="25"/>
  <c r="H386" i="25"/>
  <c r="H246" i="25"/>
  <c r="H231" i="25" s="1"/>
  <c r="F290" i="26"/>
  <c r="I426" i="25"/>
  <c r="I272" i="25"/>
  <c r="I73" i="25"/>
  <c r="I53" i="25" s="1"/>
  <c r="F263" i="26"/>
  <c r="F257" i="26" s="1"/>
  <c r="F35" i="26"/>
  <c r="F28" i="26" s="1"/>
  <c r="H415" i="26"/>
  <c r="H412" i="26" s="1"/>
  <c r="H286" i="26"/>
  <c r="G286" i="26"/>
  <c r="H97" i="25"/>
  <c r="H96" i="25" s="1"/>
  <c r="I389" i="25"/>
  <c r="G415" i="26"/>
  <c r="G412" i="26" s="1"/>
  <c r="H267" i="26"/>
  <c r="H35" i="26"/>
  <c r="H235" i="23"/>
  <c r="H234" i="23" s="1"/>
  <c r="H233" i="23" s="1"/>
  <c r="I235" i="23"/>
  <c r="I234" i="23" s="1"/>
  <c r="I233" i="23" s="1"/>
  <c r="H290" i="26"/>
  <c r="F286" i="26"/>
  <c r="G263" i="26"/>
  <c r="G105" i="25"/>
  <c r="G104" i="25" s="1"/>
  <c r="I201" i="25"/>
  <c r="H97" i="26"/>
  <c r="H57" i="26" s="1"/>
  <c r="H505" i="26"/>
  <c r="H401" i="25"/>
  <c r="I395" i="25"/>
  <c r="H470" i="26"/>
  <c r="F461" i="26"/>
  <c r="G201" i="25"/>
  <c r="G17" i="25"/>
  <c r="G14" i="25" s="1"/>
  <c r="G505" i="26"/>
  <c r="G479" i="26"/>
  <c r="G470" i="26"/>
  <c r="G446" i="26"/>
  <c r="F553" i="26"/>
  <c r="F549" i="26" s="1"/>
  <c r="F479" i="26"/>
  <c r="H473" i="26"/>
  <c r="F470" i="26"/>
  <c r="G485" i="26"/>
  <c r="H479" i="26"/>
  <c r="I362" i="25"/>
  <c r="I356" i="25" s="1"/>
  <c r="G97" i="26"/>
  <c r="H448" i="25"/>
  <c r="H442" i="25" s="1"/>
  <c r="H362" i="25"/>
  <c r="H356" i="25" s="1"/>
  <c r="I392" i="25"/>
  <c r="H272" i="25"/>
  <c r="I21" i="25"/>
  <c r="H17" i="25"/>
  <c r="H205" i="25"/>
  <c r="G607" i="26"/>
  <c r="G606" i="26" s="1"/>
  <c r="F473" i="26"/>
  <c r="I246" i="25"/>
  <c r="I231" i="25" s="1"/>
  <c r="F485" i="26"/>
  <c r="I209" i="25"/>
  <c r="G48" i="26"/>
  <c r="G47" i="26" s="1"/>
  <c r="H607" i="26"/>
  <c r="H606" i="26" s="1"/>
  <c r="I105" i="25"/>
  <c r="I104" i="25" s="1"/>
  <c r="F505" i="26"/>
  <c r="H425" i="26"/>
  <c r="H348" i="25"/>
  <c r="H342" i="25" s="1"/>
  <c r="F446" i="26"/>
  <c r="H209" i="25"/>
  <c r="I17" i="25"/>
  <c r="H19" i="23"/>
  <c r="H88" i="25"/>
  <c r="H87" i="25" s="1"/>
  <c r="I88" i="25"/>
  <c r="I87" i="25" s="1"/>
  <c r="G193" i="23"/>
  <c r="I19" i="23"/>
  <c r="I425" i="23"/>
  <c r="I410" i="23" s="1"/>
  <c r="H425" i="23"/>
  <c r="I193" i="23"/>
  <c r="G425" i="23"/>
  <c r="H193" i="23"/>
  <c r="G19" i="23"/>
  <c r="G439" i="23"/>
  <c r="G57" i="26" l="1"/>
  <c r="H556" i="25"/>
  <c r="H555" i="25" s="1"/>
  <c r="H410" i="23"/>
  <c r="G410" i="23"/>
  <c r="G157" i="25"/>
  <c r="G156" i="25" s="1"/>
  <c r="F274" i="26"/>
  <c r="F256" i="26" s="1"/>
  <c r="H157" i="25"/>
  <c r="H156" i="25" s="1"/>
  <c r="G274" i="26"/>
  <c r="H274" i="26"/>
  <c r="I157" i="25"/>
  <c r="I156" i="25" s="1"/>
  <c r="H15" i="23"/>
  <c r="H14" i="23" s="1"/>
  <c r="G164" i="23"/>
  <c r="G163" i="23" s="1"/>
  <c r="H164" i="23"/>
  <c r="H163" i="23" s="1"/>
  <c r="G257" i="26"/>
  <c r="H257" i="26"/>
  <c r="F424" i="26"/>
  <c r="F407" i="26" s="1"/>
  <c r="G424" i="26"/>
  <c r="G407" i="26" s="1"/>
  <c r="H424" i="26"/>
  <c r="H407" i="26" s="1"/>
  <c r="I164" i="23"/>
  <c r="I163" i="23" s="1"/>
  <c r="G15" i="23"/>
  <c r="G14" i="23" s="1"/>
  <c r="I77" i="25"/>
  <c r="H14" i="25"/>
  <c r="H13" i="25" s="1"/>
  <c r="G13" i="25"/>
  <c r="G484" i="23"/>
  <c r="G472" i="23" s="1"/>
  <c r="G28" i="26"/>
  <c r="G628" i="23"/>
  <c r="H581" i="26"/>
  <c r="H28" i="26"/>
  <c r="F175" i="26"/>
  <c r="H355" i="25"/>
  <c r="H310" i="25" s="1"/>
  <c r="F14" i="26"/>
  <c r="F581" i="26"/>
  <c r="H77" i="25"/>
  <c r="G581" i="26"/>
  <c r="I15" i="23"/>
  <c r="I14" i="23" s="1"/>
  <c r="I14" i="25"/>
  <c r="I13" i="25" s="1"/>
  <c r="I355" i="25"/>
  <c r="I310" i="25" s="1"/>
  <c r="G175" i="26"/>
  <c r="I258" i="23"/>
  <c r="I257" i="23" s="1"/>
  <c r="H611" i="23"/>
  <c r="H600" i="23" s="1"/>
  <c r="G258" i="23"/>
  <c r="G257" i="23" s="1"/>
  <c r="H258" i="23"/>
  <c r="H257" i="23" s="1"/>
  <c r="G594" i="25" l="1"/>
  <c r="H594" i="25"/>
  <c r="I594" i="25"/>
  <c r="F624" i="26"/>
  <c r="F625" i="26" s="1"/>
  <c r="H14" i="26"/>
  <c r="G256" i="26"/>
  <c r="G14" i="26"/>
  <c r="H256" i="26"/>
  <c r="G611" i="23"/>
  <c r="I611" i="23"/>
  <c r="I600" i="23" s="1"/>
  <c r="G624" i="26" l="1"/>
  <c r="G625" i="26" s="1"/>
  <c r="H624" i="26"/>
  <c r="H625" i="26" s="1"/>
  <c r="G600" i="23"/>
  <c r="G699" i="23" s="1"/>
  <c r="G711" i="23" s="1"/>
  <c r="G703" i="23" l="1"/>
  <c r="G600" i="25"/>
  <c r="F630" i="26"/>
  <c r="I484" i="23" l="1"/>
  <c r="I472" i="23" s="1"/>
  <c r="H484" i="23"/>
  <c r="H472" i="23" l="1"/>
  <c r="H699" i="23" s="1"/>
  <c r="H711" i="23" s="1"/>
  <c r="I699" i="23"/>
  <c r="I711" i="23" s="1"/>
  <c r="H600" i="25" l="1"/>
  <c r="H703" i="23"/>
  <c r="G630" i="26"/>
  <c r="I703" i="23"/>
  <c r="H630" i="26"/>
  <c r="I600" i="25"/>
</calcChain>
</file>

<file path=xl/sharedStrings.xml><?xml version="1.0" encoding="utf-8"?>
<sst xmlns="http://schemas.openxmlformats.org/spreadsheetml/2006/main" count="8340" uniqueCount="781">
  <si>
    <t>Физическая культура</t>
  </si>
  <si>
    <t>Массовый спорт</t>
  </si>
  <si>
    <t>Обслуживание государственного внутреннего и муниципального долга</t>
  </si>
  <si>
    <t>Другие вопросы в области физической культуры и спорта</t>
  </si>
  <si>
    <t>Национальная безопасность и правоохранительная деятельность</t>
  </si>
  <si>
    <t>Управление культуры администрации Анжеро-Судженского городского округа</t>
  </si>
  <si>
    <t>Раздел</t>
  </si>
  <si>
    <t>Подраздел</t>
  </si>
  <si>
    <t>Целевая статья</t>
  </si>
  <si>
    <t>Вид расхода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</si>
  <si>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</si>
  <si>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</si>
  <si>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</si>
  <si>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</si>
  <si>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</si>
  <si>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</si>
  <si>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</si>
  <si>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</si>
  <si>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Обслуживание государственного и муниципального долга</t>
  </si>
  <si>
    <t>11</t>
  </si>
  <si>
    <t>Резервные фонды</t>
  </si>
  <si>
    <t>12</t>
  </si>
  <si>
    <t>Другие общегосударственные вопросы</t>
  </si>
  <si>
    <t>Другие вопросы в области культуры, кинематографии</t>
  </si>
  <si>
    <t>09</t>
  </si>
  <si>
    <t>Национальная экономика</t>
  </si>
  <si>
    <t>Топливно-энергетический комплекс</t>
  </si>
  <si>
    <t>Другие вопросы в области национальной экономики</t>
  </si>
  <si>
    <t xml:space="preserve">Жилищно-коммунальное хозяйство </t>
  </si>
  <si>
    <t>05</t>
  </si>
  <si>
    <t>Жилищное хозяйство</t>
  </si>
  <si>
    <t>Коммунальное хозяйство</t>
  </si>
  <si>
    <t>Комитет по физической культуре и спорту администрации Анжеро-Судженского городского округа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</si>
  <si>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</si>
  <si>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</si>
  <si>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</si>
  <si>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</si>
  <si>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</si>
  <si>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</si>
  <si>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</si>
  <si>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</si>
  <si>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08</t>
  </si>
  <si>
    <t>Культура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</si>
  <si>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</si>
  <si>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</si>
  <si>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</si>
  <si>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</si>
  <si>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</si>
  <si>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06</t>
  </si>
  <si>
    <t>10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</si>
  <si>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</si>
  <si>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</si>
  <si>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</si>
  <si>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</si>
  <si>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</si>
  <si>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</si>
  <si>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ИТОГО:</t>
  </si>
  <si>
    <t>Ведомство</t>
  </si>
  <si>
    <t>Общегосударственные вопросы</t>
  </si>
  <si>
    <t>13</t>
  </si>
  <si>
    <t>(тыс. руб.)</t>
  </si>
  <si>
    <t>Контрольно - счетная палата Анжеро- Судженского городского округа</t>
  </si>
  <si>
    <t>Начальник финансового управления города Анжеро-Судженска-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</si>
  <si>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</si>
  <si>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</si>
  <si>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</si>
  <si>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</si>
  <si>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Социальное обеспечение и иные выплаты населению</t>
  </si>
  <si>
    <t>300</t>
  </si>
  <si>
    <t>400</t>
  </si>
  <si>
    <t>Иные бюджетные ассигнования</t>
  </si>
  <si>
    <t>800</t>
  </si>
  <si>
    <t>Обслуживание государственного (муниципального) долга</t>
  </si>
  <si>
    <t>700</t>
  </si>
  <si>
    <t>Закупка товаров работ и услуг для государственных (муниципальных) нужд</t>
  </si>
  <si>
    <t>Совет народных депутатов Анжеро-Судженского городского округа</t>
  </si>
  <si>
    <t>к решению Совета народных депутатов Анжеро-Судженского городского округа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</si>
  <si>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</si>
  <si>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</si>
  <si>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</si>
  <si>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Капитальные вложения в объекты государственной (муниципальной) собственности</t>
  </si>
  <si>
    <t>Приложение 6</t>
  </si>
  <si>
    <t>05 2 00 72010</t>
  </si>
  <si>
    <t>01 4 00 79050</t>
  </si>
  <si>
    <t>01 5 00 79060</t>
  </si>
  <si>
    <t>01 5 00 71960</t>
  </si>
  <si>
    <t>04 1 00 51350</t>
  </si>
  <si>
    <t>04 3 00 51560</t>
  </si>
  <si>
    <t>08 6 00 80110</t>
  </si>
  <si>
    <t>08 6 00 70010</t>
  </si>
  <si>
    <t>08 6 00 70020</t>
  </si>
  <si>
    <t>08 6 00 70030</t>
  </si>
  <si>
    <t>08 6 00 70060</t>
  </si>
  <si>
    <t>08 6 00 70080</t>
  </si>
  <si>
    <t>08 4 00 70280</t>
  </si>
  <si>
    <t>08 5 00 70170</t>
  </si>
  <si>
    <t>08 6 00 52700</t>
  </si>
  <si>
    <t>08 6 00 52200</t>
  </si>
  <si>
    <t>08 6 00 52800</t>
  </si>
  <si>
    <t>08 6 00 52500</t>
  </si>
  <si>
    <t>08 6 00 53800</t>
  </si>
  <si>
    <t>08 6 00 80050</t>
  </si>
  <si>
    <t>08 6 00 80070</t>
  </si>
  <si>
    <t>08 6 00 70070</t>
  </si>
  <si>
    <t>08 6 00 70100</t>
  </si>
  <si>
    <t>08 6 00 80080</t>
  </si>
  <si>
    <t>08 6 00 80090</t>
  </si>
  <si>
    <t>08 6 00 80040</t>
  </si>
  <si>
    <t>08 6 00 80100</t>
  </si>
  <si>
    <t>08 6 00 51370</t>
  </si>
  <si>
    <t>08 6 00 70190</t>
  </si>
  <si>
    <t>05 1 00 71830</t>
  </si>
  <si>
    <t>05 1 00 71840</t>
  </si>
  <si>
    <t>05 1 00 71820</t>
  </si>
  <si>
    <t>05 3 00 72070</t>
  </si>
  <si>
    <t>05 1 00 71800</t>
  </si>
  <si>
    <t>05 2 00 72050</t>
  </si>
  <si>
    <t>05 2 00 72030</t>
  </si>
  <si>
    <t>05 2 00 80120</t>
  </si>
  <si>
    <t>05 2 00 71810</t>
  </si>
  <si>
    <t>05 2 00 80130</t>
  </si>
  <si>
    <t>05 2 00 52600</t>
  </si>
  <si>
    <t>911</t>
  </si>
  <si>
    <t>05 2 00 73050</t>
  </si>
  <si>
    <t>04 1 00 R0820</t>
  </si>
  <si>
    <t>Закупка товаров, работ и услуг для обеспечения государственных (муниципальных) нужд</t>
  </si>
  <si>
    <t>05 1 00 71940</t>
  </si>
  <si>
    <t>05 1 00 71930</t>
  </si>
  <si>
    <t>05 2 00 72000</t>
  </si>
  <si>
    <t>05 2 00 70490</t>
  </si>
  <si>
    <t>Предоставление субсидий бюджетным, автономным учреждениям и иным некоммерческим организациям</t>
  </si>
  <si>
    <t>01 1 00 11011</t>
  </si>
  <si>
    <t>Создание и функционирование комиссий по делам несовершеннолетних и защите их прав</t>
  </si>
  <si>
    <t>Создание и функционирование административных комиссий</t>
  </si>
  <si>
    <t>01 1 00 11021</t>
  </si>
  <si>
    <t>01 1 00 11031</t>
  </si>
  <si>
    <t>Обеспечение деятельности МАУ МФЦ</t>
  </si>
  <si>
    <t>13 0 00 11171</t>
  </si>
  <si>
    <t>Осуществление функций по хранению, комплектованию, учету и использованию документов Архивного фонда Кемеровской области</t>
  </si>
  <si>
    <t>Денежные выплаты гражданам, имеющим звание "Почетный гражданин Анжеро-Судженского городского округа"</t>
  </si>
  <si>
    <t>01 5 00 94041</t>
  </si>
  <si>
    <t>Развитие архивного дела на территории Анжеро-Судженского городского округа</t>
  </si>
  <si>
    <t>01 4 00 11401</t>
  </si>
  <si>
    <t>03 3 00 11151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</si>
  <si>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предотвращение актов насилия и терроризма в отношении детей в общеобразовательных учреждениях, на отдыхе в загородных лагерях во время летних каникул; на водных объектах; оказание помощи отделу военного комиссариата во время призыва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</si>
  <si>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охрана общественного порядка на водных объектах</t>
  </si>
  <si>
    <t>03 3 00 12161</t>
  </si>
  <si>
    <t>03 1 00 11002</t>
  </si>
  <si>
    <t>Создание территориального компонента Общероссийской комплексной системы информирования и оповещения населения в чрезвычайных ситуациях</t>
  </si>
  <si>
    <t>Развитие ЕДДС Анжеро-Судженского городского округа</t>
  </si>
  <si>
    <t>03 1 00 14002</t>
  </si>
  <si>
    <t>03 2 00 11701</t>
  </si>
  <si>
    <t>Обеспечение первичных мер пожарной безопасности с массовым пребыванием людей</t>
  </si>
  <si>
    <t>Противопожарное обустройство населенных пунктов</t>
  </si>
  <si>
    <t>03 2 00 12701</t>
  </si>
  <si>
    <t>14 0 00 12801</t>
  </si>
  <si>
    <t>Содействие формированию положительного имиджа предпринимательской деятельности</t>
  </si>
  <si>
    <t>Реализация программ местного развития и обеспечение занятости для шахтерских городов и поселков</t>
  </si>
  <si>
    <t>04 1 00 11501</t>
  </si>
  <si>
    <t>04 4 00 11201</t>
  </si>
  <si>
    <t>Строительство</t>
  </si>
  <si>
    <t>04 4 00 12201</t>
  </si>
  <si>
    <t>Проектные работы</t>
  </si>
  <si>
    <t>05 1 00 16071</t>
  </si>
  <si>
    <t>Развитие молодежной политики в Анжеро-Судженском городском округе</t>
  </si>
  <si>
    <t>Кадровое обеспечение - молодой специалист</t>
  </si>
  <si>
    <t>08 7 00 11005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</si>
  <si>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</si>
  <si>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мер социальной поддержки ветеранов труда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</si>
  <si>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"О мерах социальной поддержки отдельных категорий многодетных матерей"</t>
  </si>
  <si>
    <t>Меры социальной поддержки отдельных категорий граждан в соответствии с Законом Кемеровской области от 27 января 2005 года № 15-ОЗ "О мерах социальной поддержки отдельных категорий граждан"</t>
  </si>
  <si>
    <t>01 5 00 15011</t>
  </si>
  <si>
    <t>Поддержка молодых семей и семей бюджетников</t>
  </si>
  <si>
    <t>12 0 00 11004</t>
  </si>
  <si>
    <t>Процентные платежи по муниципальному долгу Анжеро-Судженского городского округа</t>
  </si>
  <si>
    <t>Организация круглогодичного отдыха, оздоровления и занятости обучающихся</t>
  </si>
  <si>
    <t>05 1 00 13011</t>
  </si>
  <si>
    <t>09 0 00 11013</t>
  </si>
  <si>
    <t>Повышение доступности и качества спортивно-оздоровительных услуг</t>
  </si>
  <si>
    <t>09 0 00 14011</t>
  </si>
  <si>
    <t>Вовлечение детей и подростков в сферу физической культуры и спорта путем занятости молодежи в вечернее время спортивно-массовыми мероприятиями</t>
  </si>
  <si>
    <t>09 0 00 13012</t>
  </si>
  <si>
    <t>Создание условий для развития физической культуры и массового спорта в городском округе</t>
  </si>
  <si>
    <t>09 0 00 11042</t>
  </si>
  <si>
    <t>02 0 00 13001</t>
  </si>
  <si>
    <t>Техническая инвентаризация и паспортизация объектов муниципальной собственности</t>
  </si>
  <si>
    <t>Независимая оценка объектов муниципальной собственности</t>
  </si>
  <si>
    <t>02 0 00 14001</t>
  </si>
  <si>
    <t>Проведение капитальных ремонтов объектов инженерной инфраструктуры, находящихся в муниципальной собственности</t>
  </si>
  <si>
    <t>02 0 00 15001</t>
  </si>
  <si>
    <t>Содержание муниципального имущества</t>
  </si>
  <si>
    <t>02 0 00 16001</t>
  </si>
  <si>
    <t>02 0 00 17002</t>
  </si>
  <si>
    <t>Размещение информации в СМИ</t>
  </si>
  <si>
    <t>Создание и ликвидация муниципальных предприятий</t>
  </si>
  <si>
    <t>02 0 00 18001</t>
  </si>
  <si>
    <t>Обеспечение эффективности в сфере управления муниципальным имуществом</t>
  </si>
  <si>
    <t>02 0 00 19001</t>
  </si>
  <si>
    <t>02 0 00 11001</t>
  </si>
  <si>
    <t>Формирование и оформление границ земельных участков</t>
  </si>
  <si>
    <t>Оформление и выполнение работ по подготовке проектов межевания застроенных территорий и установлению границ под многоквартирными жилыми домами</t>
  </si>
  <si>
    <t>02 0 00 12001</t>
  </si>
  <si>
    <t>Капитальный ремонт общего имущества многоквартирных домов, находящихся в муниципальной собственности</t>
  </si>
  <si>
    <t>04 5 00 13003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</si>
  <si>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</si>
  <si>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99 0 00 24001</t>
  </si>
  <si>
    <t>Центральный аппарат</t>
  </si>
  <si>
    <t>Председатель Контрольно-счетной палаты</t>
  </si>
  <si>
    <t>99 0 00 20131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</si>
  <si>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</si>
  <si>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</si>
  <si>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99 0 00 20111</t>
  </si>
  <si>
    <t>99 0 00 20121</t>
  </si>
  <si>
    <t>01 5 00 16131</t>
  </si>
  <si>
    <t>Поздравления и памятные подарки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</si>
  <si>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</si>
  <si>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</si>
  <si>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Развитие единого образовательного пространства, повышение качества образовательных результатов</t>
  </si>
  <si>
    <t>05 1 00 11211</t>
  </si>
  <si>
    <t>05 1 00 11231</t>
  </si>
  <si>
    <t>05 1 00 12221</t>
  </si>
  <si>
    <t>Обеспечение деятельности образовательных учреждений для детей с ограниченными возможностями здоровья, детей-сирот и детей, оставшихся без попечения родителей, включая реализацию образовательных программ дошкольного и общего образования</t>
  </si>
  <si>
    <t>Адресная социальная поддержка участников образовательного процесса</t>
  </si>
  <si>
    <t>05 1 00 11202</t>
  </si>
  <si>
    <t>05 1 00 12051</t>
  </si>
  <si>
    <t>05 1 00 13211</t>
  </si>
  <si>
    <t>05 1 00 17011</t>
  </si>
  <si>
    <t>05 1 00 18221</t>
  </si>
  <si>
    <t>Развитие кадрового потенциала муниципальной системы образования</t>
  </si>
  <si>
    <t>05 3 00 11041</t>
  </si>
  <si>
    <t>05 3 00 11351</t>
  </si>
  <si>
    <t>05 3 00 11521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</si>
  <si>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</si>
  <si>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</si>
  <si>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Предоставление бесплатного проезда отдельным категориям обучающихся</t>
  </si>
  <si>
    <t>Меры социальной поддержки многодетных семей в соответствии с Законом Кемеровской области от 14 ноября 2005 года № 123-ОЗ "О мерах социальной поддержки многодетных семей в Кемеровской области"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</si>
  <si>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</si>
  <si>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</si>
  <si>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06 0 00 11402</t>
  </si>
  <si>
    <t>Обеспечение деятельности учреждений клубного типа</t>
  </si>
  <si>
    <t>06 0 00 12411</t>
  </si>
  <si>
    <t>Развитие музейного дела</t>
  </si>
  <si>
    <t>06 0 00 13421</t>
  </si>
  <si>
    <t>Развитие библиотечного дела</t>
  </si>
  <si>
    <t>06 0 00 14041</t>
  </si>
  <si>
    <t>Реализация мер в области государственной молодежной политики</t>
  </si>
  <si>
    <t>Выплата пенсии за выслугу лет в соответствии с Решением Анжеро-Судженского городского Совета народных депутатов от 26.11.2009г №396 "О пенсиях за выслугу лет лицам, замещавшим муниципальные должности, и должности муниципальной службы муниципального образования "Анжеро-Судженский городской округ""</t>
  </si>
  <si>
    <t>08 2 00 91001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</si>
  <si>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</si>
  <si>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Затраты на содержание муниципальных учреждений социального обслуживания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</si>
  <si>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</si>
  <si>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Осуществление полномочия по осуществлению ежегодной денежной выплаты лицам, награжденным нагрудным знаком "Почетный донор России"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</si>
  <si>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</si>
  <si>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</si>
  <si>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"О мерах социальной поддержки работников муниципальных учреждений социального обслуживания"</t>
  </si>
  <si>
    <t>Дополнительная мера социальной поддержки семей, имеющих детей, в соответствии с Законом Кемеровской области от 25 апреля 2011 года № 51-ОЗ "О дополнительной мере социальной поддержки семей, имеющих детей"</t>
  </si>
  <si>
    <t>Социальная поддержка граждан, достигших возраста 70 лет, в соответствии с Законом Кемеровской области от 10 июня 2005 года № 74-ОЗ "О социальной поддержке граждан, достигших возраста 70 лет"</t>
  </si>
  <si>
    <t>Денежная выплата отдельным категориям граждан в соответствии с Законом Кемеровской области от 12 декабря 2006 года № 156-ОЗ "О денежной выплате отдельным категориям граждан"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</si>
  <si>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</si>
  <si>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</si>
  <si>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Адресная помощь</t>
  </si>
  <si>
    <t>08 1 00 11403</t>
  </si>
  <si>
    <t>Поддержка общественных организаций</t>
  </si>
  <si>
    <t>08 1 00 12401</t>
  </si>
  <si>
    <t>Социальная поддержка и социальное обслуживание населения в части содержания органов местного самоуправления</t>
  </si>
  <si>
    <t>Резервный фонд</t>
  </si>
  <si>
    <t>Исполнение судебных актов</t>
  </si>
  <si>
    <t>01 5 00 13071</t>
  </si>
  <si>
    <t>01 5 00 17001</t>
  </si>
  <si>
    <t>10 3 00 14101</t>
  </si>
  <si>
    <t>11 1 00 11121</t>
  </si>
  <si>
    <t>Расходы по содержанию автомобильных дорог и инженерных сооружений на них</t>
  </si>
  <si>
    <t>11 2 00 11111</t>
  </si>
  <si>
    <t>Освещение автодорог местного значения и текущее содержание линий дорожного освещения</t>
  </si>
  <si>
    <t>10 1 00 11301</t>
  </si>
  <si>
    <t>Капитальный ремонт муниципальных сетей и котельного оборудования</t>
  </si>
  <si>
    <t>10 3 00 11203</t>
  </si>
  <si>
    <t>10 3 00 11302</t>
  </si>
  <si>
    <t>10 3 00 12402</t>
  </si>
  <si>
    <t>Компенсация выпадающих доходов организациям, предоставляющим населению услуги газоснабжения по тарифам, не обеспечивающим возмещение издержек</t>
  </si>
  <si>
    <t>11 2 00 12111</t>
  </si>
  <si>
    <t>Стоимость электроэнергии</t>
  </si>
  <si>
    <t>Организация работ по озеленению парков, скверов, аллей, улично-дорожной сети</t>
  </si>
  <si>
    <t>11 3 00 11131</t>
  </si>
  <si>
    <t>11 4 00 11141</t>
  </si>
  <si>
    <t>Текущее содержание и очистка кладбищ</t>
  </si>
  <si>
    <t>11 5 00 11152</t>
  </si>
  <si>
    <t>Прочие мероприятия по объектам внешнего благоустройства, направленные на охрану окружающей среды и отдых населения</t>
  </si>
  <si>
    <t>10 2 00 11901</t>
  </si>
  <si>
    <t>Организация и осуществление деятельности по снижению рисков и смягчению последствий аварийных ситуаций на объектах ЖКХ и социальной сферы</t>
  </si>
  <si>
    <t>10 4 00 11043</t>
  </si>
  <si>
    <t>Осуществление функций по реализации вопросов местного значения в сфере жилищно-коммунального хозяйства</t>
  </si>
  <si>
    <t>11 6 00 11902</t>
  </si>
  <si>
    <t>Организация мероприятий по обеспечению надлежащего состояния уровня благоустройства территории Анжеро-Судженского городского округа</t>
  </si>
  <si>
    <t>Поддержка пенсионеров и инвалидов</t>
  </si>
  <si>
    <t>08 1 00 13401</t>
  </si>
  <si>
    <t>08 1 00 14401</t>
  </si>
  <si>
    <t>Возмещение затрат по содержанию специализированного муниципального жилого фонда</t>
  </si>
  <si>
    <t>08 1 00 15401</t>
  </si>
  <si>
    <t>Возмещение затрат по организации холодного водоснабжения путем подвоза питьевой воды населению города, проживающего в жилых домах, не подключенных к централизованной системе холодного водоснабжения и не возможностью проведения его, по причине отдаленности от сетей централизованного водоснабжения</t>
  </si>
  <si>
    <t>05 2 00 11012</t>
  </si>
  <si>
    <t>Дополнительное образование детей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</si>
  <si>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</si>
  <si>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"О мерах социальной поддержки отдельных категорий приемных родителей"</t>
  </si>
  <si>
    <t>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"О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предприятиях"</t>
  </si>
  <si>
    <t>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</si>
  <si>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Пособие на ребенка в соответствии с Законом Кемеровской области от 18 ноября 2004 года № 75-ОЗ "О размере, порядке назначения и выплаты пособия на ребенка"</t>
  </si>
  <si>
    <t>Ежемесячная денежная выплата, назначаемая в случае рождения третьего ребенка или последующих детей, до достижения ребенком возраста трех лет</t>
  </si>
  <si>
    <t>08 5 00 11051</t>
  </si>
  <si>
    <t>Обеспечение жильем социально незащищенных категорий граждан, установленных законодательством Кемеровской области и Федеральными законами</t>
  </si>
  <si>
    <t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"О государственной социальной помощи малоимущим семьям и малоимущим одиноко проживающим гражданам"</t>
  </si>
  <si>
    <t>Повышение эффективности деятельности органа местного самоуправления</t>
  </si>
  <si>
    <t>Обеспечение доступности дошкольного, общего и дополнительного образования детей, повышение качества образовательных результатов, включая образовательные программы дошкольного общего и дополнительного образования</t>
  </si>
  <si>
    <t>Организация круглогодичного отдыха, оздоровления и занятости обучающихся, закаливание беременных</t>
  </si>
  <si>
    <t>Поддержка талантливых детей и молодежи, обеспечение условий для их личностной самореализации и профессионального самоопределения, успешной социализации в обществе</t>
  </si>
  <si>
    <t>Социальная поддержка участников образовательного процесса</t>
  </si>
  <si>
    <t>Обеспечение деятельности прочих организаций в сфере образования Анжеро-Судженского городского округа</t>
  </si>
  <si>
    <t>Развитие управления в сфере культуры</t>
  </si>
  <si>
    <t>04 1 00 71660</t>
  </si>
  <si>
    <t>Обеспечение жильем социальных категорий граждан, установленных законодательством Кемеровской области</t>
  </si>
  <si>
    <t>04 1 00 71850</t>
  </si>
  <si>
    <t>10 1 00 18301</t>
  </si>
  <si>
    <t>ПИР котельной по ул. Прокопьевская, сети теплоснабжения</t>
  </si>
  <si>
    <t>Осуществление спортивной подготовки на территории городского округа</t>
  </si>
  <si>
    <t>09 0 00 15232</t>
  </si>
  <si>
    <t xml:space="preserve">Социальная поддержка работников образовательных организаций и участников образовательного процесса 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</si>
  <si>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</si>
  <si>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Социальная поддержка работников образовательных организаций и участников образовательного процесса</t>
  </si>
  <si>
    <t>2020 год</t>
  </si>
  <si>
    <t>Условно утвержденные расходы</t>
  </si>
  <si>
    <t>99</t>
  </si>
  <si>
    <t>99 0 00 99999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</si>
  <si>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</si>
  <si>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</si>
  <si>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Содержание и обустройство сибиреязвенных захоронений и скотомогильников (биотермических ям)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</si>
  <si>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</si>
  <si>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06 0 00 70420</t>
  </si>
  <si>
    <t>04 1 00 51760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</si>
  <si>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</si>
  <si>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08 6 00 70840</t>
  </si>
  <si>
    <t>Проведение обследования ветхого и аварийного муниципального жилого фонда, снос ветхого жилья</t>
  </si>
  <si>
    <t>04 3 00 14151</t>
  </si>
  <si>
    <t>06 0 00 70480</t>
  </si>
  <si>
    <t>Этнокультурное развитие наций и народностей Кемеровской области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</si>
  <si>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значения, а также до сельских населенных пунктов, не имеющих круглогодичной связи с сетью автомобильных дорог общего пользования</t>
  </si>
  <si>
    <t>11 1 00 72690</t>
  </si>
  <si>
    <t>04 2 00 L4970</t>
  </si>
  <si>
    <t>Реализация мероприятий по обеспечению жильем молодых семей</t>
  </si>
  <si>
    <t>11 1 00 S2690</t>
  </si>
  <si>
    <t>Капитальный ремонт ул. Ленина</t>
  </si>
  <si>
    <t>11 8 00 11182</t>
  </si>
  <si>
    <t xml:space="preserve">Капитальный ремонт объектов систем водоснабжения и водоотведения </t>
  </si>
  <si>
    <t>10 1 00 72470</t>
  </si>
  <si>
    <t>10 1 00 S2470</t>
  </si>
  <si>
    <t>99 0 00 51200</t>
  </si>
  <si>
    <t>Обеспечение деятельности строительного контроля в сфере проектирования, строительства, реконструкции и всех видов ремонта. Выполнение функции Заказчика</t>
  </si>
  <si>
    <t>04 4 00 13201</t>
  </si>
  <si>
    <t>15 0 00 11007</t>
  </si>
  <si>
    <t>15 0 0011007</t>
  </si>
  <si>
    <t>Благоустройство дворовых территорий Анжеро-Судженского городского округа</t>
  </si>
  <si>
    <t>2021 год</t>
  </si>
  <si>
    <t>04 1 00 51340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</si>
  <si>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</si>
  <si>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09 0 00 11044</t>
  </si>
  <si>
    <t>08 1 00 16401</t>
  </si>
  <si>
    <t>Материальное стимулирование деятельности добровольных пожарных (волонтеров)</t>
  </si>
  <si>
    <t>03 2 00 14701</t>
  </si>
  <si>
    <t>Ремонт муниципального жилищного фонда</t>
  </si>
  <si>
    <t>04 5 00 14003</t>
  </si>
  <si>
    <t>05 2 00 11213</t>
  </si>
  <si>
    <t>Обеспечение мер социальной поддержки в виде льгот по родительской плате за присмотр и уход за детьми в муниципальных организациях</t>
  </si>
  <si>
    <t>Обеспечение мер социальной поддержки (в виде предоставления горячего питания) обучающимся муниципальных общеобразовательных организаций</t>
  </si>
  <si>
    <t>05 2 00 11212</t>
  </si>
  <si>
    <t>06 0 00 14522</t>
  </si>
  <si>
    <t>Возмещение затрат, возникших в результате применения государственных регулируемых цен при обеспечении коммунальными ресурсами населения при снабжении топливом</t>
  </si>
  <si>
    <t>08 7 00 13005</t>
  </si>
  <si>
    <t>Работа по обработке социально-значимых инфекций</t>
  </si>
  <si>
    <t>08 6 P1 50840</t>
  </si>
  <si>
    <t>08 6 P1 55730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</si>
  <si>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</si>
  <si>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</si>
  <si>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Осуществление ежемесячной выплаты в связи с рождением (усыновлением) первого ребенка</t>
  </si>
  <si>
    <t>Реализация проектов инициативного бюджетирования "Твой Кузбасс - твоя инициатива"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</si>
  <si>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</si>
  <si>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05 2 00 72060</t>
  </si>
  <si>
    <t>Профилактика безнадзорности и правонарушений несовершеннолетних</t>
  </si>
  <si>
    <t>05 2 00 80140</t>
  </si>
  <si>
    <t xml:space="preserve">09 0 P5 50810 </t>
  </si>
  <si>
    <t>Осуществление назначения и выплаты денежных средств семьям, взявшим на воспитание детей-сирот и детей, оставшихся без попечения родителей, предоставление им мер социальной поддержки, осуществление назначения и выплаты денежных средств лицам, находившимся под попечительством, лицам, являвшимся приемными родителями, в соответствии с Законом Кемеровской области от 14 декабря 2010 года № 124-ОЗ "О некоторых вопросах в сфере опеки и попечительства несовершеннолетних"</t>
  </si>
  <si>
    <t>08 6 P1 70050</t>
  </si>
  <si>
    <t>08 6 P1 80010</t>
  </si>
  <si>
    <t>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</si>
  <si>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жилых помещений и (или) коммунальных услуг"</t>
  </si>
  <si>
    <t>Ежемесячные денежные выплаты отдельным категориям граждан, воспитывающих детей в возрасте от 1,5 до 7 лет,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</si>
  <si>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Приложение 5</t>
  </si>
  <si>
    <t>Итого</t>
  </si>
  <si>
    <t>99999</t>
  </si>
  <si>
    <t>00</t>
  </si>
  <si>
    <t>0</t>
  </si>
  <si>
    <t>51200</t>
  </si>
  <si>
    <t>Закупка товаров, работ и услуг для государственных (муниципальных) нужд</t>
  </si>
  <si>
    <t>24001</t>
  </si>
  <si>
    <t>20131</t>
  </si>
  <si>
    <t>20121</t>
  </si>
  <si>
    <t>20111</t>
  </si>
  <si>
    <t>Непрограммное направление деятельности</t>
  </si>
  <si>
    <t>11007</t>
  </si>
  <si>
    <t>F2</t>
  </si>
  <si>
    <t>15</t>
  </si>
  <si>
    <t>Муниципальная программа "Формирование современной городской среды на территории Анжеро-Судженского городского округа"</t>
  </si>
  <si>
    <t>12801</t>
  </si>
  <si>
    <t>14</t>
  </si>
  <si>
    <t>Муниципальная программа "Развитие и поддержка субъектов малого и среднего предпринимательства Анжеро-Судженского городского округа"</t>
  </si>
  <si>
    <t>11171</t>
  </si>
  <si>
    <t xml:space="preserve">Муниципальная программа «Повышение качества предоставления государственных и муниципальных услуг» </t>
  </si>
  <si>
    <t>11004</t>
  </si>
  <si>
    <t>Муниципальная программа "Управление муниципальными финансами Анжеро-Судженского городского округа"</t>
  </si>
  <si>
    <t>11182</t>
  </si>
  <si>
    <t>8</t>
  </si>
  <si>
    <t>11902</t>
  </si>
  <si>
    <t>6</t>
  </si>
  <si>
    <t>Подпрограмма "Организация мероприятий по обеспечению надлежащего состояния уровня благоустройства территории Анжеро-Судженского городского округа"</t>
  </si>
  <si>
    <t>S3420</t>
  </si>
  <si>
    <t>11152</t>
  </si>
  <si>
    <t>5</t>
  </si>
  <si>
    <t>Подпрограмма "Прочие мероприятия по объектам внешнего благоустройства"</t>
  </si>
  <si>
    <t>11141</t>
  </si>
  <si>
    <t>4</t>
  </si>
  <si>
    <t xml:space="preserve">Подпрограмма "Организация и содержание мест захоронения" </t>
  </si>
  <si>
    <t>11131</t>
  </si>
  <si>
    <t>3</t>
  </si>
  <si>
    <t xml:space="preserve">Подпрограмма "Озеленение объектов внешнего благоустройства" </t>
  </si>
  <si>
    <t>12111</t>
  </si>
  <si>
    <t>11111</t>
  </si>
  <si>
    <t>2</t>
  </si>
  <si>
    <t>Подпрограмма "Уличное освещение объектов внешнего благоустройства"</t>
  </si>
  <si>
    <t>11121</t>
  </si>
  <si>
    <t>S2690</t>
  </si>
  <si>
    <t>72690</t>
  </si>
  <si>
    <t>1</t>
  </si>
  <si>
    <t xml:space="preserve">Подпрограмма "Строительство и содержание автомобильных дорог и инженерных сооружений на них" </t>
  </si>
  <si>
    <t>Муниципальная программа "Комплексное обеспечение качественного уровня благоустройства территории Анжеро-Судженского городского округа"</t>
  </si>
  <si>
    <t>71140</t>
  </si>
  <si>
    <t>Подпрограмма "Содержание и обустройство сибиреязвенных захоронений и скотомогильников (биотермических ям)"</t>
  </si>
  <si>
    <t>11043</t>
  </si>
  <si>
    <t>Подпрограмма "Осуществление функций по реализации вопросов местного значения в сфере жилищно-коммунального хозяйства"</t>
  </si>
  <si>
    <t>14101</t>
  </si>
  <si>
    <t>12402</t>
  </si>
  <si>
    <t>11302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</si>
  <si>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водоснабжения, водоотведения в соответствии с установленным предельным индексом</t>
  </si>
  <si>
    <t>11203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</si>
  <si>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теплоснабжения в соответствии с установленным предельным индексом</t>
  </si>
  <si>
    <t>Подпрограмма "Компенсация выпадающих доходов (затрат, убытков) организациям, предоставляющим населению услуги по тарифам, не обеспечивающим возмещение издержек"</t>
  </si>
  <si>
    <t>11901</t>
  </si>
  <si>
    <t>Подпрограмма "Организация и осуществление деятельности по снижению рисков и смягчению последствий аварийных ситуаций на объектах жилищно-коммунального комплекса и социальной сферы"</t>
  </si>
  <si>
    <t>18301</t>
  </si>
  <si>
    <t>11301</t>
  </si>
  <si>
    <t>Подпрограмма "Энергосбережение и повышение энергоэффективности экономики"</t>
  </si>
  <si>
    <t>Муниципальная программа "Комплексные мероприятия по повышению энергоэффективности жилищно-коммунального хозяйства на территории Анжеро-Судженского городского округа"</t>
  </si>
  <si>
    <t>15232</t>
  </si>
  <si>
    <t>14011</t>
  </si>
  <si>
    <t>13012</t>
  </si>
  <si>
    <t>11044</t>
  </si>
  <si>
    <t>11042</t>
  </si>
  <si>
    <t>11013</t>
  </si>
  <si>
    <t>50810</t>
  </si>
  <si>
    <t>P5</t>
  </si>
  <si>
    <t>Муниципальная программа "Развитие физической культуры и спорта в муниципальном образовании Анжеро-Судженский городской округ"</t>
  </si>
  <si>
    <t>13005</t>
  </si>
  <si>
    <t>7</t>
  </si>
  <si>
    <t>11005</t>
  </si>
  <si>
    <t>Подпрограмма "Здоровье горожан"</t>
  </si>
  <si>
    <t>70840</t>
  </si>
  <si>
    <t>P1</t>
  </si>
  <si>
    <t>50840</t>
  </si>
  <si>
    <t>55730</t>
  </si>
  <si>
    <t>Подпрограмма "Развитие мер социальной поддержки отдельных категорий граждан"</t>
  </si>
  <si>
    <t>Подпрограмма "Повышение качества и доступности социальных услуг"</t>
  </si>
  <si>
    <t xml:space="preserve">Подпрограмма "Совершенствование системы управления и информационного обеспечения в сфере социальной поддержки и социального обслуживания населения" </t>
  </si>
  <si>
    <t>91001</t>
  </si>
  <si>
    <t xml:space="preserve">Подпрограмма "Поддержка лиц, замешавших муниципальные должности, и должности муниципальной службы муниципального образования "Анжеро-Судженский городской округ" в виде пенсии за выслугу лет" </t>
  </si>
  <si>
    <t>16401</t>
  </si>
  <si>
    <t>15401</t>
  </si>
  <si>
    <t>14401</t>
  </si>
  <si>
    <t>13401</t>
  </si>
  <si>
    <t>12401</t>
  </si>
  <si>
    <t>11403</t>
  </si>
  <si>
    <t>Подпрограмма "Милосердие"</t>
  </si>
  <si>
    <t>Муниципальная программа "Социальная поддержка населения Анжеро-Судженского городского округа"</t>
  </si>
  <si>
    <t>14522</t>
  </si>
  <si>
    <t>14041</t>
  </si>
  <si>
    <t>13421</t>
  </si>
  <si>
    <t>12411</t>
  </si>
  <si>
    <t>11402</t>
  </si>
  <si>
    <t>70420</t>
  </si>
  <si>
    <t xml:space="preserve">Муниципальная программа "Развитие культуры Анжеро-Судженского городского округа" </t>
  </si>
  <si>
    <t>11521</t>
  </si>
  <si>
    <t>11351</t>
  </si>
  <si>
    <t>11041</t>
  </si>
  <si>
    <t>Подпрограмма "Прочие мероприятия в области образования"</t>
  </si>
  <si>
    <t>11213</t>
  </si>
  <si>
    <t>11212</t>
  </si>
  <si>
    <t>80140</t>
  </si>
  <si>
    <t>72060</t>
  </si>
  <si>
    <t>72000</t>
  </si>
  <si>
    <t>70490</t>
  </si>
  <si>
    <t>11012</t>
  </si>
  <si>
    <t>Подпрограмма «Социальные гарантии в системе образования»</t>
  </si>
  <si>
    <t>71940</t>
  </si>
  <si>
    <t>71930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</si>
  <si>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</si>
  <si>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18221</t>
  </si>
  <si>
    <t>17011</t>
  </si>
  <si>
    <t>16071</t>
  </si>
  <si>
    <t>13211</t>
  </si>
  <si>
    <t>13011</t>
  </si>
  <si>
    <t>12221</t>
  </si>
  <si>
    <t>12051</t>
  </si>
  <si>
    <t>11231</t>
  </si>
  <si>
    <t>11211</t>
  </si>
  <si>
    <t>11202</t>
  </si>
  <si>
    <t xml:space="preserve">Подпрограмма "Развитие дошкольного, общего образования и дополнительного образования детей в Анжеро-Судженском городском округе" </t>
  </si>
  <si>
    <t>Муниципальная программа "Развитие системы образования Анжеро-Судженского городского округа"</t>
  </si>
  <si>
    <t>13003</t>
  </si>
  <si>
    <t>14003</t>
  </si>
  <si>
    <t>Подпрограмма "Капитальный ремонт жилья"</t>
  </si>
  <si>
    <t>13201</t>
  </si>
  <si>
    <t>12201</t>
  </si>
  <si>
    <t>11201</t>
  </si>
  <si>
    <t>Подпрограмма "Капитальное строительство"</t>
  </si>
  <si>
    <t>Подпрограмма "Переселение граждан из ветхого и аварийного жилья"</t>
  </si>
  <si>
    <t>L4970</t>
  </si>
  <si>
    <t>Подпрограмма "Обеспечение жильем молодых семей"</t>
  </si>
  <si>
    <t>71850</t>
  </si>
  <si>
    <t>R0820</t>
  </si>
  <si>
    <t>71660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</si>
  <si>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</si>
  <si>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51340</t>
  </si>
  <si>
    <t>51760</t>
  </si>
  <si>
    <t>11501</t>
  </si>
  <si>
    <t>Подпрограмма "Обеспечение жильем отдельных социально незащищенных категорий граждан, нуждающихся в улучшении жилищных условий"</t>
  </si>
  <si>
    <t>Муниципальная программа "Обеспечение доступным и комфортным жильем и коммунальными услугами. Строительство."</t>
  </si>
  <si>
    <t>12161</t>
  </si>
  <si>
    <t>11151</t>
  </si>
  <si>
    <t xml:space="preserve">Подпрограмма "Обеспечение охраны общественного порядка на территории муниципального образования Анжеро-Судженский городской округ" </t>
  </si>
  <si>
    <t>14701</t>
  </si>
  <si>
    <t>12701</t>
  </si>
  <si>
    <t>11701</t>
  </si>
  <si>
    <t>Подпрограмма "Обеспечение пожарной безопасности на территории муниципального образования Анжеро-Судженский городской округ"</t>
  </si>
  <si>
    <t>14002</t>
  </si>
  <si>
    <t>11002</t>
  </si>
  <si>
    <t>Подпрограмма "Снижение рисков и смягчение последствий чрезвычайных ситуаций, повышение безопасности населения и защищенности объектов городского округа от угроз природного и техногенного характера"</t>
  </si>
  <si>
    <t>Муниципальная программа "Обеспечение общественного порядка, пожарной безопасности и защита от чрезвычайных ситуаций"</t>
  </si>
  <si>
    <t>19001</t>
  </si>
  <si>
    <t>18001</t>
  </si>
  <si>
    <t>17002</t>
  </si>
  <si>
    <t>16001</t>
  </si>
  <si>
    <t>15001</t>
  </si>
  <si>
    <t>14001</t>
  </si>
  <si>
    <t>13001</t>
  </si>
  <si>
    <t>12001</t>
  </si>
  <si>
    <t>11001</t>
  </si>
  <si>
    <t>Муниципальная программа "Повышение эффективности управления муниципальной собственностью Анжеро-Судженского городского округа"</t>
  </si>
  <si>
    <t>94041</t>
  </si>
  <si>
    <t>71960</t>
  </si>
  <si>
    <t>17001</t>
  </si>
  <si>
    <t>16131</t>
  </si>
  <si>
    <t>15011</t>
  </si>
  <si>
    <t>13071</t>
  </si>
  <si>
    <t>Подпрограмма "Прочие направления повышения эффективности муниципального управления"</t>
  </si>
  <si>
    <t>79050</t>
  </si>
  <si>
    <t>11401</t>
  </si>
  <si>
    <t>Подпрограмма "Развитие архивного дела на территории Анжеро-Судженского городского округа"</t>
  </si>
  <si>
    <t>11031</t>
  </si>
  <si>
    <t>11021</t>
  </si>
  <si>
    <t>11011</t>
  </si>
  <si>
    <t>Подпрограмма "Повышение эффективности деятельности органа местного самоуправления"</t>
  </si>
  <si>
    <t>Муниципальная программа "Создание условий для повышения эффективности муниципального управления"</t>
  </si>
  <si>
    <t>Направление расходов</t>
  </si>
  <si>
    <t>Основное мероприятие</t>
  </si>
  <si>
    <t>Подпрограмма</t>
  </si>
  <si>
    <t>Государственная программа</t>
  </si>
  <si>
    <t>Приложение 4</t>
  </si>
  <si>
    <t xml:space="preserve">Приложение </t>
  </si>
  <si>
    <t>от ________________2017г. № ________</t>
  </si>
  <si>
    <t>Подраз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</si>
  <si>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</si>
  <si>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11 3 0011131</t>
  </si>
  <si>
    <t>Культура, кинематография</t>
  </si>
  <si>
    <t>Ежемесячные денежные выплаты отдельным категориям граждан, воспитывающих детей в возрасте от 1,5 до 7, лет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</si>
  <si>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Физическая культура и спорт</t>
  </si>
  <si>
    <t>72470</t>
  </si>
  <si>
    <t>14151</t>
  </si>
  <si>
    <t>70480</t>
  </si>
  <si>
    <t>Приложение 3</t>
  </si>
  <si>
    <t>Региональный проект «Старшее поколение»</t>
  </si>
  <si>
    <t>Создание системы долговременного ухода за гражданами пожилого возраста и инвалидами</t>
  </si>
  <si>
    <t>085 P3 51630</t>
  </si>
  <si>
    <t>P3</t>
  </si>
  <si>
    <t>51630</t>
  </si>
  <si>
    <t>Региональный проект «Спорт - норма жизни»</t>
  </si>
  <si>
    <t>Региональный проект «Формирование комфортной городской среды»</t>
  </si>
  <si>
    <t>Строительство, реконструкция и капитальный ремонт образовательных организаций (субсидии муниципальным образованиям)</t>
  </si>
  <si>
    <t xml:space="preserve">051 00 71771 </t>
  </si>
  <si>
    <t>71771</t>
  </si>
  <si>
    <t>10 1 00 11102</t>
  </si>
  <si>
    <t>Разработка схемы газоснабжения Анжеро-Судженского городского округа</t>
  </si>
  <si>
    <t>11102</t>
  </si>
  <si>
    <t>051 00 S3420</t>
  </si>
  <si>
    <t xml:space="preserve">051 00 S1771 </t>
  </si>
  <si>
    <t xml:space="preserve"> S1771 </t>
  </si>
  <si>
    <t>Региональный проект «Обеспечение устойчивого сокращения непригодного для проживания жилищного фонда»</t>
  </si>
  <si>
    <t>F3</t>
  </si>
  <si>
    <t>Реализация мероприятий государственной программы Российской Федерации "Доступная среда"</t>
  </si>
  <si>
    <t>L0270</t>
  </si>
  <si>
    <t>Обеспечение персонифицированного финансирования дополнительного образования детей</t>
  </si>
  <si>
    <t>05 1 00 12003</t>
  </si>
  <si>
    <t>12003</t>
  </si>
  <si>
    <t>S2470</t>
  </si>
  <si>
    <t xml:space="preserve">03 2 00 11701 </t>
  </si>
  <si>
    <t xml:space="preserve">03 1 00 15003 </t>
  </si>
  <si>
    <t>03 1 00 15003</t>
  </si>
  <si>
    <t>15003</t>
  </si>
  <si>
    <t>Организация мероприятий по защите населения и территории от чрезвычайных ситуаций природного и техногенного характера, гражданской обороны, обеспечение пожарной безопасности и безопасности людей на водных объектах в границах Анжеро-Судженского городского округа</t>
  </si>
  <si>
    <t>Финансовая поддержка субъектов малого и среднего предпринимательства</t>
  </si>
  <si>
    <t>14 0 00 15801</t>
  </si>
  <si>
    <t>15801</t>
  </si>
  <si>
    <t>11051</t>
  </si>
  <si>
    <t>Развитие физической культуры и спорта</t>
  </si>
  <si>
    <t>05 1 00 L0270</t>
  </si>
  <si>
    <t>051 00 73420</t>
  </si>
  <si>
    <t>73420</t>
  </si>
  <si>
    <t>Создание виртуальных концертных залов</t>
  </si>
  <si>
    <t>06 0 А3 54530</t>
  </si>
  <si>
    <t>А3</t>
  </si>
  <si>
    <t>54530</t>
  </si>
  <si>
    <t>Региональный проект «Цифровая культура»</t>
  </si>
  <si>
    <t>09 0 00 70510</t>
  </si>
  <si>
    <t>70510</t>
  </si>
  <si>
    <t>Организация профессионального обучения и дополнительного профессионального образования лиц предпенсионного возраста</t>
  </si>
  <si>
    <t>08 1 P3 52940</t>
  </si>
  <si>
    <t>52940</t>
  </si>
  <si>
    <t>05 2 00 11214</t>
  </si>
  <si>
    <t>Социальная поддержка детей-сирот, детей, оставшихся без попечения родителей</t>
  </si>
  <si>
    <t>11214</t>
  </si>
  <si>
    <t>10 3 00 15101</t>
  </si>
  <si>
    <t>15101</t>
  </si>
  <si>
    <t>09 0 00 15233</t>
  </si>
  <si>
    <t>15233</t>
  </si>
  <si>
    <t>10 3 00 16101</t>
  </si>
  <si>
    <t>Финансовое обеспечение затрат ресурсоснабжающим организациям, оказывающим услуги теплоснабжения</t>
  </si>
  <si>
    <t>16101</t>
  </si>
  <si>
    <t>Возмещение недополученных экономически обоснованных затрат топливоснабжающим организациям и затрат, возникших в результате приведения размера платы граждан за твердое топливо, реализуемое населению в соответствии с установленным предельным индексом</t>
  </si>
  <si>
    <t xml:space="preserve">06 0 00 14522 </t>
  </si>
  <si>
    <t>05 1 00 73850</t>
  </si>
  <si>
    <t>05 1 00 S3850</t>
  </si>
  <si>
    <t>73850</t>
  </si>
  <si>
    <t>S3850</t>
  </si>
  <si>
    <t>Субсидия на обеспечение двухразовым бесплатным питанием обучающихся с ограниченными возможностями здоровья в муниципальных общеобразовательных организациях</t>
  </si>
  <si>
    <t xml:space="preserve">Субсидия на обеспечение двухразовым бесплатным питанием обучающихся с ограниченными возможностями здоровья в муниципальных общеобразовательных организациях </t>
  </si>
  <si>
    <t>Возмещение затрат, связанных с опубликованием официальных документов и информации о деятельности органов местного самоуправления Анжеро-Судженского городского округа</t>
  </si>
  <si>
    <t>01 5 00 18002</t>
  </si>
  <si>
    <t>18002</t>
  </si>
  <si>
    <t>Средства массовой информации</t>
  </si>
  <si>
    <t>Периодическая печать и издательства</t>
  </si>
  <si>
    <t xml:space="preserve">01 5 00 18002 </t>
  </si>
  <si>
    <t>Укрепление материально-технической базы организаций отдыха детей и их оздоровления</t>
  </si>
  <si>
    <t>05 1 00 73060</t>
  </si>
  <si>
    <t>73060</t>
  </si>
  <si>
    <t>Государственная поддержка малого и среднего предпринимательства в Кемеровской области (реализация отдельных мероприятий муниципальных программ развития субъектов малого и среднего предпринимательства)</t>
  </si>
  <si>
    <t xml:space="preserve">14 0 I5 71321 </t>
  </si>
  <si>
    <t>I5</t>
  </si>
  <si>
    <t>71321</t>
  </si>
  <si>
    <t>Региональный проект "Акселерация субъектов малого и среднего предпринимательства"</t>
  </si>
  <si>
    <t>14 0 I5 55274</t>
  </si>
  <si>
    <t>55274</t>
  </si>
  <si>
    <t>Государственная поддержка малого и среднего предпринимательства в субъекте Российской Федерации (реализация программы поддержки субъектов малого и среднего предпринимательства в целях их ускоренного развития в моногородах)</t>
  </si>
  <si>
    <t>08 6 Р1 70050</t>
  </si>
  <si>
    <t>Общеэкономические вопросы</t>
  </si>
  <si>
    <t>05 1 00 S3060</t>
  </si>
  <si>
    <t>S3060</t>
  </si>
  <si>
    <t>08 1 00 73720</t>
  </si>
  <si>
    <t>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</si>
  <si>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73720</t>
  </si>
  <si>
    <t xml:space="preserve">14 0 I5 S1321 </t>
  </si>
  <si>
    <t>S1321</t>
  </si>
  <si>
    <t>Е.Н.Зачиняева</t>
  </si>
  <si>
    <t>Ведомственная структура расходов бюджета муниципального образования "Анжеро-Судженский городской округ" на 2020 год и на плановый период 2021 и 2022 годов</t>
  </si>
  <si>
    <t>2022 год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</si>
  <si>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13.03.2008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</si>
  <si>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>Актуализация схем энергоресурсов Анжеро-Судженского городского округа</t>
  </si>
  <si>
    <t>10 1 00 11204</t>
  </si>
  <si>
    <t>11204</t>
  </si>
  <si>
    <t>Теплоснабжение восточного жилого района г.Анжеро-Судженска (строительство теплотрассы)</t>
  </si>
  <si>
    <t>10 1 00 12301</t>
  </si>
  <si>
    <t>12301</t>
  </si>
  <si>
    <t>03 3 00 13006</t>
  </si>
  <si>
    <t>13006</t>
  </si>
  <si>
    <t>05 1 00 11215</t>
  </si>
  <si>
    <t>Обеспечение предоставления бесплатного двухразового горячего питания или компенсационных выплат обучающимся с ограниченными возможностями здоровья муниципальных образовательных организаций Анжеро-Судженского городского округа, реализующих образовательные программы начального общего, основного общего, среднего общего образования</t>
  </si>
  <si>
    <t>11215</t>
  </si>
  <si>
    <t xml:space="preserve">16 0 00 11009 </t>
  </si>
  <si>
    <t>Создание новых туристических программ, а также обновление существующих маршрутов</t>
  </si>
  <si>
    <t xml:space="preserve">16 0 00 12004 </t>
  </si>
  <si>
    <t>16 0 00 12004</t>
  </si>
  <si>
    <t>Создание туристического бренда и формирование положительного имиджа муниципального образования</t>
  </si>
  <si>
    <t>16 0 00 13007</t>
  </si>
  <si>
    <t>Развитие туристической инфраструктуры и единого информационного пространства</t>
  </si>
  <si>
    <t>16 0 00 14004</t>
  </si>
  <si>
    <t>Проведение событийных и обменных мероприятий в сфере культуры и искусства</t>
  </si>
  <si>
    <t>Популяризация объектов культурного наследия на территории Анжеро-Судженского городского округа</t>
  </si>
  <si>
    <t>16 0 00 15004</t>
  </si>
  <si>
    <t>16 0 00 16002</t>
  </si>
  <si>
    <t>Развитие инфраструктуры размещения, отдыха и досуга</t>
  </si>
  <si>
    <t>Муниципальная программа "Развитие туризма на территории Анжеро-Судженского городского округа"</t>
  </si>
  <si>
    <t>16</t>
  </si>
  <si>
    <t xml:space="preserve">11009 </t>
  </si>
  <si>
    <t xml:space="preserve"> 12004 </t>
  </si>
  <si>
    <t xml:space="preserve"> 12004</t>
  </si>
  <si>
    <t>13007</t>
  </si>
  <si>
    <t>14004</t>
  </si>
  <si>
    <t xml:space="preserve"> 15004</t>
  </si>
  <si>
    <t>16002</t>
  </si>
  <si>
    <t>15004</t>
  </si>
  <si>
    <t>313</t>
  </si>
  <si>
    <t>330</t>
  </si>
  <si>
    <t>312</t>
  </si>
  <si>
    <t>08 5 00 73880</t>
  </si>
  <si>
    <t>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</si>
  <si>
    <t>73880</t>
  </si>
  <si>
    <t>08 6 00 73870</t>
  </si>
  <si>
    <t>73870</t>
  </si>
  <si>
    <t>Организация мероприятий при осуществлении деятельности по обращению с животными без владельцев</t>
  </si>
  <si>
    <t>11 А 00 70860</t>
  </si>
  <si>
    <t>Подпрограмма "Организация мероприятий при осуществлении деятельности по обращению с животными без владельцев"</t>
  </si>
  <si>
    <t>А</t>
  </si>
  <si>
    <t>70860</t>
  </si>
  <si>
    <t>11 9 00 71140</t>
  </si>
  <si>
    <t>9</t>
  </si>
  <si>
    <t>11 5 00 71140</t>
  </si>
  <si>
    <t>04 3 F3 67483</t>
  </si>
  <si>
    <t>04 3 F3 67484</t>
  </si>
  <si>
    <t>67483</t>
  </si>
  <si>
    <t>67484</t>
  </si>
  <si>
    <t>04 3 F3 6748S</t>
  </si>
  <si>
    <t>6748S</t>
  </si>
  <si>
    <t>Обеспечение мероприятий по переселению граждан из аварийного жилищного фонда, осуществляемых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</si>
  <si>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осуществляемых за счет средств бюджетов субъектов Российской Федерации, в том числе за счет субсидий из бюджетов субъектов Российской Федерации местным бюджетам</t>
  </si>
  <si>
    <t>Региональный проект «Финансовая поддержка семей при рождении детей»</t>
  </si>
  <si>
    <t>Проведение и организация мероприятий по уничтожению очагов произрастания дикорастущих наркосодержащих растений</t>
  </si>
  <si>
    <t xml:space="preserve">Предоставление компенсации расходов на уплату взноса на капитальный ремонт общего имущества в многоквартирном доме отдельным категориям граждан в соответствии с Законом Кемеровской области - Кузбасса от 08 октября 2019 года № 108-ОЗ «О предоставлении компенсации расходов на уплату взноса на капитальный ремонт общего имущества в многоквартирном доме отдельным категориям граждан» 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</si>
  <si>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07 декабря 2018 года № 104-ОЗ "О некоторых вопросах в сфере погребения и похоронного дела в Кемеровской области"</t>
  </si>
  <si>
    <t>Организация и проведение мероприятий, посвященных празднованию Победы в Великой Отечественной войне</t>
  </si>
  <si>
    <t>2020   год</t>
  </si>
  <si>
    <t>2021   год</t>
  </si>
  <si>
    <t>2022   год</t>
  </si>
  <si>
    <t>Подпрограмма "Повышение качества среды города Анжеро-Судженска"</t>
  </si>
  <si>
    <t>15 0 F2 55551</t>
  </si>
  <si>
    <t>Реализация программ формирования современной городской среды (Благоустройство дворовых территорий Анжеро-Судженского городского округа)</t>
  </si>
  <si>
    <t>55551</t>
  </si>
  <si>
    <t xml:space="preserve">15 0 F2 55552 </t>
  </si>
  <si>
    <t>Реализация программ формирования современной городской среды (Благоустройство иных объектов инфраструктуры городской среды Анжеро-Судженского городского округа)</t>
  </si>
  <si>
    <t>55552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</si>
  <si>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</si>
  <si>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>Молодежная политика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</si>
  <si>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</si>
  <si>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04 3 F3 09502</t>
  </si>
  <si>
    <t>04 3 F3 09602</t>
  </si>
  <si>
    <t>09502</t>
  </si>
  <si>
    <t>09602</t>
  </si>
  <si>
    <t>09 0 00 S0570</t>
  </si>
  <si>
    <t>Реализация мер по подготовке спортивного резерва</t>
  </si>
  <si>
    <t>S0570</t>
  </si>
  <si>
    <t>01 5 00 19031</t>
  </si>
  <si>
    <t>19031</t>
  </si>
  <si>
    <t>Обеспечение комплексной административно-технической деятельности муниципальных учреждений муниципального образования "Анжеро-Судженский городской округ"</t>
  </si>
  <si>
    <t xml:space="preserve">от 19.12.2019 № 238 </t>
  </si>
  <si>
    <t xml:space="preserve"> от ______________________2020г. № _______</t>
  </si>
  <si>
    <t xml:space="preserve"> от _____________________.2020г. № _______</t>
  </si>
  <si>
    <t>Распределение бюджетных ассигнований бюджета муниципального образования "Анжеро-Судженский городской округ" по целевым статьям (муниципальным программам и непрограммным направлениям деятельности), группам видов расходов классификации расходов бюджетов на 2020 год и на плановый период 2021 и 2022 годов</t>
  </si>
  <si>
    <t>Распределение бюджетных ассигнований бюджета муниципального образования "Анжеро-Судженский городской округ"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</si>
</sst>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.0"/>
    <numFmt numFmtId="165" formatCode="0.00000"/>
    <numFmt numFmtId="166" formatCode="0.000"/>
    <numFmt numFmtId="167" formatCode="0.000000"/>
    <numFmt numFmtId="168" formatCode="0.0000"/>
    <numFmt numFmtId="169" formatCode="_-* #,##0.0000\ _₽_-;\-* #,##0.0000\ _₽_-;_-* &quot;-&quot;??\ _₽_-;_-@_-"/>
    <numFmt numFmtId="170" formatCode="_-* #,##0.00000\ _₽_-;\-* #,##0.00000\ _₽_-;_-* &quot;-&quot;??\ _₽_-;_-@_-"/>
    <numFmt numFmtId="171" formatCode="_-* #,##0.000\ _₽_-;\-* #,##0.000\ _₽_-;_-* &quot;-&quot;??\ _₽_-;_-@_-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10"/>
      <color indexed="8"/>
      <name val="Arial"/>
      <family val="2"/>
      <charset val="204"/>
    </font>
    <font>
      <sz val="6"/>
      <name val="Arial CYR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b/>
      <sz val="11"/>
      <name val="Arial Cyr"/>
      <charset val="204"/>
    </font>
    <font>
      <b/>
      <u/>
      <sz val="10"/>
      <name val="Arial"/>
      <family val="2"/>
      <charset val="204"/>
    </font>
    <font>
      <sz val="9"/>
      <name val="Arial Cyr"/>
      <family val="2"/>
      <charset val="204"/>
    </font>
    <font>
      <sz val="10"/>
      <color rgb="FFFF0000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i/>
      <u/>
      <sz val="10"/>
      <name val="Arial Cyr"/>
      <charset val="204"/>
    </font>
    <font>
      <i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2"/>
      <name val="Arial Cyr"/>
      <charset val="204"/>
    </font>
    <font>
      <i/>
      <u/>
      <sz val="10"/>
      <name val="Arial Cyr"/>
      <family val="2"/>
      <charset val="204"/>
    </font>
    <font>
      <i/>
      <u/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Arial Cyr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i/>
      <sz val="10"/>
      <color rgb="FFFF0000"/>
      <name val="Arial Cyr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b/>
      <sz val="12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7" fillId="0" borderId="0" applyFont="0" applyFill="0" applyBorder="0" applyAlignment="0" applyProtection="0"/>
  </cellStyleXfs>
  <cellXfs count="273">
    <xf numFmtId="0" fontId="0" fillId="0" borderId="0" xfId="0"/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9" fillId="0" borderId="0" xfId="0" applyFont="1" applyFill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13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49" fontId="1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0" xfId="0" applyFont="1" applyFill="1" applyAlignment="1">
      <alignment horizontal="center" wrapText="1"/>
    </xf>
    <xf numFmtId="0" fontId="13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right" wrapText="1"/>
    </xf>
    <xf numFmtId="0" fontId="13" fillId="0" borderId="1" xfId="0" applyNumberFormat="1" applyFont="1" applyFill="1" applyBorder="1" applyAlignment="1">
      <alignment horizontal="right" wrapText="1"/>
    </xf>
    <xf numFmtId="0" fontId="16" fillId="2" borderId="1" xfId="0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textRotation="90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textRotation="90" wrapText="1"/>
    </xf>
    <xf numFmtId="0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5" fillId="0" borderId="1" xfId="0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vertical="top" wrapText="1"/>
    </xf>
    <xf numFmtId="0" fontId="14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textRotation="90" wrapText="1"/>
    </xf>
    <xf numFmtId="0" fontId="5" fillId="3" borderId="1" xfId="0" applyFont="1" applyFill="1" applyBorder="1" applyAlignment="1">
      <alignment horizontal="center" textRotation="90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 wrapText="1"/>
    </xf>
    <xf numFmtId="49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13" fillId="3" borderId="1" xfId="0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horizontal="right" wrapText="1"/>
    </xf>
    <xf numFmtId="49" fontId="14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center"/>
    </xf>
    <xf numFmtId="0" fontId="14" fillId="3" borderId="0" xfId="0" applyFont="1" applyFill="1" applyAlignment="1">
      <alignment wrapText="1"/>
    </xf>
    <xf numFmtId="0" fontId="13" fillId="3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2" fillId="3" borderId="0" xfId="0" applyFont="1" applyFill="1" applyAlignment="1">
      <alignment wrapText="1"/>
    </xf>
    <xf numFmtId="0" fontId="7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right" wrapText="1"/>
    </xf>
    <xf numFmtId="0" fontId="17" fillId="3" borderId="1" xfId="0" applyNumberFormat="1" applyFont="1" applyFill="1" applyBorder="1" applyAlignment="1">
      <alignment horizontal="right" wrapText="1"/>
    </xf>
    <xf numFmtId="49" fontId="17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4" fillId="3" borderId="7" xfId="0" applyFont="1" applyFill="1" applyBorder="1" applyAlignment="1">
      <alignment wrapText="1"/>
    </xf>
    <xf numFmtId="0" fontId="14" fillId="3" borderId="0" xfId="0" applyFont="1" applyFill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center" wrapText="1"/>
    </xf>
    <xf numFmtId="0" fontId="12" fillId="3" borderId="0" xfId="0" applyFont="1" applyFill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164" fontId="0" fillId="3" borderId="0" xfId="0" applyNumberFormat="1" applyFont="1" applyFill="1" applyAlignment="1">
      <alignment horizontal="center" wrapText="1"/>
    </xf>
    <xf numFmtId="165" fontId="0" fillId="3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0" borderId="1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166" fontId="0" fillId="0" borderId="0" xfId="0" applyNumberFormat="1" applyFont="1" applyFill="1" applyAlignment="1">
      <alignment horizontal="center" wrapText="1"/>
    </xf>
    <xf numFmtId="164" fontId="21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164" fontId="23" fillId="3" borderId="1" xfId="0" applyNumberFormat="1" applyFont="1" applyFill="1" applyBorder="1" applyAlignment="1">
      <alignment horizontal="center" wrapText="1"/>
    </xf>
    <xf numFmtId="49" fontId="23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23" fillId="3" borderId="1" xfId="0" applyFont="1" applyFill="1" applyBorder="1" applyAlignment="1">
      <alignment wrapText="1"/>
    </xf>
    <xf numFmtId="0" fontId="24" fillId="0" borderId="1" xfId="0" applyNumberFormat="1" applyFont="1" applyFill="1" applyBorder="1" applyAlignment="1">
      <alignment vertical="top" wrapText="1"/>
    </xf>
    <xf numFmtId="0" fontId="25" fillId="2" borderId="1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wrapText="1"/>
    </xf>
    <xf numFmtId="49" fontId="24" fillId="3" borderId="1" xfId="0" applyNumberFormat="1" applyFont="1" applyFill="1" applyBorder="1" applyAlignment="1">
      <alignment horizontal="center"/>
    </xf>
    <xf numFmtId="0" fontId="24" fillId="3" borderId="1" xfId="0" applyNumberFormat="1" applyFont="1" applyFill="1" applyBorder="1" applyAlignment="1">
      <alignment vertical="top" wrapText="1"/>
    </xf>
    <xf numFmtId="49" fontId="25" fillId="2" borderId="1" xfId="0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wrapText="1"/>
    </xf>
    <xf numFmtId="0" fontId="26" fillId="3" borderId="0" xfId="0" applyFont="1" applyFill="1" applyAlignment="1">
      <alignment wrapText="1"/>
    </xf>
    <xf numFmtId="0" fontId="23" fillId="3" borderId="1" xfId="0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0" fontId="27" fillId="0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164" fontId="28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49" fontId="29" fillId="3" borderId="1" xfId="0" quotePrefix="1" applyNumberFormat="1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left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31" fillId="2" borderId="1" xfId="0" quotePrefix="1" applyNumberFormat="1" applyFont="1" applyFill="1" applyBorder="1" applyAlignment="1">
      <alignment horizontal="center" vertical="top" wrapText="1"/>
    </xf>
    <xf numFmtId="0" fontId="32" fillId="0" borderId="0" xfId="0" applyFont="1" applyFill="1" applyAlignment="1">
      <alignment wrapText="1"/>
    </xf>
    <xf numFmtId="1" fontId="32" fillId="0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distributed" wrapText="1"/>
    </xf>
    <xf numFmtId="49" fontId="34" fillId="0" borderId="1" xfId="0" quotePrefix="1" applyNumberFormat="1" applyFont="1" applyFill="1" applyBorder="1" applyAlignment="1">
      <alignment horizontal="distributed" wrapText="1"/>
    </xf>
    <xf numFmtId="49" fontId="32" fillId="0" borderId="1" xfId="0" applyNumberFormat="1" applyFont="1" applyFill="1" applyBorder="1" applyAlignment="1">
      <alignment horizontal="distributed" wrapText="1"/>
    </xf>
    <xf numFmtId="0" fontId="35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vertical="top" wrapText="1"/>
    </xf>
    <xf numFmtId="0" fontId="37" fillId="0" borderId="0" xfId="0" applyFont="1" applyFill="1" applyAlignment="1">
      <alignment vertical="top" wrapText="1"/>
    </xf>
    <xf numFmtId="0" fontId="37" fillId="0" borderId="0" xfId="0" applyFont="1" applyFill="1" applyAlignment="1">
      <alignment horizontal="right" vertical="top" wrapText="1"/>
    </xf>
    <xf numFmtId="0" fontId="18" fillId="0" borderId="1" xfId="0" applyFont="1" applyFill="1" applyBorder="1" applyAlignment="1">
      <alignment horizontal="center" wrapText="1"/>
    </xf>
    <xf numFmtId="49" fontId="36" fillId="0" borderId="1" xfId="0" quotePrefix="1" applyNumberFormat="1" applyFont="1" applyFill="1" applyBorder="1" applyAlignment="1">
      <alignment horizontal="distributed" wrapText="1"/>
    </xf>
    <xf numFmtId="49" fontId="0" fillId="0" borderId="1" xfId="0" applyNumberFormat="1" applyFont="1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 wrapText="1"/>
    </xf>
    <xf numFmtId="1" fontId="20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vertical="center" wrapText="1"/>
    </xf>
    <xf numFmtId="49" fontId="0" fillId="0" borderId="0" xfId="0" applyNumberFormat="1" applyFont="1" applyFill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wrapText="1"/>
    </xf>
    <xf numFmtId="164" fontId="22" fillId="2" borderId="1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0" fillId="0" borderId="8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67" fontId="0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8" fillId="0" borderId="0" xfId="0" applyFont="1" applyFill="1" applyAlignment="1">
      <alignment horizontal="right" vertical="top" wrapText="1"/>
    </xf>
    <xf numFmtId="0" fontId="18" fillId="0" borderId="5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textRotation="90" wrapText="1"/>
    </xf>
    <xf numFmtId="1" fontId="39" fillId="0" borderId="2" xfId="0" applyNumberFormat="1" applyFont="1" applyFill="1" applyBorder="1" applyAlignment="1">
      <alignment horizontal="center" vertical="center" wrapText="1"/>
    </xf>
    <xf numFmtId="168" fontId="0" fillId="0" borderId="0" xfId="0" applyNumberFormat="1" applyFont="1" applyFill="1" applyAlignment="1">
      <alignment horizontal="center" wrapText="1"/>
    </xf>
    <xf numFmtId="164" fontId="14" fillId="4" borderId="1" xfId="0" applyNumberFormat="1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wrapText="1"/>
    </xf>
    <xf numFmtId="0" fontId="42" fillId="0" borderId="0" xfId="0" applyFont="1" applyFill="1" applyAlignment="1">
      <alignment wrapText="1"/>
    </xf>
    <xf numFmtId="165" fontId="19" fillId="0" borderId="0" xfId="0" applyNumberFormat="1" applyFont="1" applyFill="1" applyAlignment="1">
      <alignment horizontal="center" wrapText="1"/>
    </xf>
    <xf numFmtId="0" fontId="43" fillId="4" borderId="0" xfId="0" applyFont="1" applyFill="1" applyAlignment="1">
      <alignment wrapText="1"/>
    </xf>
    <xf numFmtId="0" fontId="44" fillId="4" borderId="0" xfId="0" applyFont="1" applyFill="1" applyAlignment="1">
      <alignment wrapText="1"/>
    </xf>
    <xf numFmtId="49" fontId="45" fillId="2" borderId="1" xfId="0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center" wrapText="1"/>
    </xf>
    <xf numFmtId="49" fontId="45" fillId="3" borderId="1" xfId="0" applyNumberFormat="1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 wrapText="1"/>
    </xf>
    <xf numFmtId="0" fontId="22" fillId="3" borderId="0" xfId="0" applyFont="1" applyFill="1" applyAlignment="1">
      <alignment wrapText="1"/>
    </xf>
    <xf numFmtId="0" fontId="44" fillId="3" borderId="1" xfId="0" applyFont="1" applyFill="1" applyBorder="1" applyAlignment="1">
      <alignment horizontal="right" wrapText="1"/>
    </xf>
    <xf numFmtId="49" fontId="44" fillId="3" borderId="1" xfId="0" applyNumberFormat="1" applyFont="1" applyFill="1" applyBorder="1" applyAlignment="1">
      <alignment horizontal="center" wrapText="1"/>
    </xf>
    <xf numFmtId="0" fontId="43" fillId="3" borderId="1" xfId="0" applyFont="1" applyFill="1" applyBorder="1" applyAlignment="1">
      <alignment horizontal="right" wrapText="1"/>
    </xf>
    <xf numFmtId="49" fontId="43" fillId="3" borderId="1" xfId="0" applyNumberFormat="1" applyFont="1" applyFill="1" applyBorder="1" applyAlignment="1">
      <alignment horizontal="center" wrapText="1"/>
    </xf>
    <xf numFmtId="0" fontId="44" fillId="3" borderId="0" xfId="0" applyFont="1" applyFill="1" applyAlignment="1">
      <alignment wrapText="1"/>
    </xf>
    <xf numFmtId="0" fontId="43" fillId="3" borderId="0" xfId="0" applyFont="1" applyFill="1" applyAlignment="1">
      <alignment wrapText="1"/>
    </xf>
    <xf numFmtId="1" fontId="35" fillId="0" borderId="1" xfId="0" applyNumberFormat="1" applyFont="1" applyFill="1" applyBorder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0" fontId="46" fillId="0" borderId="0" xfId="0" applyFont="1" applyFill="1" applyAlignment="1">
      <alignment wrapText="1"/>
    </xf>
    <xf numFmtId="0" fontId="46" fillId="0" borderId="0" xfId="0" applyFont="1" applyFill="1" applyAlignment="1">
      <alignment horizontal="right" wrapText="1"/>
    </xf>
    <xf numFmtId="0" fontId="46" fillId="3" borderId="0" xfId="0" applyFont="1" applyFill="1" applyAlignment="1">
      <alignment wrapText="1"/>
    </xf>
    <xf numFmtId="164" fontId="43" fillId="0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9" fontId="0" fillId="0" borderId="1" xfId="0" applyNumberFormat="1" applyFont="1" applyFill="1" applyBorder="1" applyAlignment="1">
      <alignment horizontal="right" wrapText="1"/>
    </xf>
    <xf numFmtId="43" fontId="16" fillId="0" borderId="1" xfId="2" applyFont="1" applyFill="1" applyBorder="1" applyAlignment="1">
      <alignment horizontal="center" wrapText="1"/>
    </xf>
    <xf numFmtId="43" fontId="4" fillId="0" borderId="1" xfId="2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left" wrapText="1"/>
    </xf>
    <xf numFmtId="16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169" fontId="16" fillId="2" borderId="1" xfId="2" applyNumberFormat="1" applyFont="1" applyFill="1" applyBorder="1" applyAlignment="1">
      <alignment horizontal="center" wrapText="1"/>
    </xf>
    <xf numFmtId="170" fontId="16" fillId="2" borderId="1" xfId="2" applyNumberFormat="1" applyFont="1" applyFill="1" applyBorder="1" applyAlignment="1">
      <alignment horizontal="center" wrapText="1"/>
    </xf>
    <xf numFmtId="171" fontId="16" fillId="2" borderId="1" xfId="2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right" wrapText="1"/>
    </xf>
    <xf numFmtId="49" fontId="0" fillId="4" borderId="1" xfId="0" applyNumberFormat="1" applyFont="1" applyFill="1" applyBorder="1" applyAlignment="1">
      <alignment horizontal="center" wrapText="1"/>
    </xf>
    <xf numFmtId="0" fontId="14" fillId="4" borderId="7" xfId="0" applyFont="1" applyFill="1" applyBorder="1" applyAlignment="1">
      <alignment wrapText="1"/>
    </xf>
    <xf numFmtId="0" fontId="14" fillId="4" borderId="1" xfId="0" applyFont="1" applyFill="1" applyBorder="1" applyAlignment="1">
      <alignment horizontal="right" wrapText="1"/>
    </xf>
    <xf numFmtId="49" fontId="14" fillId="4" borderId="1" xfId="0" applyNumberFormat="1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171" fontId="4" fillId="0" borderId="1" xfId="2" applyNumberFormat="1" applyFont="1" applyFill="1" applyBorder="1" applyAlignment="1">
      <alignment horizontal="center" wrapText="1"/>
    </xf>
    <xf numFmtId="0" fontId="14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3" fillId="4" borderId="1" xfId="0" applyNumberFormat="1" applyFont="1" applyFill="1" applyBorder="1" applyAlignment="1">
      <alignment horizontal="right" wrapText="1"/>
    </xf>
    <xf numFmtId="49" fontId="13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 wrapText="1"/>
    </xf>
    <xf numFmtId="0" fontId="13" fillId="4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right" wrapText="1"/>
    </xf>
    <xf numFmtId="0" fontId="13" fillId="4" borderId="1" xfId="0" applyNumberFormat="1" applyFont="1" applyFill="1" applyBorder="1" applyAlignment="1">
      <alignment vertical="top" wrapText="1"/>
    </xf>
    <xf numFmtId="0" fontId="11" fillId="4" borderId="1" xfId="0" applyFont="1" applyFill="1" applyBorder="1" applyAlignment="1">
      <alignment wrapText="1"/>
    </xf>
    <xf numFmtId="0" fontId="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41" fillId="0" borderId="0" xfId="0" applyFont="1" applyFill="1" applyAlignment="1">
      <alignment horizontal="right" wrapText="1"/>
    </xf>
    <xf numFmtId="0" fontId="12" fillId="0" borderId="0" xfId="0" applyNumberFormat="1" applyFont="1" applyFill="1" applyAlignment="1">
      <alignment horizontal="center" wrapText="1"/>
    </xf>
    <xf numFmtId="49" fontId="46" fillId="0" borderId="4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center" vertical="top" wrapText="1"/>
    </xf>
    <xf numFmtId="0" fontId="37" fillId="0" borderId="0" xfId="0" applyNumberFormat="1" applyFont="1" applyFill="1" applyBorder="1" applyAlignment="1">
      <alignment horizontal="right" vertical="top" wrapText="1"/>
    </xf>
    <xf numFmtId="0" fontId="37" fillId="0" borderId="4" xfId="0" applyNumberFormat="1" applyFont="1" applyFill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/&#1056;&#1045;&#1064;&#1045;&#1053;&#1048;&#1071;%20&#1043;&#1054;&#1056;&#1057;&#1054;&#1042;&#1045;&#1058;&#1040;%20&#1053;&#1040;&#1056;&#1054;&#1044;&#1053;&#1067;&#1061;%20&#1044;&#1045;&#1055;&#1059;&#1058;&#1040;&#1058;&#1054;&#1042;/&#1048;&#1079;&#1084;&#1077;&#1085;&#1077;&#1085;&#1080;&#1103;%202018/&#1048;&#1079;&#1084;&#1077;&#1085;&#1077;&#1085;&#1080;&#1103;%20&#1089;&#1077;&#1085;&#1090;&#1103;&#1073;&#1088;&#1100;%202018/&#1087;&#1088;.%205%20&#1082;%20&#1088;&#1077;&#1096;&#1077;&#1085;&#1080;&#1102;%20-%20&#1088;&#1072;&#1089;&#1093;&#1086;&#1076;&#1099;%20&#1087;&#1086;%20&#1074;&#1077;&#1076;%20&#1089;&#1090;&#1088;&#1091;&#1082;&#1090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ый"/>
      <sheetName val="первоначальный 1 в снд"/>
      <sheetName val="перечень ПНО"/>
    </sheetNames>
    <sheetDataSet>
      <sheetData sheetId="0" refreshError="1">
        <row r="603">
          <cell r="G603">
            <v>2507048.4</v>
          </cell>
          <cell r="H603">
            <v>2241776.2000000002</v>
          </cell>
          <cell r="I603">
            <v>2211321.6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1"/>
  <sheetViews>
    <sheetView tabSelected="1" zoomScaleNormal="100" workbookViewId="0">
      <selection activeCell="A53" sqref="A53"/>
    </sheetView>
  </sheetViews>
  <sheetFormatPr defaultColWidth="9.140625" defaultRowHeight="12.75" x14ac:dyDescent="0.2"/>
  <cols>
    <col min="1" max="1" width="53.5703125" style="197" customWidth="1"/>
    <col min="2" max="2" width="6.28515625" style="197" customWidth="1"/>
    <col min="3" max="3" width="4.85546875" style="235" customWidth="1"/>
    <col min="4" max="4" width="6.140625" style="235" customWidth="1"/>
    <col min="5" max="5" width="15.42578125" style="235" customWidth="1"/>
    <col min="6" max="6" width="5.85546875" style="235" customWidth="1"/>
    <col min="7" max="7" width="19.7109375" style="235" customWidth="1"/>
    <col min="8" max="8" width="17.85546875" style="235" customWidth="1"/>
    <col min="9" max="9" width="16.28515625" style="235" customWidth="1"/>
    <col min="10" max="10" width="0.28515625" style="73" hidden="1" customWidth="1"/>
    <col min="11" max="17" width="9.140625" style="73" hidden="1" customWidth="1"/>
    <col min="18" max="18" width="9.140625" style="197"/>
    <col min="19" max="19" width="11.5703125" style="197" bestFit="1" customWidth="1"/>
    <col min="20" max="20" width="9.5703125" style="197" bestFit="1" customWidth="1"/>
    <col min="21" max="16384" width="9.140625" style="197"/>
  </cols>
  <sheetData>
    <row r="1" spans="1:20" ht="18.75" x14ac:dyDescent="0.3">
      <c r="A1" s="259" t="s">
        <v>394</v>
      </c>
      <c r="B1" s="259"/>
      <c r="C1" s="259"/>
      <c r="D1" s="259"/>
      <c r="E1" s="259"/>
      <c r="F1" s="259"/>
      <c r="G1" s="259"/>
      <c r="H1" s="259"/>
      <c r="I1" s="259"/>
    </row>
    <row r="2" spans="1:20" ht="18.75" x14ac:dyDescent="0.3">
      <c r="A2" s="259" t="s">
        <v>76</v>
      </c>
      <c r="B2" s="259"/>
      <c r="C2" s="259"/>
      <c r="D2" s="259"/>
      <c r="E2" s="259"/>
      <c r="F2" s="259"/>
      <c r="G2" s="259"/>
      <c r="H2" s="259"/>
      <c r="I2" s="259"/>
    </row>
    <row r="3" spans="1:20" ht="18.75" x14ac:dyDescent="0.3">
      <c r="A3" s="259" t="s">
        <v>778</v>
      </c>
      <c r="B3" s="259"/>
      <c r="C3" s="259"/>
      <c r="D3" s="259"/>
      <c r="E3" s="259"/>
      <c r="F3" s="259"/>
      <c r="G3" s="259"/>
      <c r="H3" s="259"/>
      <c r="I3" s="259"/>
    </row>
    <row r="4" spans="1:20" ht="16.5" customHeight="1" x14ac:dyDescent="0.2">
      <c r="A4" s="258"/>
      <c r="B4" s="258"/>
      <c r="C4" s="258"/>
      <c r="D4" s="258"/>
      <c r="E4" s="258"/>
      <c r="F4" s="258"/>
      <c r="G4" s="258"/>
      <c r="H4" s="258"/>
      <c r="I4" s="258"/>
    </row>
    <row r="5" spans="1:20" x14ac:dyDescent="0.2">
      <c r="A5" s="265" t="s">
        <v>81</v>
      </c>
      <c r="B5" s="265"/>
      <c r="C5" s="265"/>
      <c r="D5" s="265"/>
      <c r="E5" s="265"/>
      <c r="F5" s="265"/>
      <c r="G5" s="265"/>
      <c r="H5" s="265"/>
      <c r="I5" s="265"/>
    </row>
    <row r="6" spans="1:20" x14ac:dyDescent="0.2">
      <c r="A6" s="265" t="s">
        <v>76</v>
      </c>
      <c r="B6" s="265"/>
      <c r="C6" s="265"/>
      <c r="D6" s="265"/>
      <c r="E6" s="265"/>
      <c r="F6" s="265"/>
      <c r="G6" s="265"/>
      <c r="H6" s="265"/>
      <c r="I6" s="265"/>
    </row>
    <row r="7" spans="1:20" x14ac:dyDescent="0.2">
      <c r="A7" s="265" t="s">
        <v>776</v>
      </c>
      <c r="B7" s="265"/>
      <c r="C7" s="265"/>
      <c r="D7" s="265"/>
      <c r="E7" s="265"/>
      <c r="F7" s="265"/>
      <c r="G7" s="265"/>
      <c r="H7" s="265"/>
      <c r="I7" s="265"/>
    </row>
    <row r="8" spans="1:20" ht="5.25" customHeight="1" x14ac:dyDescent="0.2"/>
    <row r="9" spans="1:20" s="112" customFormat="1" ht="57.75" customHeight="1" x14ac:dyDescent="0.3">
      <c r="A9" s="266" t="s">
        <v>687</v>
      </c>
      <c r="B9" s="266"/>
      <c r="C9" s="266"/>
      <c r="D9" s="266"/>
      <c r="E9" s="266"/>
      <c r="F9" s="266"/>
      <c r="G9" s="266"/>
      <c r="H9" s="266"/>
      <c r="I9" s="266"/>
      <c r="J9" s="99"/>
      <c r="K9" s="99"/>
      <c r="L9" s="99"/>
      <c r="M9" s="99"/>
      <c r="N9" s="99"/>
      <c r="O9" s="99"/>
      <c r="P9" s="99"/>
      <c r="Q9" s="99"/>
    </row>
    <row r="10" spans="1:20" s="221" customFormat="1" ht="25.5" customHeight="1" thickBot="1" x14ac:dyDescent="0.25">
      <c r="A10" s="267"/>
      <c r="B10" s="267"/>
      <c r="C10" s="267"/>
      <c r="D10" s="267"/>
      <c r="E10" s="267"/>
      <c r="F10" s="267"/>
      <c r="G10" s="267"/>
      <c r="I10" s="222" t="s">
        <v>60</v>
      </c>
      <c r="J10" s="223"/>
      <c r="K10" s="223"/>
      <c r="L10" s="223"/>
      <c r="M10" s="223"/>
      <c r="N10" s="223"/>
      <c r="O10" s="223"/>
      <c r="P10" s="223"/>
      <c r="Q10" s="223"/>
    </row>
    <row r="11" spans="1:20" ht="13.5" customHeight="1" x14ac:dyDescent="0.2">
      <c r="A11" s="268"/>
      <c r="B11" s="263" t="s">
        <v>57</v>
      </c>
      <c r="C11" s="263" t="s">
        <v>6</v>
      </c>
      <c r="D11" s="263" t="s">
        <v>7</v>
      </c>
      <c r="E11" s="263" t="s">
        <v>8</v>
      </c>
      <c r="F11" s="263" t="s">
        <v>9</v>
      </c>
      <c r="G11" s="260" t="s">
        <v>328</v>
      </c>
      <c r="H11" s="260" t="s">
        <v>360</v>
      </c>
      <c r="I11" s="260" t="s">
        <v>688</v>
      </c>
    </row>
    <row r="12" spans="1:20" ht="30" customHeight="1" x14ac:dyDescent="0.2">
      <c r="A12" s="269"/>
      <c r="B12" s="264"/>
      <c r="C12" s="264"/>
      <c r="D12" s="264"/>
      <c r="E12" s="264"/>
      <c r="F12" s="264"/>
      <c r="G12" s="261"/>
      <c r="H12" s="261"/>
      <c r="I12" s="261"/>
    </row>
    <row r="13" spans="1:20" s="220" customFormat="1" ht="11.25" x14ac:dyDescent="0.2">
      <c r="A13" s="162">
        <v>1</v>
      </c>
      <c r="B13" s="162">
        <v>2</v>
      </c>
      <c r="C13" s="162">
        <v>3</v>
      </c>
      <c r="D13" s="162">
        <v>4</v>
      </c>
      <c r="E13" s="162">
        <v>5</v>
      </c>
      <c r="F13" s="162">
        <v>6</v>
      </c>
      <c r="G13" s="219">
        <v>7</v>
      </c>
      <c r="H13" s="219">
        <v>8</v>
      </c>
      <c r="I13" s="219">
        <v>9</v>
      </c>
    </row>
    <row r="14" spans="1:20" s="10" customFormat="1" ht="18" customHeight="1" x14ac:dyDescent="0.2">
      <c r="A14" s="35" t="s">
        <v>43</v>
      </c>
      <c r="B14" s="36">
        <v>900</v>
      </c>
      <c r="C14" s="37"/>
      <c r="D14" s="37"/>
      <c r="E14" s="37"/>
      <c r="F14" s="47"/>
      <c r="G14" s="38">
        <f>G15+G73+G104+G124+G128+G155+G89+G159+G151</f>
        <v>690867.09014999995</v>
      </c>
      <c r="H14" s="38">
        <f>H15+H73+H104+H124+H128+H155+H89+H159+H151</f>
        <v>590747.06000000006</v>
      </c>
      <c r="I14" s="38">
        <f>I15+I73+I104+I124+I128+I155+I89+I159+I151</f>
        <v>868554.33200000005</v>
      </c>
      <c r="T14" s="233"/>
    </row>
    <row r="15" spans="1:20" s="63" customFormat="1" x14ac:dyDescent="0.2">
      <c r="A15" s="57" t="s">
        <v>58</v>
      </c>
      <c r="B15" s="58">
        <v>900</v>
      </c>
      <c r="C15" s="59" t="s">
        <v>10</v>
      </c>
      <c r="D15" s="60"/>
      <c r="E15" s="60"/>
      <c r="F15" s="61"/>
      <c r="G15" s="62">
        <f>G16+G19+G41+G38+G35</f>
        <v>109105.59999999999</v>
      </c>
      <c r="H15" s="62">
        <f>H16+H19+H41+H38+H35</f>
        <v>85928</v>
      </c>
      <c r="I15" s="62">
        <f>I16+I19+I41+I38+I35</f>
        <v>83795.8</v>
      </c>
    </row>
    <row r="16" spans="1:20" s="68" customFormat="1" ht="38.25" x14ac:dyDescent="0.2">
      <c r="A16" s="64" t="s">
        <v>11</v>
      </c>
      <c r="B16" s="65">
        <v>900</v>
      </c>
      <c r="C16" s="66" t="s">
        <v>10</v>
      </c>
      <c r="D16" s="66" t="s">
        <v>12</v>
      </c>
      <c r="E16" s="66"/>
      <c r="F16" s="66"/>
      <c r="G16" s="67">
        <f t="shared" ref="G16:I16" si="0">G17</f>
        <v>2391.9</v>
      </c>
      <c r="H16" s="67">
        <f t="shared" si="0"/>
        <v>2191.9</v>
      </c>
      <c r="I16" s="67">
        <f t="shared" si="0"/>
        <v>2191.9</v>
      </c>
    </row>
    <row r="17" spans="1:17" ht="25.5" x14ac:dyDescent="0.2">
      <c r="A17" s="18" t="s">
        <v>311</v>
      </c>
      <c r="B17" s="22">
        <v>900</v>
      </c>
      <c r="C17" s="19" t="s">
        <v>10</v>
      </c>
      <c r="D17" s="19" t="s">
        <v>12</v>
      </c>
      <c r="E17" s="19" t="s">
        <v>131</v>
      </c>
      <c r="F17" s="19"/>
      <c r="G17" s="20">
        <f>+G18</f>
        <v>2391.9</v>
      </c>
      <c r="H17" s="20">
        <f t="shared" ref="H17:I17" si="1">+H18</f>
        <v>2191.9</v>
      </c>
      <c r="I17" s="20">
        <f t="shared" si="1"/>
        <v>2191.9</v>
      </c>
      <c r="J17" s="103"/>
      <c r="K17" s="103"/>
      <c r="L17" s="103"/>
      <c r="M17" s="103"/>
      <c r="N17" s="103"/>
      <c r="O17" s="103"/>
      <c r="P17" s="103"/>
      <c r="Q17" s="103"/>
    </row>
    <row r="18" spans="1:17" s="26" customFormat="1" ht="51.75" customHeight="1" x14ac:dyDescent="0.2">
      <c r="A18" s="30" t="s">
        <v>64</v>
      </c>
      <c r="B18" s="32">
        <v>900</v>
      </c>
      <c r="C18" s="24" t="s">
        <v>10</v>
      </c>
      <c r="D18" s="24" t="s">
        <v>12</v>
      </c>
      <c r="E18" s="24" t="s">
        <v>131</v>
      </c>
      <c r="F18" s="27" t="s">
        <v>65</v>
      </c>
      <c r="G18" s="25">
        <v>2391.9</v>
      </c>
      <c r="H18" s="25">
        <f>1683.5+508.4</f>
        <v>2191.9</v>
      </c>
      <c r="I18" s="25">
        <f>1683.5+508.4</f>
        <v>2191.9</v>
      </c>
      <c r="J18" s="104"/>
      <c r="K18" s="104"/>
      <c r="L18" s="104"/>
      <c r="M18" s="104"/>
      <c r="N18" s="104"/>
      <c r="O18" s="104"/>
      <c r="P18" s="104"/>
      <c r="Q18" s="104"/>
    </row>
    <row r="19" spans="1:17" s="68" customFormat="1" ht="51" x14ac:dyDescent="0.2">
      <c r="A19" s="64" t="s">
        <v>15</v>
      </c>
      <c r="B19" s="65">
        <v>900</v>
      </c>
      <c r="C19" s="66" t="s">
        <v>10</v>
      </c>
      <c r="D19" s="66" t="s">
        <v>16</v>
      </c>
      <c r="E19" s="66"/>
      <c r="F19" s="66"/>
      <c r="G19" s="67">
        <f>G20+G23+G26+G32+G30</f>
        <v>61030.399999999994</v>
      </c>
      <c r="H19" s="67">
        <f>H20+H23+H26+H32+H30</f>
        <v>44237.7</v>
      </c>
      <c r="I19" s="67">
        <f>I20+I23+I26+I32+I30</f>
        <v>42994.299999999996</v>
      </c>
    </row>
    <row r="20" spans="1:17" s="21" customFormat="1" ht="25.5" x14ac:dyDescent="0.2">
      <c r="A20" s="18" t="s">
        <v>132</v>
      </c>
      <c r="B20" s="22">
        <v>900</v>
      </c>
      <c r="C20" s="19" t="s">
        <v>10</v>
      </c>
      <c r="D20" s="19" t="s">
        <v>16</v>
      </c>
      <c r="E20" s="19" t="s">
        <v>85</v>
      </c>
      <c r="F20" s="19"/>
      <c r="G20" s="20">
        <f>G21+G22</f>
        <v>486.20000000000005</v>
      </c>
      <c r="H20" s="20">
        <f>H21+H22</f>
        <v>486.20000000000005</v>
      </c>
      <c r="I20" s="20">
        <f>I21+I22</f>
        <v>486.20000000000005</v>
      </c>
    </row>
    <row r="21" spans="1:17" s="26" customFormat="1" ht="52.5" customHeight="1" x14ac:dyDescent="0.2">
      <c r="A21" s="23" t="s">
        <v>64</v>
      </c>
      <c r="B21" s="31">
        <v>900</v>
      </c>
      <c r="C21" s="24" t="s">
        <v>10</v>
      </c>
      <c r="D21" s="24" t="s">
        <v>16</v>
      </c>
      <c r="E21" s="24" t="s">
        <v>85</v>
      </c>
      <c r="F21" s="27" t="s">
        <v>65</v>
      </c>
      <c r="G21" s="25">
        <f>351.1+106</f>
        <v>457.1</v>
      </c>
      <c r="H21" s="25">
        <f>351.1+106</f>
        <v>457.1</v>
      </c>
      <c r="I21" s="25">
        <f>351.1+106</f>
        <v>457.1</v>
      </c>
    </row>
    <row r="22" spans="1:17" s="26" customFormat="1" ht="25.5" x14ac:dyDescent="0.2">
      <c r="A22" s="23" t="s">
        <v>125</v>
      </c>
      <c r="B22" s="31">
        <v>900</v>
      </c>
      <c r="C22" s="24" t="s">
        <v>10</v>
      </c>
      <c r="D22" s="24" t="s">
        <v>16</v>
      </c>
      <c r="E22" s="24" t="s">
        <v>85</v>
      </c>
      <c r="F22" s="27" t="s">
        <v>66</v>
      </c>
      <c r="G22" s="25">
        <v>29.1</v>
      </c>
      <c r="H22" s="25">
        <v>29.1</v>
      </c>
      <c r="I22" s="25">
        <v>29.1</v>
      </c>
    </row>
    <row r="23" spans="1:17" s="73" customFormat="1" ht="15" customHeight="1" x14ac:dyDescent="0.2">
      <c r="A23" s="69" t="s">
        <v>133</v>
      </c>
      <c r="B23" s="70">
        <v>900</v>
      </c>
      <c r="C23" s="71" t="s">
        <v>10</v>
      </c>
      <c r="D23" s="71" t="s">
        <v>16</v>
      </c>
      <c r="E23" s="71" t="s">
        <v>84</v>
      </c>
      <c r="F23" s="71"/>
      <c r="G23" s="72">
        <f>G24+G25</f>
        <v>115.00000000000001</v>
      </c>
      <c r="H23" s="72">
        <f>H24+H25</f>
        <v>115.00000000000001</v>
      </c>
      <c r="I23" s="72">
        <f>I24+I25</f>
        <v>115.00000000000001</v>
      </c>
    </row>
    <row r="24" spans="1:17" s="78" customFormat="1" ht="51.75" customHeight="1" x14ac:dyDescent="0.2">
      <c r="A24" s="79" t="s">
        <v>64</v>
      </c>
      <c r="B24" s="80">
        <v>900</v>
      </c>
      <c r="C24" s="76" t="s">
        <v>10</v>
      </c>
      <c r="D24" s="76" t="s">
        <v>16</v>
      </c>
      <c r="E24" s="76" t="s">
        <v>84</v>
      </c>
      <c r="F24" s="77" t="s">
        <v>65</v>
      </c>
      <c r="G24" s="56">
        <f>86.9+26.2</f>
        <v>113.10000000000001</v>
      </c>
      <c r="H24" s="56">
        <f>86.9+26.2</f>
        <v>113.10000000000001</v>
      </c>
      <c r="I24" s="56">
        <f>86.9+26.2</f>
        <v>113.10000000000001</v>
      </c>
    </row>
    <row r="25" spans="1:17" s="78" customFormat="1" ht="25.5" x14ac:dyDescent="0.2">
      <c r="A25" s="79" t="s">
        <v>125</v>
      </c>
      <c r="B25" s="80">
        <v>900</v>
      </c>
      <c r="C25" s="76" t="s">
        <v>10</v>
      </c>
      <c r="D25" s="76" t="s">
        <v>16</v>
      </c>
      <c r="E25" s="76" t="s">
        <v>84</v>
      </c>
      <c r="F25" s="77" t="s">
        <v>66</v>
      </c>
      <c r="G25" s="56">
        <v>1.9</v>
      </c>
      <c r="H25" s="56">
        <v>1.9</v>
      </c>
      <c r="I25" s="56">
        <v>1.9</v>
      </c>
    </row>
    <row r="26" spans="1:17" ht="25.5" x14ac:dyDescent="0.2">
      <c r="A26" s="18" t="s">
        <v>311</v>
      </c>
      <c r="B26" s="22">
        <v>900</v>
      </c>
      <c r="C26" s="19" t="s">
        <v>10</v>
      </c>
      <c r="D26" s="19" t="s">
        <v>16</v>
      </c>
      <c r="E26" s="19" t="s">
        <v>134</v>
      </c>
      <c r="F26" s="19"/>
      <c r="G26" s="20">
        <f>SUM(G27:G29)</f>
        <v>57730.2</v>
      </c>
      <c r="H26" s="20">
        <f>SUM(H27:H29)</f>
        <v>42554.5</v>
      </c>
      <c r="I26" s="20">
        <f>SUM(I27:I29)</f>
        <v>41311.1</v>
      </c>
      <c r="J26" s="103"/>
      <c r="K26" s="103"/>
      <c r="L26" s="103"/>
      <c r="M26" s="103"/>
      <c r="N26" s="103"/>
      <c r="O26" s="103"/>
      <c r="P26" s="103"/>
      <c r="Q26" s="103"/>
    </row>
    <row r="27" spans="1:17" s="104" customFormat="1" ht="51" customHeight="1" x14ac:dyDescent="0.2">
      <c r="A27" s="256" t="s">
        <v>64</v>
      </c>
      <c r="B27" s="249">
        <v>900</v>
      </c>
      <c r="C27" s="244" t="s">
        <v>10</v>
      </c>
      <c r="D27" s="244" t="s">
        <v>16</v>
      </c>
      <c r="E27" s="244" t="s">
        <v>134</v>
      </c>
      <c r="F27" s="250" t="s">
        <v>65</v>
      </c>
      <c r="G27" s="192">
        <f>41179.3-1471.8+303</f>
        <v>40010.5</v>
      </c>
      <c r="H27" s="192">
        <f>40832.3-2056.8+447.1</f>
        <v>39222.6</v>
      </c>
      <c r="I27" s="192">
        <f>40832.3-2056.8+447.1</f>
        <v>39222.6</v>
      </c>
    </row>
    <row r="28" spans="1:17" s="104" customFormat="1" ht="25.5" x14ac:dyDescent="0.2">
      <c r="A28" s="247" t="s">
        <v>74</v>
      </c>
      <c r="B28" s="249">
        <v>900</v>
      </c>
      <c r="C28" s="244" t="s">
        <v>10</v>
      </c>
      <c r="D28" s="244" t="s">
        <v>16</v>
      </c>
      <c r="E28" s="244" t="s">
        <v>134</v>
      </c>
      <c r="F28" s="250" t="s">
        <v>66</v>
      </c>
      <c r="G28" s="192">
        <f>13562.6+5821.2-112.3+85.4-1862.2</f>
        <v>17494.7</v>
      </c>
      <c r="H28" s="192">
        <f>4258.6+940.5-1909.2</f>
        <v>3289.9000000000005</v>
      </c>
      <c r="I28" s="192">
        <f>3015.2+940.5-1909.2</f>
        <v>2046.4999999999998</v>
      </c>
    </row>
    <row r="29" spans="1:17" s="104" customFormat="1" x14ac:dyDescent="0.2">
      <c r="A29" s="247" t="s">
        <v>70</v>
      </c>
      <c r="B29" s="243">
        <v>900</v>
      </c>
      <c r="C29" s="244" t="s">
        <v>10</v>
      </c>
      <c r="D29" s="244" t="s">
        <v>16</v>
      </c>
      <c r="E29" s="244" t="s">
        <v>134</v>
      </c>
      <c r="F29" s="244" t="s">
        <v>71</v>
      </c>
      <c r="G29" s="192">
        <f>262-37</f>
        <v>225</v>
      </c>
      <c r="H29" s="192">
        <v>42</v>
      </c>
      <c r="I29" s="192">
        <v>42</v>
      </c>
    </row>
    <row r="30" spans="1:17" s="73" customFormat="1" ht="25.5" x14ac:dyDescent="0.2">
      <c r="A30" s="83" t="s">
        <v>152</v>
      </c>
      <c r="B30" s="83">
        <v>900</v>
      </c>
      <c r="C30" s="71" t="s">
        <v>10</v>
      </c>
      <c r="D30" s="71" t="s">
        <v>16</v>
      </c>
      <c r="E30" s="71" t="s">
        <v>151</v>
      </c>
      <c r="F30" s="84"/>
      <c r="G30" s="85">
        <f>G31</f>
        <v>300</v>
      </c>
      <c r="H30" s="85">
        <f>H31</f>
        <v>0</v>
      </c>
      <c r="I30" s="85">
        <f>I31</f>
        <v>0</v>
      </c>
    </row>
    <row r="31" spans="1:17" s="73" customFormat="1" ht="25.5" x14ac:dyDescent="0.2">
      <c r="A31" s="28" t="s">
        <v>74</v>
      </c>
      <c r="B31" s="81">
        <v>900</v>
      </c>
      <c r="C31" s="76" t="s">
        <v>10</v>
      </c>
      <c r="D31" s="76" t="s">
        <v>16</v>
      </c>
      <c r="E31" s="76" t="s">
        <v>151</v>
      </c>
      <c r="F31" s="76" t="s">
        <v>66</v>
      </c>
      <c r="G31" s="56">
        <v>300</v>
      </c>
      <c r="H31" s="56"/>
      <c r="I31" s="56"/>
    </row>
    <row r="32" spans="1:17" s="21" customFormat="1" ht="25.5" x14ac:dyDescent="0.2">
      <c r="A32" s="18" t="s">
        <v>311</v>
      </c>
      <c r="B32" s="22">
        <v>900</v>
      </c>
      <c r="C32" s="19" t="s">
        <v>10</v>
      </c>
      <c r="D32" s="19" t="s">
        <v>16</v>
      </c>
      <c r="E32" s="19" t="s">
        <v>135</v>
      </c>
      <c r="F32" s="19"/>
      <c r="G32" s="20">
        <f>G33+G34</f>
        <v>2399.0000000000005</v>
      </c>
      <c r="H32" s="20">
        <f>H33+H34</f>
        <v>1082.0000000000002</v>
      </c>
      <c r="I32" s="20">
        <f>I33+I34</f>
        <v>1082.0000000000002</v>
      </c>
      <c r="J32" s="103"/>
      <c r="K32" s="103"/>
      <c r="L32" s="103"/>
      <c r="M32" s="103"/>
      <c r="N32" s="103"/>
      <c r="O32" s="103"/>
      <c r="P32" s="103"/>
      <c r="Q32" s="103"/>
    </row>
    <row r="33" spans="1:17" s="104" customFormat="1" ht="52.5" customHeight="1" x14ac:dyDescent="0.2">
      <c r="A33" s="256" t="s">
        <v>64</v>
      </c>
      <c r="B33" s="249">
        <v>900</v>
      </c>
      <c r="C33" s="244" t="s">
        <v>10</v>
      </c>
      <c r="D33" s="244" t="s">
        <v>16</v>
      </c>
      <c r="E33" s="241" t="s">
        <v>135</v>
      </c>
      <c r="F33" s="250" t="s">
        <v>65</v>
      </c>
      <c r="G33" s="192">
        <f>3804.2+30+1157.9-3201.6+486.9</f>
        <v>2277.4000000000005</v>
      </c>
      <c r="H33" s="192">
        <f>3804.2+30+1157.9-4559.3+649.2</f>
        <v>1082.0000000000002</v>
      </c>
      <c r="I33" s="192">
        <f>3804.2+30+1157.9-4559.3+649.2</f>
        <v>1082.0000000000002</v>
      </c>
    </row>
    <row r="34" spans="1:17" s="104" customFormat="1" ht="25.5" x14ac:dyDescent="0.2">
      <c r="A34" s="247" t="s">
        <v>74</v>
      </c>
      <c r="B34" s="249">
        <v>900</v>
      </c>
      <c r="C34" s="244" t="s">
        <v>10</v>
      </c>
      <c r="D34" s="244" t="s">
        <v>16</v>
      </c>
      <c r="E34" s="241" t="s">
        <v>135</v>
      </c>
      <c r="F34" s="250" t="s">
        <v>66</v>
      </c>
      <c r="G34" s="192">
        <f>379.6-85.4-172.6</f>
        <v>121.60000000000005</v>
      </c>
      <c r="H34" s="192"/>
      <c r="I34" s="192"/>
    </row>
    <row r="35" spans="1:17" s="9" customFormat="1" x14ac:dyDescent="0.2">
      <c r="A35" s="11" t="s">
        <v>332</v>
      </c>
      <c r="B35" s="14">
        <v>900</v>
      </c>
      <c r="C35" s="8" t="s">
        <v>10</v>
      </c>
      <c r="D35" s="8" t="s">
        <v>29</v>
      </c>
      <c r="E35" s="8"/>
      <c r="F35" s="8"/>
      <c r="G35" s="4">
        <f>G36</f>
        <v>16.8</v>
      </c>
      <c r="H35" s="4">
        <f t="shared" ref="H35:I36" si="2">H36</f>
        <v>18</v>
      </c>
      <c r="I35" s="4">
        <f t="shared" si="2"/>
        <v>144.6</v>
      </c>
    </row>
    <row r="36" spans="1:17" ht="38.25" customHeight="1" x14ac:dyDescent="0.2">
      <c r="A36" s="18" t="s">
        <v>333</v>
      </c>
      <c r="B36" s="22">
        <v>900</v>
      </c>
      <c r="C36" s="19" t="s">
        <v>10</v>
      </c>
      <c r="D36" s="19" t="s">
        <v>29</v>
      </c>
      <c r="E36" s="19" t="s">
        <v>354</v>
      </c>
      <c r="F36" s="19"/>
      <c r="G36" s="20">
        <f>G37</f>
        <v>16.8</v>
      </c>
      <c r="H36" s="20">
        <f t="shared" si="2"/>
        <v>18</v>
      </c>
      <c r="I36" s="20">
        <f t="shared" si="2"/>
        <v>144.6</v>
      </c>
      <c r="J36" s="103"/>
      <c r="K36" s="103"/>
      <c r="L36" s="103"/>
      <c r="M36" s="103"/>
      <c r="N36" s="103"/>
      <c r="O36" s="103"/>
      <c r="P36" s="103"/>
      <c r="Q36" s="103"/>
    </row>
    <row r="37" spans="1:17" s="26" customFormat="1" ht="25.5" x14ac:dyDescent="0.2">
      <c r="A37" s="23" t="s">
        <v>125</v>
      </c>
      <c r="B37" s="31">
        <v>900</v>
      </c>
      <c r="C37" s="24" t="s">
        <v>10</v>
      </c>
      <c r="D37" s="24" t="s">
        <v>29</v>
      </c>
      <c r="E37" s="24" t="s">
        <v>354</v>
      </c>
      <c r="F37" s="27" t="s">
        <v>66</v>
      </c>
      <c r="G37" s="25">
        <f>17-0.2</f>
        <v>16.8</v>
      </c>
      <c r="H37" s="25">
        <v>18</v>
      </c>
      <c r="I37" s="25">
        <f>145-0.4</f>
        <v>144.6</v>
      </c>
      <c r="J37" s="104"/>
      <c r="K37" s="104"/>
      <c r="L37" s="104"/>
      <c r="M37" s="104"/>
      <c r="N37" s="104"/>
      <c r="O37" s="104"/>
      <c r="P37" s="104"/>
      <c r="Q37" s="104"/>
    </row>
    <row r="38" spans="1:17" s="9" customFormat="1" x14ac:dyDescent="0.2">
      <c r="A38" s="11" t="s">
        <v>20</v>
      </c>
      <c r="B38" s="14">
        <v>900</v>
      </c>
      <c r="C38" s="8" t="s">
        <v>10</v>
      </c>
      <c r="D38" s="8" t="s">
        <v>19</v>
      </c>
      <c r="E38" s="8"/>
      <c r="F38" s="8"/>
      <c r="G38" s="4">
        <f t="shared" ref="G38:I39" si="3">G39</f>
        <v>2000</v>
      </c>
      <c r="H38" s="4">
        <f t="shared" si="3"/>
        <v>2000</v>
      </c>
      <c r="I38" s="4">
        <f t="shared" si="3"/>
        <v>2000</v>
      </c>
      <c r="J38" s="109"/>
      <c r="K38" s="109"/>
      <c r="L38" s="109"/>
      <c r="M38" s="109"/>
      <c r="N38" s="109"/>
      <c r="O38" s="109"/>
      <c r="P38" s="109"/>
      <c r="Q38" s="109"/>
    </row>
    <row r="39" spans="1:17" s="7" customFormat="1" x14ac:dyDescent="0.2">
      <c r="A39" s="18" t="s">
        <v>265</v>
      </c>
      <c r="B39" s="106">
        <v>900</v>
      </c>
      <c r="C39" s="107" t="s">
        <v>10</v>
      </c>
      <c r="D39" s="107" t="s">
        <v>19</v>
      </c>
      <c r="E39" s="19" t="s">
        <v>267</v>
      </c>
      <c r="F39" s="19"/>
      <c r="G39" s="20">
        <f t="shared" si="3"/>
        <v>2000</v>
      </c>
      <c r="H39" s="20">
        <f t="shared" si="3"/>
        <v>2000</v>
      </c>
      <c r="I39" s="20">
        <f t="shared" si="3"/>
        <v>2000</v>
      </c>
      <c r="J39" s="105"/>
      <c r="K39" s="105"/>
      <c r="L39" s="105"/>
      <c r="M39" s="105"/>
      <c r="N39" s="105"/>
      <c r="O39" s="105"/>
      <c r="P39" s="105"/>
      <c r="Q39" s="105"/>
    </row>
    <row r="40" spans="1:17" s="26" customFormat="1" x14ac:dyDescent="0.2">
      <c r="A40" s="28" t="s">
        <v>70</v>
      </c>
      <c r="B40" s="31">
        <v>900</v>
      </c>
      <c r="C40" s="24" t="s">
        <v>10</v>
      </c>
      <c r="D40" s="24" t="s">
        <v>19</v>
      </c>
      <c r="E40" s="24" t="s">
        <v>267</v>
      </c>
      <c r="F40" s="24" t="s">
        <v>71</v>
      </c>
      <c r="G40" s="25">
        <v>2000</v>
      </c>
      <c r="H40" s="25">
        <v>2000</v>
      </c>
      <c r="I40" s="25">
        <v>2000</v>
      </c>
      <c r="J40" s="104"/>
      <c r="K40" s="104"/>
      <c r="L40" s="104"/>
      <c r="M40" s="104"/>
      <c r="N40" s="104"/>
      <c r="O40" s="104"/>
      <c r="P40" s="104"/>
      <c r="Q40" s="104"/>
    </row>
    <row r="41" spans="1:17" s="68" customFormat="1" x14ac:dyDescent="0.2">
      <c r="A41" s="64" t="s">
        <v>22</v>
      </c>
      <c r="B41" s="65">
        <v>900</v>
      </c>
      <c r="C41" s="66" t="s">
        <v>10</v>
      </c>
      <c r="D41" s="66" t="s">
        <v>59</v>
      </c>
      <c r="E41" s="66"/>
      <c r="F41" s="66"/>
      <c r="G41" s="67">
        <f>G46+G54+G56+G62+G65+G48+G50+G58+G42+G44+S41+G67+G60+G52+G69</f>
        <v>43666.5</v>
      </c>
      <c r="H41" s="67">
        <f t="shared" ref="H41:I41" si="4">H46+H54+H56+H62+H65+H48+H50+H58+H42+H44+T41+H67+H60+H52+H69</f>
        <v>37480.399999999994</v>
      </c>
      <c r="I41" s="67">
        <f t="shared" si="4"/>
        <v>36465</v>
      </c>
      <c r="J41" s="67">
        <f t="shared" ref="J41:Q41" si="5">J46+J54+J56+J62+J65+J48+J50+J58+J42+J44+V41+J67</f>
        <v>0</v>
      </c>
      <c r="K41" s="67">
        <f t="shared" si="5"/>
        <v>0</v>
      </c>
      <c r="L41" s="67">
        <f t="shared" si="5"/>
        <v>0</v>
      </c>
      <c r="M41" s="67">
        <f t="shared" si="5"/>
        <v>0</v>
      </c>
      <c r="N41" s="67">
        <f t="shared" si="5"/>
        <v>0</v>
      </c>
      <c r="O41" s="67">
        <f t="shared" si="5"/>
        <v>0</v>
      </c>
      <c r="P41" s="67">
        <f t="shared" si="5"/>
        <v>0</v>
      </c>
      <c r="Q41" s="67">
        <f t="shared" si="5"/>
        <v>0</v>
      </c>
    </row>
    <row r="42" spans="1:17" s="73" customFormat="1" x14ac:dyDescent="0.2">
      <c r="A42" s="69" t="s">
        <v>214</v>
      </c>
      <c r="B42" s="70">
        <v>900</v>
      </c>
      <c r="C42" s="71" t="s">
        <v>10</v>
      </c>
      <c r="D42" s="71" t="s">
        <v>59</v>
      </c>
      <c r="E42" s="71" t="s">
        <v>213</v>
      </c>
      <c r="F42" s="71"/>
      <c r="G42" s="72">
        <f>G43</f>
        <v>3229.2</v>
      </c>
      <c r="H42" s="72">
        <f>H43</f>
        <v>0</v>
      </c>
      <c r="I42" s="72">
        <f>I43</f>
        <v>0</v>
      </c>
    </row>
    <row r="43" spans="1:17" s="78" customFormat="1" x14ac:dyDescent="0.2">
      <c r="A43" s="81" t="s">
        <v>67</v>
      </c>
      <c r="B43" s="80">
        <v>900</v>
      </c>
      <c r="C43" s="76" t="s">
        <v>10</v>
      </c>
      <c r="D43" s="76" t="s">
        <v>59</v>
      </c>
      <c r="E43" s="76" t="s">
        <v>213</v>
      </c>
      <c r="F43" s="76" t="s">
        <v>68</v>
      </c>
      <c r="G43" s="56">
        <v>3229.2</v>
      </c>
      <c r="H43" s="56"/>
      <c r="I43" s="56"/>
    </row>
    <row r="44" spans="1:17" s="21" customFormat="1" x14ac:dyDescent="0.2">
      <c r="A44" s="18" t="s">
        <v>266</v>
      </c>
      <c r="B44" s="22">
        <v>900</v>
      </c>
      <c r="C44" s="19" t="s">
        <v>10</v>
      </c>
      <c r="D44" s="19" t="s">
        <v>59</v>
      </c>
      <c r="E44" s="19" t="s">
        <v>268</v>
      </c>
      <c r="F44" s="19"/>
      <c r="G44" s="20">
        <f>G45</f>
        <v>1100</v>
      </c>
      <c r="H44" s="20">
        <f>H45</f>
        <v>1100</v>
      </c>
      <c r="I44" s="20">
        <f>I45</f>
        <v>1100</v>
      </c>
    </row>
    <row r="45" spans="1:17" s="26" customFormat="1" x14ac:dyDescent="0.2">
      <c r="A45" s="28" t="s">
        <v>70</v>
      </c>
      <c r="B45" s="31">
        <v>900</v>
      </c>
      <c r="C45" s="24" t="s">
        <v>10</v>
      </c>
      <c r="D45" s="24" t="s">
        <v>59</v>
      </c>
      <c r="E45" s="24" t="s">
        <v>268</v>
      </c>
      <c r="F45" s="24" t="s">
        <v>71</v>
      </c>
      <c r="G45" s="25">
        <v>1100</v>
      </c>
      <c r="H45" s="25">
        <v>1100</v>
      </c>
      <c r="I45" s="25">
        <v>1100</v>
      </c>
    </row>
    <row r="46" spans="1:17" x14ac:dyDescent="0.2">
      <c r="A46" s="18" t="s">
        <v>136</v>
      </c>
      <c r="B46" s="22">
        <v>900</v>
      </c>
      <c r="C46" s="19" t="s">
        <v>10</v>
      </c>
      <c r="D46" s="19" t="s">
        <v>59</v>
      </c>
      <c r="E46" s="19" t="s">
        <v>137</v>
      </c>
      <c r="F46" s="19"/>
      <c r="G46" s="20">
        <f>G47</f>
        <v>2667.4</v>
      </c>
      <c r="H46" s="20">
        <f>H47</f>
        <v>0</v>
      </c>
      <c r="I46" s="20">
        <f>I47</f>
        <v>0</v>
      </c>
      <c r="J46" s="103"/>
      <c r="K46" s="103"/>
      <c r="L46" s="103"/>
      <c r="M46" s="103"/>
      <c r="N46" s="103"/>
      <c r="O46" s="103"/>
      <c r="P46" s="103"/>
      <c r="Q46" s="103"/>
    </row>
    <row r="47" spans="1:17" s="26" customFormat="1" ht="25.5" x14ac:dyDescent="0.2">
      <c r="A47" s="28" t="s">
        <v>130</v>
      </c>
      <c r="B47" s="31">
        <v>900</v>
      </c>
      <c r="C47" s="24" t="s">
        <v>10</v>
      </c>
      <c r="D47" s="24" t="s">
        <v>59</v>
      </c>
      <c r="E47" s="24" t="s">
        <v>137</v>
      </c>
      <c r="F47" s="24" t="s">
        <v>63</v>
      </c>
      <c r="G47" s="25">
        <f>3182.8-515.4</f>
        <v>2667.4</v>
      </c>
      <c r="H47" s="25"/>
      <c r="I47" s="25"/>
      <c r="J47" s="104"/>
      <c r="K47" s="104"/>
      <c r="L47" s="104"/>
      <c r="M47" s="104"/>
      <c r="N47" s="104"/>
      <c r="O47" s="104"/>
      <c r="P47" s="104"/>
      <c r="Q47" s="104"/>
    </row>
    <row r="48" spans="1:17" s="73" customFormat="1" ht="25.5" x14ac:dyDescent="0.2">
      <c r="A48" s="83" t="s">
        <v>152</v>
      </c>
      <c r="B48" s="83">
        <v>900</v>
      </c>
      <c r="C48" s="71" t="s">
        <v>10</v>
      </c>
      <c r="D48" s="71" t="s">
        <v>59</v>
      </c>
      <c r="E48" s="71" t="s">
        <v>151</v>
      </c>
      <c r="F48" s="84"/>
      <c r="G48" s="85">
        <f>G49</f>
        <v>1689</v>
      </c>
      <c r="H48" s="85">
        <f>H49</f>
        <v>0</v>
      </c>
      <c r="I48" s="85">
        <f>I49</f>
        <v>0</v>
      </c>
    </row>
    <row r="49" spans="1:17" s="73" customFormat="1" ht="25.5" x14ac:dyDescent="0.2">
      <c r="A49" s="81" t="s">
        <v>130</v>
      </c>
      <c r="B49" s="81">
        <v>900</v>
      </c>
      <c r="C49" s="76" t="s">
        <v>10</v>
      </c>
      <c r="D49" s="76" t="s">
        <v>59</v>
      </c>
      <c r="E49" s="76" t="s">
        <v>151</v>
      </c>
      <c r="F49" s="76" t="s">
        <v>63</v>
      </c>
      <c r="G49" s="56">
        <v>1689</v>
      </c>
      <c r="H49" s="56"/>
      <c r="I49" s="56"/>
    </row>
    <row r="50" spans="1:17" x14ac:dyDescent="0.2">
      <c r="A50" s="18" t="s">
        <v>160</v>
      </c>
      <c r="B50" s="22">
        <v>900</v>
      </c>
      <c r="C50" s="19" t="s">
        <v>10</v>
      </c>
      <c r="D50" s="19" t="s">
        <v>59</v>
      </c>
      <c r="E50" s="19" t="s">
        <v>159</v>
      </c>
      <c r="F50" s="19"/>
      <c r="G50" s="20">
        <f>G51</f>
        <v>0</v>
      </c>
      <c r="H50" s="20">
        <f>H51</f>
        <v>0</v>
      </c>
      <c r="I50" s="20">
        <f>I51</f>
        <v>0</v>
      </c>
      <c r="J50" s="103"/>
      <c r="K50" s="103"/>
      <c r="L50" s="103"/>
      <c r="M50" s="103"/>
      <c r="N50" s="103"/>
      <c r="O50" s="103"/>
      <c r="P50" s="103"/>
      <c r="Q50" s="103"/>
    </row>
    <row r="51" spans="1:17" s="26" customFormat="1" ht="25.5" x14ac:dyDescent="0.2">
      <c r="A51" s="28" t="s">
        <v>80</v>
      </c>
      <c r="B51" s="31">
        <v>900</v>
      </c>
      <c r="C51" s="24" t="s">
        <v>10</v>
      </c>
      <c r="D51" s="24" t="s">
        <v>59</v>
      </c>
      <c r="E51" s="24" t="s">
        <v>159</v>
      </c>
      <c r="F51" s="24" t="s">
        <v>69</v>
      </c>
      <c r="G51" s="25"/>
      <c r="H51" s="25"/>
      <c r="I51" s="25"/>
      <c r="J51" s="104"/>
      <c r="K51" s="104"/>
      <c r="L51" s="104"/>
      <c r="M51" s="104"/>
      <c r="N51" s="104"/>
      <c r="O51" s="104"/>
      <c r="P51" s="104"/>
      <c r="Q51" s="104"/>
    </row>
    <row r="52" spans="1:17" s="103" customFormat="1" x14ac:dyDescent="0.2">
      <c r="A52" s="239" t="s">
        <v>162</v>
      </c>
      <c r="B52" s="240">
        <v>900</v>
      </c>
      <c r="C52" s="241" t="s">
        <v>10</v>
      </c>
      <c r="D52" s="241" t="s">
        <v>59</v>
      </c>
      <c r="E52" s="241" t="s">
        <v>161</v>
      </c>
      <c r="F52" s="241"/>
      <c r="G52" s="193">
        <f>G53</f>
        <v>988.7</v>
      </c>
      <c r="H52" s="193">
        <f>H53</f>
        <v>0</v>
      </c>
      <c r="I52" s="193">
        <f>I53</f>
        <v>0</v>
      </c>
    </row>
    <row r="53" spans="1:17" s="104" customFormat="1" ht="25.5" x14ac:dyDescent="0.2">
      <c r="A53" s="247" t="s">
        <v>80</v>
      </c>
      <c r="B53" s="243">
        <v>900</v>
      </c>
      <c r="C53" s="244" t="s">
        <v>10</v>
      </c>
      <c r="D53" s="244" t="s">
        <v>59</v>
      </c>
      <c r="E53" s="244" t="s">
        <v>161</v>
      </c>
      <c r="F53" s="244" t="s">
        <v>63</v>
      </c>
      <c r="G53" s="192">
        <f>850+138.7</f>
        <v>988.7</v>
      </c>
      <c r="H53" s="192"/>
      <c r="I53" s="192"/>
    </row>
    <row r="54" spans="1:17" s="21" customFormat="1" ht="38.25" x14ac:dyDescent="0.2">
      <c r="A54" s="18" t="s">
        <v>138</v>
      </c>
      <c r="B54" s="22">
        <v>900</v>
      </c>
      <c r="C54" s="19" t="s">
        <v>10</v>
      </c>
      <c r="D54" s="19" t="s">
        <v>59</v>
      </c>
      <c r="E54" s="19" t="s">
        <v>83</v>
      </c>
      <c r="F54" s="19"/>
      <c r="G54" s="20">
        <f>G55</f>
        <v>125</v>
      </c>
      <c r="H54" s="20">
        <f>H55</f>
        <v>125</v>
      </c>
      <c r="I54" s="20">
        <f>I55</f>
        <v>125</v>
      </c>
    </row>
    <row r="55" spans="1:17" s="26" customFormat="1" ht="25.5" x14ac:dyDescent="0.2">
      <c r="A55" s="28" t="s">
        <v>130</v>
      </c>
      <c r="B55" s="31">
        <v>900</v>
      </c>
      <c r="C55" s="24" t="s">
        <v>10</v>
      </c>
      <c r="D55" s="24" t="s">
        <v>59</v>
      </c>
      <c r="E55" s="24" t="s">
        <v>83</v>
      </c>
      <c r="F55" s="24" t="s">
        <v>63</v>
      </c>
      <c r="G55" s="25">
        <v>125</v>
      </c>
      <c r="H55" s="25">
        <v>125</v>
      </c>
      <c r="I55" s="25">
        <v>125</v>
      </c>
    </row>
    <row r="56" spans="1:17" s="73" customFormat="1" ht="30.75" customHeight="1" x14ac:dyDescent="0.2">
      <c r="A56" s="83" t="s">
        <v>139</v>
      </c>
      <c r="B56" s="86">
        <v>900</v>
      </c>
      <c r="C56" s="71" t="s">
        <v>10</v>
      </c>
      <c r="D56" s="71" t="s">
        <v>59</v>
      </c>
      <c r="E56" s="71" t="s">
        <v>140</v>
      </c>
      <c r="F56" s="71"/>
      <c r="G56" s="72">
        <f>G57</f>
        <v>966</v>
      </c>
      <c r="H56" s="72">
        <f>H57</f>
        <v>966</v>
      </c>
      <c r="I56" s="72">
        <f>I57</f>
        <v>966</v>
      </c>
    </row>
    <row r="57" spans="1:17" s="78" customFormat="1" x14ac:dyDescent="0.2">
      <c r="A57" s="81" t="s">
        <v>67</v>
      </c>
      <c r="B57" s="80">
        <v>900</v>
      </c>
      <c r="C57" s="76" t="s">
        <v>10</v>
      </c>
      <c r="D57" s="76" t="s">
        <v>59</v>
      </c>
      <c r="E57" s="76" t="s">
        <v>140</v>
      </c>
      <c r="F57" s="76" t="s">
        <v>68</v>
      </c>
      <c r="G57" s="56">
        <v>966</v>
      </c>
      <c r="H57" s="56">
        <v>966</v>
      </c>
      <c r="I57" s="56">
        <v>966</v>
      </c>
    </row>
    <row r="58" spans="1:17" s="12" customFormat="1" ht="25.5" x14ac:dyDescent="0.2">
      <c r="A58" s="113" t="s">
        <v>141</v>
      </c>
      <c r="B58" s="202">
        <v>900</v>
      </c>
      <c r="C58" s="19" t="s">
        <v>10</v>
      </c>
      <c r="D58" s="19" t="s">
        <v>59</v>
      </c>
      <c r="E58" s="5" t="s">
        <v>142</v>
      </c>
      <c r="F58" s="5"/>
      <c r="G58" s="6">
        <f>G59</f>
        <v>5639.2</v>
      </c>
      <c r="H58" s="6">
        <f>H59</f>
        <v>5005.8999999999996</v>
      </c>
      <c r="I58" s="6">
        <f>I59</f>
        <v>4843.8</v>
      </c>
      <c r="J58" s="110"/>
      <c r="K58" s="110"/>
      <c r="L58" s="110"/>
      <c r="M58" s="110"/>
      <c r="N58" s="110"/>
      <c r="O58" s="110"/>
      <c r="P58" s="110"/>
      <c r="Q58" s="110"/>
    </row>
    <row r="59" spans="1:17" s="114" customFormat="1" ht="25.5" x14ac:dyDescent="0.2">
      <c r="A59" s="28" t="s">
        <v>130</v>
      </c>
      <c r="B59" s="31">
        <v>900</v>
      </c>
      <c r="C59" s="24" t="s">
        <v>10</v>
      </c>
      <c r="D59" s="24" t="s">
        <v>59</v>
      </c>
      <c r="E59" s="24" t="s">
        <v>142</v>
      </c>
      <c r="F59" s="24" t="s">
        <v>63</v>
      </c>
      <c r="G59" s="25">
        <v>5639.2</v>
      </c>
      <c r="H59" s="25">
        <v>5005.8999999999996</v>
      </c>
      <c r="I59" s="25">
        <v>4843.8</v>
      </c>
      <c r="J59" s="111"/>
      <c r="K59" s="111"/>
      <c r="L59" s="111"/>
      <c r="M59" s="111"/>
      <c r="N59" s="111"/>
      <c r="O59" s="111"/>
      <c r="P59" s="111"/>
      <c r="Q59" s="111"/>
    </row>
    <row r="60" spans="1:17" s="114" customFormat="1" x14ac:dyDescent="0.2">
      <c r="A60" s="18" t="s">
        <v>190</v>
      </c>
      <c r="B60" s="22">
        <v>900</v>
      </c>
      <c r="C60" s="19" t="s">
        <v>10</v>
      </c>
      <c r="D60" s="19" t="s">
        <v>59</v>
      </c>
      <c r="E60" s="5" t="s">
        <v>191</v>
      </c>
      <c r="F60" s="5"/>
      <c r="G60" s="25">
        <f>G61</f>
        <v>1073.8</v>
      </c>
      <c r="H60" s="25">
        <f t="shared" ref="H60:I60" si="6">H61</f>
        <v>0</v>
      </c>
      <c r="I60" s="25">
        <f t="shared" si="6"/>
        <v>0</v>
      </c>
      <c r="J60" s="111"/>
      <c r="K60" s="111"/>
      <c r="L60" s="111"/>
      <c r="M60" s="111"/>
      <c r="N60" s="111"/>
      <c r="O60" s="111"/>
      <c r="P60" s="111"/>
      <c r="Q60" s="111"/>
    </row>
    <row r="61" spans="1:17" s="114" customFormat="1" ht="25.5" x14ac:dyDescent="0.2">
      <c r="A61" s="28" t="s">
        <v>130</v>
      </c>
      <c r="B61" s="32">
        <v>900</v>
      </c>
      <c r="C61" s="24" t="s">
        <v>10</v>
      </c>
      <c r="D61" s="24" t="s">
        <v>59</v>
      </c>
      <c r="E61" s="24" t="s">
        <v>191</v>
      </c>
      <c r="F61" s="27" t="s">
        <v>63</v>
      </c>
      <c r="G61" s="25">
        <v>1073.8</v>
      </c>
      <c r="H61" s="25"/>
      <c r="I61" s="25"/>
      <c r="J61" s="111"/>
      <c r="K61" s="111"/>
      <c r="L61" s="111"/>
      <c r="M61" s="111"/>
      <c r="N61" s="111"/>
      <c r="O61" s="111"/>
      <c r="P61" s="111"/>
      <c r="Q61" s="111"/>
    </row>
    <row r="62" spans="1:17" s="21" customFormat="1" ht="102" x14ac:dyDescent="0.2">
      <c r="A62" s="45" t="s">
        <v>144</v>
      </c>
      <c r="B62" s="22">
        <v>900</v>
      </c>
      <c r="C62" s="19" t="s">
        <v>10</v>
      </c>
      <c r="D62" s="19" t="s">
        <v>59</v>
      </c>
      <c r="E62" s="19" t="s">
        <v>143</v>
      </c>
      <c r="F62" s="19"/>
      <c r="G62" s="20">
        <f>G63+G64</f>
        <v>8019.5999999999995</v>
      </c>
      <c r="H62" s="20">
        <f>H63+H64</f>
        <v>7811.7999999999993</v>
      </c>
      <c r="I62" s="20">
        <f>I63+I64</f>
        <v>7811.7999999999993</v>
      </c>
      <c r="J62" s="103"/>
      <c r="K62" s="103"/>
      <c r="L62" s="103"/>
      <c r="M62" s="103"/>
      <c r="N62" s="103"/>
      <c r="O62" s="103"/>
      <c r="P62" s="103"/>
      <c r="Q62" s="103"/>
    </row>
    <row r="63" spans="1:17" s="26" customFormat="1" ht="53.25" customHeight="1" x14ac:dyDescent="0.2">
      <c r="A63" s="23" t="s">
        <v>64</v>
      </c>
      <c r="B63" s="31">
        <v>900</v>
      </c>
      <c r="C63" s="24" t="s">
        <v>10</v>
      </c>
      <c r="D63" s="24" t="s">
        <v>59</v>
      </c>
      <c r="E63" s="24" t="s">
        <v>143</v>
      </c>
      <c r="F63" s="27" t="s">
        <v>65</v>
      </c>
      <c r="G63" s="25">
        <f>5928.4+30+1799.4</f>
        <v>7757.7999999999993</v>
      </c>
      <c r="H63" s="25">
        <f>5928.4+30+1799.4</f>
        <v>7757.7999999999993</v>
      </c>
      <c r="I63" s="25">
        <f>5928.4+30+1799.4</f>
        <v>7757.7999999999993</v>
      </c>
      <c r="J63" s="104"/>
      <c r="K63" s="104"/>
      <c r="L63" s="104"/>
      <c r="M63" s="104"/>
      <c r="N63" s="104"/>
      <c r="O63" s="104"/>
      <c r="P63" s="104"/>
      <c r="Q63" s="104"/>
    </row>
    <row r="64" spans="1:17" s="78" customFormat="1" ht="25.5" x14ac:dyDescent="0.2">
      <c r="A64" s="81" t="s">
        <v>74</v>
      </c>
      <c r="B64" s="80">
        <v>900</v>
      </c>
      <c r="C64" s="76" t="s">
        <v>10</v>
      </c>
      <c r="D64" s="76" t="s">
        <v>59</v>
      </c>
      <c r="E64" s="76" t="s">
        <v>143</v>
      </c>
      <c r="F64" s="77" t="s">
        <v>66</v>
      </c>
      <c r="G64" s="56">
        <f>261.8</f>
        <v>261.8</v>
      </c>
      <c r="H64" s="56">
        <v>54</v>
      </c>
      <c r="I64" s="56">
        <v>54</v>
      </c>
    </row>
    <row r="65" spans="1:17" s="78" customFormat="1" ht="63.75" x14ac:dyDescent="0.2">
      <c r="A65" s="88" t="s">
        <v>145</v>
      </c>
      <c r="B65" s="88">
        <v>900</v>
      </c>
      <c r="C65" s="71" t="s">
        <v>10</v>
      </c>
      <c r="D65" s="71" t="s">
        <v>59</v>
      </c>
      <c r="E65" s="71" t="s">
        <v>146</v>
      </c>
      <c r="F65" s="71"/>
      <c r="G65" s="72">
        <f>G66</f>
        <v>228.8</v>
      </c>
      <c r="H65" s="72">
        <f>H66</f>
        <v>0</v>
      </c>
      <c r="I65" s="72">
        <f>I66</f>
        <v>0</v>
      </c>
    </row>
    <row r="66" spans="1:17" s="73" customFormat="1" x14ac:dyDescent="0.2">
      <c r="A66" s="81" t="s">
        <v>70</v>
      </c>
      <c r="B66" s="79">
        <v>900</v>
      </c>
      <c r="C66" s="76" t="s">
        <v>10</v>
      </c>
      <c r="D66" s="76" t="s">
        <v>59</v>
      </c>
      <c r="E66" s="76" t="s">
        <v>146</v>
      </c>
      <c r="F66" s="77" t="s">
        <v>71</v>
      </c>
      <c r="G66" s="56">
        <v>228.8</v>
      </c>
      <c r="H66" s="56"/>
      <c r="I66" s="56"/>
    </row>
    <row r="67" spans="1:17" ht="38.25" x14ac:dyDescent="0.2">
      <c r="A67" s="18" t="s">
        <v>355</v>
      </c>
      <c r="B67" s="23">
        <v>900</v>
      </c>
      <c r="C67" s="24" t="s">
        <v>10</v>
      </c>
      <c r="D67" s="24" t="s">
        <v>59</v>
      </c>
      <c r="E67" s="24" t="s">
        <v>356</v>
      </c>
      <c r="F67" s="27"/>
      <c r="G67" s="25">
        <f>G68</f>
        <v>3052.2</v>
      </c>
      <c r="H67" s="25">
        <f t="shared" ref="H67:Q67" si="7">H68</f>
        <v>2834.3</v>
      </c>
      <c r="I67" s="25">
        <f t="shared" si="7"/>
        <v>2834.3</v>
      </c>
      <c r="J67" s="192">
        <f t="shared" si="7"/>
        <v>0</v>
      </c>
      <c r="K67" s="192">
        <f t="shared" si="7"/>
        <v>0</v>
      </c>
      <c r="L67" s="192">
        <f t="shared" si="7"/>
        <v>0</v>
      </c>
      <c r="M67" s="192">
        <f t="shared" si="7"/>
        <v>0</v>
      </c>
      <c r="N67" s="192">
        <f t="shared" si="7"/>
        <v>0</v>
      </c>
      <c r="O67" s="192">
        <f t="shared" si="7"/>
        <v>0</v>
      </c>
      <c r="P67" s="192">
        <f t="shared" si="7"/>
        <v>0</v>
      </c>
      <c r="Q67" s="192">
        <f t="shared" si="7"/>
        <v>0</v>
      </c>
    </row>
    <row r="68" spans="1:17" ht="25.5" x14ac:dyDescent="0.2">
      <c r="A68" s="28" t="s">
        <v>130</v>
      </c>
      <c r="B68" s="23">
        <v>900</v>
      </c>
      <c r="C68" s="24" t="s">
        <v>10</v>
      </c>
      <c r="D68" s="24" t="s">
        <v>59</v>
      </c>
      <c r="E68" s="24" t="s">
        <v>356</v>
      </c>
      <c r="F68" s="27" t="s">
        <v>63</v>
      </c>
      <c r="G68" s="25">
        <v>3052.2</v>
      </c>
      <c r="H68" s="25">
        <v>2834.3</v>
      </c>
      <c r="I68" s="25">
        <v>2834.3</v>
      </c>
      <c r="J68" s="103"/>
      <c r="K68" s="103"/>
      <c r="L68" s="103"/>
      <c r="M68" s="103"/>
      <c r="N68" s="103"/>
      <c r="O68" s="103"/>
      <c r="P68" s="103"/>
      <c r="Q68" s="103"/>
    </row>
    <row r="69" spans="1:17" s="103" customFormat="1" ht="48.75" customHeight="1" x14ac:dyDescent="0.2">
      <c r="A69" s="257" t="s">
        <v>775</v>
      </c>
      <c r="B69" s="240">
        <v>900</v>
      </c>
      <c r="C69" s="241" t="s">
        <v>10</v>
      </c>
      <c r="D69" s="241" t="s">
        <v>59</v>
      </c>
      <c r="E69" s="241" t="s">
        <v>773</v>
      </c>
      <c r="F69" s="241"/>
      <c r="G69" s="193">
        <f>G70+G72+G71</f>
        <v>14887.600000000002</v>
      </c>
      <c r="H69" s="193">
        <f t="shared" ref="H69:I69" si="8">H70+H72+H71</f>
        <v>19637.399999999998</v>
      </c>
      <c r="I69" s="193">
        <f t="shared" si="8"/>
        <v>18784.099999999999</v>
      </c>
    </row>
    <row r="70" spans="1:17" s="104" customFormat="1" ht="53.25" customHeight="1" x14ac:dyDescent="0.2">
      <c r="A70" s="252" t="s">
        <v>64</v>
      </c>
      <c r="B70" s="243">
        <v>900</v>
      </c>
      <c r="C70" s="244" t="s">
        <v>10</v>
      </c>
      <c r="D70" s="244" t="s">
        <v>59</v>
      </c>
      <c r="E70" s="244" t="s">
        <v>773</v>
      </c>
      <c r="F70" s="250" t="s">
        <v>65</v>
      </c>
      <c r="G70" s="192">
        <f>11747.7-486.9</f>
        <v>11260.800000000001</v>
      </c>
      <c r="H70" s="192">
        <f>16524.5-649.2</f>
        <v>15875.3</v>
      </c>
      <c r="I70" s="192">
        <f>16524.5-649.2</f>
        <v>15875.3</v>
      </c>
    </row>
    <row r="71" spans="1:17" s="104" customFormat="1" ht="25.5" x14ac:dyDescent="0.2">
      <c r="A71" s="247" t="s">
        <v>74</v>
      </c>
      <c r="B71" s="243">
        <v>900</v>
      </c>
      <c r="C71" s="244" t="s">
        <v>10</v>
      </c>
      <c r="D71" s="244" t="s">
        <v>59</v>
      </c>
      <c r="E71" s="244" t="s">
        <v>773</v>
      </c>
      <c r="F71" s="250" t="s">
        <v>66</v>
      </c>
      <c r="G71" s="192">
        <v>3576.1</v>
      </c>
      <c r="H71" s="192">
        <v>3762.1</v>
      </c>
      <c r="I71" s="192">
        <v>2908.8</v>
      </c>
    </row>
    <row r="72" spans="1:17" s="104" customFormat="1" x14ac:dyDescent="0.2">
      <c r="A72" s="247" t="s">
        <v>70</v>
      </c>
      <c r="B72" s="243">
        <v>900</v>
      </c>
      <c r="C72" s="244" t="s">
        <v>10</v>
      </c>
      <c r="D72" s="244" t="s">
        <v>59</v>
      </c>
      <c r="E72" s="244" t="s">
        <v>773</v>
      </c>
      <c r="F72" s="250" t="s">
        <v>71</v>
      </c>
      <c r="G72" s="192">
        <v>50.7</v>
      </c>
      <c r="H72" s="192">
        <v>0</v>
      </c>
      <c r="I72" s="192">
        <v>0</v>
      </c>
    </row>
    <row r="73" spans="1:17" s="90" customFormat="1" ht="25.5" x14ac:dyDescent="0.2">
      <c r="A73" s="89" t="s">
        <v>4</v>
      </c>
      <c r="B73" s="58">
        <v>900</v>
      </c>
      <c r="C73" s="59" t="s">
        <v>14</v>
      </c>
      <c r="D73" s="59"/>
      <c r="E73" s="59"/>
      <c r="F73" s="59"/>
      <c r="G73" s="62">
        <f>G74</f>
        <v>16164.8</v>
      </c>
      <c r="H73" s="62">
        <f>H74</f>
        <v>14784.4</v>
      </c>
      <c r="I73" s="62">
        <f>I74</f>
        <v>14705.1</v>
      </c>
    </row>
    <row r="74" spans="1:17" s="9" customFormat="1" ht="38.25" x14ac:dyDescent="0.2">
      <c r="A74" s="11" t="s">
        <v>78</v>
      </c>
      <c r="B74" s="14">
        <v>900</v>
      </c>
      <c r="C74" s="8" t="s">
        <v>14</v>
      </c>
      <c r="D74" s="8" t="s">
        <v>24</v>
      </c>
      <c r="E74" s="8"/>
      <c r="F74" s="8"/>
      <c r="G74" s="4">
        <f>G75+G81+G84+G86+G79</f>
        <v>16164.8</v>
      </c>
      <c r="H74" s="4">
        <f>H75+H81+H84+H86+H79</f>
        <v>14784.4</v>
      </c>
      <c r="I74" s="4">
        <f>I75+I81+I84+I86+I79</f>
        <v>14705.1</v>
      </c>
      <c r="J74" s="109"/>
      <c r="K74" s="109"/>
      <c r="L74" s="109"/>
      <c r="M74" s="109"/>
      <c r="N74" s="109"/>
      <c r="O74" s="109"/>
      <c r="P74" s="109"/>
      <c r="Q74" s="109"/>
    </row>
    <row r="75" spans="1:17" s="73" customFormat="1" ht="38.25" x14ac:dyDescent="0.2">
      <c r="A75" s="88" t="s">
        <v>148</v>
      </c>
      <c r="B75" s="91">
        <v>900</v>
      </c>
      <c r="C75" s="71" t="s">
        <v>14</v>
      </c>
      <c r="D75" s="71" t="s">
        <v>24</v>
      </c>
      <c r="E75" s="71" t="s">
        <v>147</v>
      </c>
      <c r="F75" s="71"/>
      <c r="G75" s="72">
        <f>G76+G77+G78</f>
        <v>0</v>
      </c>
      <c r="H75" s="72">
        <f>H76+H77+H78</f>
        <v>0</v>
      </c>
      <c r="I75" s="72">
        <f>I76+I77+I78</f>
        <v>0</v>
      </c>
      <c r="J75" s="103"/>
      <c r="K75" s="103"/>
      <c r="L75" s="103"/>
      <c r="M75" s="103"/>
      <c r="N75" s="103"/>
      <c r="O75" s="103"/>
      <c r="P75" s="103"/>
      <c r="Q75" s="103"/>
    </row>
    <row r="76" spans="1:17" s="78" customFormat="1" ht="51" customHeight="1" x14ac:dyDescent="0.2">
      <c r="A76" s="74" t="s">
        <v>64</v>
      </c>
      <c r="B76" s="75">
        <v>900</v>
      </c>
      <c r="C76" s="76" t="s">
        <v>14</v>
      </c>
      <c r="D76" s="76" t="s">
        <v>24</v>
      </c>
      <c r="E76" s="76" t="s">
        <v>147</v>
      </c>
      <c r="F76" s="77" t="s">
        <v>65</v>
      </c>
      <c r="G76" s="56"/>
      <c r="H76" s="56"/>
      <c r="I76" s="56"/>
      <c r="J76" s="104"/>
      <c r="K76" s="104"/>
      <c r="L76" s="104"/>
      <c r="M76" s="104"/>
      <c r="N76" s="104"/>
      <c r="O76" s="104"/>
      <c r="P76" s="104"/>
      <c r="Q76" s="104"/>
    </row>
    <row r="77" spans="1:17" s="78" customFormat="1" ht="25.5" x14ac:dyDescent="0.2">
      <c r="A77" s="81" t="s">
        <v>74</v>
      </c>
      <c r="B77" s="75">
        <v>900</v>
      </c>
      <c r="C77" s="76" t="s">
        <v>14</v>
      </c>
      <c r="D77" s="76" t="s">
        <v>24</v>
      </c>
      <c r="E77" s="76" t="s">
        <v>147</v>
      </c>
      <c r="F77" s="77" t="s">
        <v>66</v>
      </c>
      <c r="G77" s="56"/>
      <c r="H77" s="56"/>
      <c r="I77" s="56"/>
      <c r="J77" s="104"/>
      <c r="K77" s="104"/>
      <c r="L77" s="104"/>
      <c r="M77" s="104"/>
      <c r="N77" s="104"/>
      <c r="O77" s="104"/>
      <c r="P77" s="104"/>
      <c r="Q77" s="104"/>
    </row>
    <row r="78" spans="1:17" s="78" customFormat="1" x14ac:dyDescent="0.2">
      <c r="A78" s="81" t="s">
        <v>70</v>
      </c>
      <c r="B78" s="80">
        <v>900</v>
      </c>
      <c r="C78" s="76" t="s">
        <v>14</v>
      </c>
      <c r="D78" s="76" t="s">
        <v>24</v>
      </c>
      <c r="E78" s="76" t="s">
        <v>147</v>
      </c>
      <c r="F78" s="76" t="s">
        <v>71</v>
      </c>
      <c r="G78" s="56"/>
      <c r="H78" s="56"/>
      <c r="I78" s="56"/>
      <c r="J78" s="104"/>
      <c r="K78" s="104"/>
      <c r="L78" s="104"/>
      <c r="M78" s="104"/>
      <c r="N78" s="104"/>
      <c r="O78" s="104"/>
      <c r="P78" s="104"/>
      <c r="Q78" s="104"/>
    </row>
    <row r="79" spans="1:17" s="78" customFormat="1" ht="67.5" customHeight="1" x14ac:dyDescent="0.2">
      <c r="A79" s="69" t="s">
        <v>623</v>
      </c>
      <c r="B79" s="80">
        <v>900</v>
      </c>
      <c r="C79" s="76" t="s">
        <v>14</v>
      </c>
      <c r="D79" s="76" t="s">
        <v>24</v>
      </c>
      <c r="E79" s="76" t="s">
        <v>621</v>
      </c>
      <c r="F79" s="76"/>
      <c r="G79" s="56">
        <f>G80</f>
        <v>15854.8</v>
      </c>
      <c r="H79" s="56">
        <f t="shared" ref="H79:I79" si="9">H80</f>
        <v>14784.4</v>
      </c>
      <c r="I79" s="56">
        <f t="shared" si="9"/>
        <v>14705.1</v>
      </c>
      <c r="J79" s="104"/>
      <c r="K79" s="104"/>
      <c r="L79" s="104"/>
      <c r="M79" s="104"/>
      <c r="N79" s="104"/>
      <c r="O79" s="104"/>
      <c r="P79" s="104"/>
      <c r="Q79" s="104"/>
    </row>
    <row r="80" spans="1:17" s="78" customFormat="1" ht="25.5" x14ac:dyDescent="0.2">
      <c r="A80" s="81" t="s">
        <v>130</v>
      </c>
      <c r="B80" s="80">
        <v>900</v>
      </c>
      <c r="C80" s="76" t="s">
        <v>14</v>
      </c>
      <c r="D80" s="76" t="s">
        <v>24</v>
      </c>
      <c r="E80" s="76" t="s">
        <v>620</v>
      </c>
      <c r="F80" s="76" t="s">
        <v>63</v>
      </c>
      <c r="G80" s="56">
        <v>15854.8</v>
      </c>
      <c r="H80" s="56">
        <v>14784.4</v>
      </c>
      <c r="I80" s="56">
        <v>14705.1</v>
      </c>
      <c r="J80" s="104"/>
      <c r="K80" s="104"/>
      <c r="L80" s="104"/>
      <c r="M80" s="104"/>
      <c r="N80" s="104"/>
      <c r="O80" s="104"/>
      <c r="P80" s="104"/>
      <c r="Q80" s="104"/>
    </row>
    <row r="81" spans="1:17" s="87" customFormat="1" ht="25.5" x14ac:dyDescent="0.2">
      <c r="A81" s="83" t="s">
        <v>152</v>
      </c>
      <c r="B81" s="86">
        <v>900</v>
      </c>
      <c r="C81" s="71" t="s">
        <v>14</v>
      </c>
      <c r="D81" s="71" t="s">
        <v>24</v>
      </c>
      <c r="E81" s="71" t="s">
        <v>151</v>
      </c>
      <c r="F81" s="84"/>
      <c r="G81" s="85">
        <f>G82+G83</f>
        <v>55</v>
      </c>
      <c r="H81" s="85">
        <f t="shared" ref="H81:I81" si="10">H82+H83</f>
        <v>0</v>
      </c>
      <c r="I81" s="85">
        <f t="shared" si="10"/>
        <v>0</v>
      </c>
      <c r="J81" s="110"/>
      <c r="K81" s="110"/>
      <c r="L81" s="110"/>
      <c r="M81" s="110"/>
      <c r="N81" s="110"/>
      <c r="O81" s="110"/>
      <c r="P81" s="110"/>
      <c r="Q81" s="110"/>
    </row>
    <row r="82" spans="1:17" s="78" customFormat="1" ht="25.5" x14ac:dyDescent="0.2">
      <c r="A82" s="81" t="s">
        <v>74</v>
      </c>
      <c r="B82" s="75">
        <v>900</v>
      </c>
      <c r="C82" s="76" t="s">
        <v>14</v>
      </c>
      <c r="D82" s="76" t="s">
        <v>24</v>
      </c>
      <c r="E82" s="76" t="s">
        <v>151</v>
      </c>
      <c r="F82" s="77" t="s">
        <v>66</v>
      </c>
      <c r="G82" s="56"/>
      <c r="H82" s="56"/>
      <c r="I82" s="56"/>
      <c r="J82" s="104"/>
      <c r="K82" s="104"/>
      <c r="L82" s="104"/>
      <c r="M82" s="104"/>
      <c r="N82" s="104"/>
      <c r="O82" s="104"/>
      <c r="P82" s="104"/>
      <c r="Q82" s="104"/>
    </row>
    <row r="83" spans="1:17" s="78" customFormat="1" ht="25.5" x14ac:dyDescent="0.2">
      <c r="A83" s="81" t="s">
        <v>130</v>
      </c>
      <c r="B83" s="75">
        <v>900</v>
      </c>
      <c r="C83" s="76" t="s">
        <v>14</v>
      </c>
      <c r="D83" s="76" t="s">
        <v>24</v>
      </c>
      <c r="E83" s="76" t="s">
        <v>151</v>
      </c>
      <c r="F83" s="77" t="s">
        <v>63</v>
      </c>
      <c r="G83" s="56">
        <v>55</v>
      </c>
      <c r="H83" s="56"/>
      <c r="I83" s="56"/>
      <c r="J83" s="104"/>
      <c r="K83" s="104"/>
      <c r="L83" s="104"/>
      <c r="M83" s="104"/>
      <c r="N83" s="104"/>
      <c r="O83" s="104"/>
      <c r="P83" s="104"/>
      <c r="Q83" s="104"/>
    </row>
    <row r="84" spans="1:17" s="87" customFormat="1" x14ac:dyDescent="0.2">
      <c r="A84" s="83" t="s">
        <v>153</v>
      </c>
      <c r="B84" s="86">
        <v>900</v>
      </c>
      <c r="C84" s="71" t="s">
        <v>14</v>
      </c>
      <c r="D84" s="71" t="s">
        <v>24</v>
      </c>
      <c r="E84" s="71" t="s">
        <v>154</v>
      </c>
      <c r="F84" s="84"/>
      <c r="G84" s="85">
        <f>G85</f>
        <v>220</v>
      </c>
      <c r="H84" s="85">
        <f t="shared" ref="H84:I84" si="11">H85</f>
        <v>0</v>
      </c>
      <c r="I84" s="85">
        <f t="shared" si="11"/>
        <v>0</v>
      </c>
    </row>
    <row r="85" spans="1:17" s="26" customFormat="1" ht="25.5" x14ac:dyDescent="0.2">
      <c r="A85" s="28" t="s">
        <v>130</v>
      </c>
      <c r="B85" s="32">
        <v>900</v>
      </c>
      <c r="C85" s="24" t="s">
        <v>14</v>
      </c>
      <c r="D85" s="24" t="s">
        <v>24</v>
      </c>
      <c r="E85" s="24" t="s">
        <v>154</v>
      </c>
      <c r="F85" s="27" t="s">
        <v>63</v>
      </c>
      <c r="G85" s="25">
        <v>220</v>
      </c>
      <c r="H85" s="25"/>
      <c r="I85" s="25"/>
      <c r="J85" s="104"/>
      <c r="K85" s="104"/>
      <c r="L85" s="104"/>
      <c r="M85" s="104"/>
      <c r="N85" s="104"/>
      <c r="O85" s="104"/>
      <c r="P85" s="104"/>
      <c r="Q85" s="104"/>
    </row>
    <row r="86" spans="1:17" s="87" customFormat="1" ht="25.5" x14ac:dyDescent="0.2">
      <c r="A86" s="83" t="s">
        <v>365</v>
      </c>
      <c r="B86" s="86">
        <v>900</v>
      </c>
      <c r="C86" s="71" t="s">
        <v>14</v>
      </c>
      <c r="D86" s="71" t="s">
        <v>24</v>
      </c>
      <c r="E86" s="71" t="s">
        <v>366</v>
      </c>
      <c r="F86" s="84"/>
      <c r="G86" s="85">
        <f>G87+G88</f>
        <v>35</v>
      </c>
      <c r="H86" s="85">
        <f t="shared" ref="H86:I86" si="12">H87+H88</f>
        <v>0</v>
      </c>
      <c r="I86" s="85">
        <f t="shared" si="12"/>
        <v>0</v>
      </c>
      <c r="J86" s="110"/>
      <c r="K86" s="110"/>
      <c r="L86" s="110"/>
      <c r="M86" s="110"/>
      <c r="N86" s="110"/>
      <c r="O86" s="110"/>
      <c r="P86" s="110"/>
      <c r="Q86" s="110"/>
    </row>
    <row r="87" spans="1:17" s="78" customFormat="1" x14ac:dyDescent="0.2">
      <c r="A87" s="81" t="s">
        <v>67</v>
      </c>
      <c r="B87" s="75">
        <v>900</v>
      </c>
      <c r="C87" s="76" t="s">
        <v>14</v>
      </c>
      <c r="D87" s="76" t="s">
        <v>24</v>
      </c>
      <c r="E87" s="71" t="s">
        <v>366</v>
      </c>
      <c r="F87" s="77" t="s">
        <v>68</v>
      </c>
      <c r="G87" s="56"/>
      <c r="H87" s="56"/>
      <c r="I87" s="56"/>
      <c r="J87" s="104"/>
      <c r="K87" s="104"/>
      <c r="L87" s="104"/>
      <c r="M87" s="104"/>
      <c r="N87" s="104"/>
      <c r="O87" s="104"/>
      <c r="P87" s="104"/>
      <c r="Q87" s="104"/>
    </row>
    <row r="88" spans="1:17" s="78" customFormat="1" ht="25.5" x14ac:dyDescent="0.2">
      <c r="A88" s="81" t="s">
        <v>130</v>
      </c>
      <c r="B88" s="75">
        <v>900</v>
      </c>
      <c r="C88" s="76" t="s">
        <v>14</v>
      </c>
      <c r="D88" s="76" t="s">
        <v>24</v>
      </c>
      <c r="E88" s="71" t="s">
        <v>366</v>
      </c>
      <c r="F88" s="77" t="s">
        <v>63</v>
      </c>
      <c r="G88" s="56">
        <v>35</v>
      </c>
      <c r="H88" s="56"/>
      <c r="I88" s="56"/>
      <c r="J88" s="104"/>
      <c r="K88" s="104"/>
      <c r="L88" s="104"/>
      <c r="M88" s="104"/>
      <c r="N88" s="104"/>
      <c r="O88" s="104"/>
      <c r="P88" s="104"/>
      <c r="Q88" s="104"/>
    </row>
    <row r="89" spans="1:17" s="90" customFormat="1" x14ac:dyDescent="0.2">
      <c r="A89" s="89" t="s">
        <v>25</v>
      </c>
      <c r="B89" s="92">
        <v>900</v>
      </c>
      <c r="C89" s="59" t="s">
        <v>16</v>
      </c>
      <c r="D89" s="59"/>
      <c r="E89" s="59"/>
      <c r="F89" s="93"/>
      <c r="G89" s="62">
        <f>G93+G90</f>
        <v>655</v>
      </c>
      <c r="H89" s="62">
        <f t="shared" ref="H89:I89" si="13">H93+H90</f>
        <v>0</v>
      </c>
      <c r="I89" s="62">
        <f t="shared" si="13"/>
        <v>0</v>
      </c>
    </row>
    <row r="90" spans="1:17" s="9" customFormat="1" x14ac:dyDescent="0.2">
      <c r="A90" s="11" t="s">
        <v>678</v>
      </c>
      <c r="B90" s="14">
        <v>900</v>
      </c>
      <c r="C90" s="8" t="s">
        <v>16</v>
      </c>
      <c r="D90" s="8" t="s">
        <v>10</v>
      </c>
      <c r="E90" s="8"/>
      <c r="F90" s="8"/>
      <c r="G90" s="4">
        <f>G91</f>
        <v>0</v>
      </c>
      <c r="H90" s="4">
        <f t="shared" ref="H90:I91" si="14">H91</f>
        <v>0</v>
      </c>
      <c r="I90" s="4">
        <f t="shared" si="14"/>
        <v>0</v>
      </c>
      <c r="J90" s="109"/>
      <c r="K90" s="109"/>
      <c r="L90" s="109"/>
      <c r="M90" s="109"/>
      <c r="N90" s="109"/>
      <c r="O90" s="109"/>
      <c r="P90" s="109"/>
      <c r="Q90" s="109"/>
    </row>
    <row r="91" spans="1:17" ht="38.25" x14ac:dyDescent="0.2">
      <c r="A91" s="18" t="s">
        <v>682</v>
      </c>
      <c r="B91" s="22">
        <v>900</v>
      </c>
      <c r="C91" s="19" t="s">
        <v>16</v>
      </c>
      <c r="D91" s="19" t="s">
        <v>10</v>
      </c>
      <c r="E91" s="19" t="s">
        <v>681</v>
      </c>
      <c r="F91" s="19"/>
      <c r="G91" s="20">
        <f>G92</f>
        <v>0</v>
      </c>
      <c r="H91" s="20">
        <f t="shared" si="14"/>
        <v>0</v>
      </c>
      <c r="I91" s="20">
        <f t="shared" si="14"/>
        <v>0</v>
      </c>
      <c r="J91" s="103"/>
      <c r="K91" s="103"/>
      <c r="L91" s="103"/>
      <c r="M91" s="103"/>
      <c r="N91" s="103"/>
      <c r="O91" s="103"/>
      <c r="P91" s="103"/>
      <c r="Q91" s="103"/>
    </row>
    <row r="92" spans="1:17" s="26" customFormat="1" ht="25.5" x14ac:dyDescent="0.2">
      <c r="A92" s="28" t="s">
        <v>130</v>
      </c>
      <c r="B92" s="31">
        <v>900</v>
      </c>
      <c r="C92" s="24" t="s">
        <v>16</v>
      </c>
      <c r="D92" s="24" t="s">
        <v>10</v>
      </c>
      <c r="E92" s="24" t="s">
        <v>681</v>
      </c>
      <c r="F92" s="24" t="s">
        <v>63</v>
      </c>
      <c r="G92" s="25"/>
      <c r="H92" s="25"/>
      <c r="I92" s="25"/>
      <c r="J92" s="104"/>
      <c r="K92" s="104"/>
      <c r="L92" s="104"/>
      <c r="M92" s="104"/>
      <c r="N92" s="104"/>
      <c r="O92" s="104"/>
      <c r="P92" s="104"/>
      <c r="Q92" s="104"/>
    </row>
    <row r="93" spans="1:17" s="68" customFormat="1" x14ac:dyDescent="0.2">
      <c r="A93" s="64" t="s">
        <v>27</v>
      </c>
      <c r="B93" s="65">
        <v>900</v>
      </c>
      <c r="C93" s="66" t="s">
        <v>16</v>
      </c>
      <c r="D93" s="66" t="s">
        <v>21</v>
      </c>
      <c r="E93" s="66"/>
      <c r="F93" s="66"/>
      <c r="G93" s="67">
        <f>G100+G102+G97+G95+G98</f>
        <v>655</v>
      </c>
      <c r="H93" s="67">
        <f t="shared" ref="H93:I93" si="15">H100+H102+H97+H95+H98</f>
        <v>0</v>
      </c>
      <c r="I93" s="67">
        <f t="shared" si="15"/>
        <v>0</v>
      </c>
    </row>
    <row r="94" spans="1:17" ht="63" customHeight="1" x14ac:dyDescent="0.2">
      <c r="A94" s="18" t="s">
        <v>676</v>
      </c>
      <c r="B94" s="22">
        <v>900</v>
      </c>
      <c r="C94" s="19" t="s">
        <v>16</v>
      </c>
      <c r="D94" s="19" t="s">
        <v>21</v>
      </c>
      <c r="E94" s="19" t="s">
        <v>674</v>
      </c>
      <c r="F94" s="19"/>
      <c r="G94" s="20">
        <f>G95</f>
        <v>0</v>
      </c>
      <c r="H94" s="20">
        <f t="shared" ref="H94" si="16">H95</f>
        <v>0</v>
      </c>
      <c r="I94" s="20">
        <f t="shared" ref="I94" si="17">I95</f>
        <v>0</v>
      </c>
      <c r="J94" s="103"/>
      <c r="K94" s="103"/>
      <c r="L94" s="103"/>
      <c r="M94" s="103"/>
      <c r="N94" s="103"/>
      <c r="O94" s="103"/>
      <c r="P94" s="103"/>
      <c r="Q94" s="103"/>
    </row>
    <row r="95" spans="1:17" s="26" customFormat="1" x14ac:dyDescent="0.2">
      <c r="A95" s="28" t="s">
        <v>70</v>
      </c>
      <c r="B95" s="31">
        <v>900</v>
      </c>
      <c r="C95" s="24" t="s">
        <v>16</v>
      </c>
      <c r="D95" s="24" t="s">
        <v>21</v>
      </c>
      <c r="E95" s="24" t="s">
        <v>674</v>
      </c>
      <c r="F95" s="24" t="s">
        <v>71</v>
      </c>
      <c r="G95" s="25"/>
      <c r="H95" s="25"/>
      <c r="I95" s="25"/>
      <c r="J95" s="104"/>
      <c r="K95" s="104"/>
      <c r="L95" s="104"/>
      <c r="M95" s="104"/>
      <c r="N95" s="104"/>
      <c r="O95" s="104"/>
      <c r="P95" s="104"/>
      <c r="Q95" s="104"/>
    </row>
    <row r="96" spans="1:17" ht="63.75" x14ac:dyDescent="0.2">
      <c r="A96" s="18" t="s">
        <v>669</v>
      </c>
      <c r="B96" s="22">
        <v>900</v>
      </c>
      <c r="C96" s="19" t="s">
        <v>16</v>
      </c>
      <c r="D96" s="19" t="s">
        <v>21</v>
      </c>
      <c r="E96" s="19" t="s">
        <v>670</v>
      </c>
      <c r="F96" s="19"/>
      <c r="G96" s="20">
        <f>G97</f>
        <v>0</v>
      </c>
      <c r="H96" s="20">
        <f t="shared" ref="H96:I96" si="18">H97</f>
        <v>0</v>
      </c>
      <c r="I96" s="20">
        <f t="shared" si="18"/>
        <v>0</v>
      </c>
      <c r="J96" s="103"/>
      <c r="K96" s="103"/>
      <c r="L96" s="103"/>
      <c r="M96" s="103"/>
      <c r="N96" s="103"/>
      <c r="O96" s="103"/>
      <c r="P96" s="103"/>
      <c r="Q96" s="103"/>
    </row>
    <row r="97" spans="1:17" s="26" customFormat="1" x14ac:dyDescent="0.2">
      <c r="A97" s="28" t="s">
        <v>70</v>
      </c>
      <c r="B97" s="31">
        <v>900</v>
      </c>
      <c r="C97" s="24" t="s">
        <v>16</v>
      </c>
      <c r="D97" s="24" t="s">
        <v>21</v>
      </c>
      <c r="E97" s="24" t="s">
        <v>670</v>
      </c>
      <c r="F97" s="24" t="s">
        <v>71</v>
      </c>
      <c r="G97" s="25"/>
      <c r="H97" s="25"/>
      <c r="I97" s="25"/>
      <c r="J97" s="104"/>
      <c r="K97" s="104"/>
      <c r="L97" s="104"/>
      <c r="M97" s="104"/>
      <c r="N97" s="104"/>
      <c r="O97" s="104"/>
      <c r="P97" s="104"/>
      <c r="Q97" s="104"/>
    </row>
    <row r="98" spans="1:17" s="26" customFormat="1" ht="63.75" x14ac:dyDescent="0.2">
      <c r="A98" s="18" t="s">
        <v>669</v>
      </c>
      <c r="B98" s="22">
        <v>900</v>
      </c>
      <c r="C98" s="19" t="s">
        <v>16</v>
      </c>
      <c r="D98" s="19" t="s">
        <v>21</v>
      </c>
      <c r="E98" s="19" t="s">
        <v>684</v>
      </c>
      <c r="F98" s="19"/>
      <c r="G98" s="25">
        <f>G99</f>
        <v>0</v>
      </c>
      <c r="H98" s="25">
        <f t="shared" ref="H98:I98" si="19">H99</f>
        <v>0</v>
      </c>
      <c r="I98" s="25">
        <f t="shared" si="19"/>
        <v>0</v>
      </c>
      <c r="J98" s="104"/>
      <c r="K98" s="104"/>
      <c r="L98" s="104"/>
      <c r="M98" s="104"/>
      <c r="N98" s="104"/>
      <c r="O98" s="104"/>
      <c r="P98" s="104"/>
      <c r="Q98" s="104"/>
    </row>
    <row r="99" spans="1:17" s="26" customFormat="1" x14ac:dyDescent="0.2">
      <c r="A99" s="28" t="s">
        <v>70</v>
      </c>
      <c r="B99" s="31">
        <v>900</v>
      </c>
      <c r="C99" s="24" t="s">
        <v>16</v>
      </c>
      <c r="D99" s="24" t="s">
        <v>21</v>
      </c>
      <c r="E99" s="24" t="s">
        <v>684</v>
      </c>
      <c r="F99" s="24" t="s">
        <v>71</v>
      </c>
      <c r="G99" s="25"/>
      <c r="H99" s="25"/>
      <c r="I99" s="25"/>
      <c r="J99" s="104"/>
      <c r="K99" s="104"/>
      <c r="L99" s="104"/>
      <c r="M99" s="104"/>
      <c r="N99" s="104"/>
      <c r="O99" s="104"/>
      <c r="P99" s="104"/>
      <c r="Q99" s="104"/>
    </row>
    <row r="100" spans="1:17" ht="25.5" x14ac:dyDescent="0.2">
      <c r="A100" s="18" t="s">
        <v>156</v>
      </c>
      <c r="B100" s="22">
        <v>900</v>
      </c>
      <c r="C100" s="19" t="s">
        <v>16</v>
      </c>
      <c r="D100" s="19" t="s">
        <v>21</v>
      </c>
      <c r="E100" s="19" t="s">
        <v>155</v>
      </c>
      <c r="F100" s="19"/>
      <c r="G100" s="20">
        <f>G101</f>
        <v>203</v>
      </c>
      <c r="H100" s="20">
        <f>H101</f>
        <v>0</v>
      </c>
      <c r="I100" s="20">
        <f>I101</f>
        <v>0</v>
      </c>
      <c r="J100" s="103"/>
      <c r="K100" s="103"/>
      <c r="L100" s="103"/>
      <c r="M100" s="103"/>
      <c r="N100" s="103"/>
      <c r="O100" s="103"/>
      <c r="P100" s="103"/>
      <c r="Q100" s="103"/>
    </row>
    <row r="101" spans="1:17" s="26" customFormat="1" ht="25.5" x14ac:dyDescent="0.2">
      <c r="A101" s="28" t="s">
        <v>74</v>
      </c>
      <c r="B101" s="31">
        <v>900</v>
      </c>
      <c r="C101" s="24" t="s">
        <v>16</v>
      </c>
      <c r="D101" s="24" t="s">
        <v>21</v>
      </c>
      <c r="E101" s="24" t="s">
        <v>155</v>
      </c>
      <c r="F101" s="24" t="s">
        <v>66</v>
      </c>
      <c r="G101" s="25">
        <v>203</v>
      </c>
      <c r="H101" s="25"/>
      <c r="I101" s="25"/>
      <c r="J101" s="104"/>
      <c r="K101" s="104"/>
      <c r="L101" s="104"/>
      <c r="M101" s="104"/>
      <c r="N101" s="104"/>
      <c r="O101" s="104"/>
      <c r="P101" s="104"/>
      <c r="Q101" s="104"/>
    </row>
    <row r="102" spans="1:17" s="26" customFormat="1" ht="25.5" x14ac:dyDescent="0.2">
      <c r="A102" s="18" t="s">
        <v>624</v>
      </c>
      <c r="B102" s="31">
        <v>900</v>
      </c>
      <c r="C102" s="24" t="s">
        <v>16</v>
      </c>
      <c r="D102" s="24" t="s">
        <v>21</v>
      </c>
      <c r="E102" s="24" t="s">
        <v>625</v>
      </c>
      <c r="F102" s="24"/>
      <c r="G102" s="25">
        <f>G103</f>
        <v>452</v>
      </c>
      <c r="H102" s="25">
        <f t="shared" ref="H102:I102" si="20">H103</f>
        <v>0</v>
      </c>
      <c r="I102" s="25">
        <f t="shared" si="20"/>
        <v>0</v>
      </c>
      <c r="J102" s="104"/>
      <c r="K102" s="104"/>
      <c r="L102" s="104"/>
      <c r="M102" s="104"/>
      <c r="N102" s="104"/>
      <c r="O102" s="104"/>
      <c r="P102" s="104"/>
      <c r="Q102" s="104"/>
    </row>
    <row r="103" spans="1:17" s="26" customFormat="1" x14ac:dyDescent="0.2">
      <c r="A103" s="28" t="s">
        <v>70</v>
      </c>
      <c r="B103" s="31">
        <v>900</v>
      </c>
      <c r="C103" s="24" t="s">
        <v>16</v>
      </c>
      <c r="D103" s="24" t="s">
        <v>21</v>
      </c>
      <c r="E103" s="24" t="s">
        <v>625</v>
      </c>
      <c r="F103" s="24" t="s">
        <v>71</v>
      </c>
      <c r="G103" s="25">
        <v>452</v>
      </c>
      <c r="H103" s="25"/>
      <c r="I103" s="25"/>
      <c r="J103" s="104"/>
      <c r="K103" s="104"/>
      <c r="L103" s="104"/>
      <c r="M103" s="104"/>
      <c r="N103" s="104"/>
      <c r="O103" s="104"/>
      <c r="P103" s="104"/>
      <c r="Q103" s="104"/>
    </row>
    <row r="104" spans="1:17" s="90" customFormat="1" x14ac:dyDescent="0.2">
      <c r="A104" s="89" t="s">
        <v>28</v>
      </c>
      <c r="B104" s="58">
        <v>900</v>
      </c>
      <c r="C104" s="59" t="s">
        <v>29</v>
      </c>
      <c r="D104" s="59"/>
      <c r="E104" s="59"/>
      <c r="F104" s="59"/>
      <c r="G104" s="62">
        <f>G105</f>
        <v>191489.70580999998</v>
      </c>
      <c r="H104" s="62">
        <f t="shared" ref="H104:I104" si="21">H105</f>
        <v>167110.96</v>
      </c>
      <c r="I104" s="62">
        <f t="shared" si="21"/>
        <v>83344.032000000007</v>
      </c>
    </row>
    <row r="105" spans="1:17" s="68" customFormat="1" x14ac:dyDescent="0.2">
      <c r="A105" s="64" t="s">
        <v>30</v>
      </c>
      <c r="B105" s="65">
        <v>900</v>
      </c>
      <c r="C105" s="66" t="s">
        <v>29</v>
      </c>
      <c r="D105" s="66" t="s">
        <v>10</v>
      </c>
      <c r="E105" s="66"/>
      <c r="F105" s="66"/>
      <c r="G105" s="67">
        <f>G116+G121+G112+G109+G106+G114+G119</f>
        <v>191489.70580999998</v>
      </c>
      <c r="H105" s="67">
        <f t="shared" ref="H105:I105" si="22">H116+H121+H112+H109+H106+H114+H119</f>
        <v>167110.96</v>
      </c>
      <c r="I105" s="67">
        <f t="shared" si="22"/>
        <v>83344.032000000007</v>
      </c>
    </row>
    <row r="106" spans="1:17" ht="53.25" customHeight="1" x14ac:dyDescent="0.2">
      <c r="A106" s="18" t="s">
        <v>746</v>
      </c>
      <c r="B106" s="22">
        <v>900</v>
      </c>
      <c r="C106" s="19" t="s">
        <v>29</v>
      </c>
      <c r="D106" s="19" t="s">
        <v>10</v>
      </c>
      <c r="E106" s="19" t="s">
        <v>740</v>
      </c>
      <c r="F106" s="19"/>
      <c r="G106" s="20">
        <f>G107+G108</f>
        <v>175340.65198</v>
      </c>
      <c r="H106" s="20">
        <f t="shared" ref="H106:I106" si="23">H107+H108</f>
        <v>140373.2064</v>
      </c>
      <c r="I106" s="20">
        <f t="shared" si="23"/>
        <v>0</v>
      </c>
      <c r="J106" s="103"/>
      <c r="K106" s="103"/>
      <c r="L106" s="103"/>
      <c r="M106" s="103"/>
      <c r="N106" s="103"/>
      <c r="O106" s="103"/>
      <c r="P106" s="103"/>
      <c r="Q106" s="103"/>
    </row>
    <row r="107" spans="1:17" s="26" customFormat="1" ht="25.5" x14ac:dyDescent="0.2">
      <c r="A107" s="28" t="s">
        <v>80</v>
      </c>
      <c r="B107" s="31">
        <v>900</v>
      </c>
      <c r="C107" s="24" t="s">
        <v>29</v>
      </c>
      <c r="D107" s="24" t="s">
        <v>10</v>
      </c>
      <c r="E107" s="24" t="s">
        <v>740</v>
      </c>
      <c r="F107" s="24" t="s">
        <v>69</v>
      </c>
      <c r="G107" s="25">
        <v>85831.981480000002</v>
      </c>
      <c r="H107" s="25">
        <v>72661.518339999995</v>
      </c>
      <c r="I107" s="25">
        <v>0</v>
      </c>
      <c r="J107" s="104"/>
      <c r="K107" s="104"/>
      <c r="L107" s="104"/>
      <c r="M107" s="104"/>
      <c r="N107" s="104"/>
      <c r="O107" s="104"/>
      <c r="P107" s="104"/>
      <c r="Q107" s="104"/>
    </row>
    <row r="108" spans="1:17" s="26" customFormat="1" x14ac:dyDescent="0.2">
      <c r="A108" s="28" t="s">
        <v>70</v>
      </c>
      <c r="B108" s="31">
        <v>900</v>
      </c>
      <c r="C108" s="24" t="s">
        <v>29</v>
      </c>
      <c r="D108" s="24" t="s">
        <v>10</v>
      </c>
      <c r="E108" s="24" t="s">
        <v>740</v>
      </c>
      <c r="F108" s="24" t="s">
        <v>71</v>
      </c>
      <c r="G108" s="25">
        <v>89508.670499999993</v>
      </c>
      <c r="H108" s="25">
        <v>67711.68806</v>
      </c>
      <c r="I108" s="25">
        <v>0</v>
      </c>
      <c r="J108" s="104"/>
      <c r="K108" s="104"/>
      <c r="L108" s="104"/>
      <c r="M108" s="104"/>
      <c r="N108" s="104"/>
      <c r="O108" s="104"/>
      <c r="P108" s="104"/>
      <c r="Q108" s="104"/>
    </row>
    <row r="109" spans="1:17" ht="63.75" x14ac:dyDescent="0.2">
      <c r="A109" s="18" t="s">
        <v>747</v>
      </c>
      <c r="B109" s="22">
        <v>900</v>
      </c>
      <c r="C109" s="19" t="s">
        <v>29</v>
      </c>
      <c r="D109" s="19" t="s">
        <v>10</v>
      </c>
      <c r="E109" s="19" t="s">
        <v>741</v>
      </c>
      <c r="F109" s="19"/>
      <c r="G109" s="20">
        <f>G110+G111</f>
        <v>4335.3439099999996</v>
      </c>
      <c r="H109" s="20">
        <f t="shared" ref="H109:I109" si="24">H110+H111</f>
        <v>26737.7536</v>
      </c>
      <c r="I109" s="20">
        <f t="shared" si="24"/>
        <v>83344.032000000007</v>
      </c>
      <c r="J109" s="103"/>
      <c r="K109" s="103"/>
      <c r="L109" s="103"/>
      <c r="M109" s="103"/>
      <c r="N109" s="103"/>
      <c r="O109" s="103"/>
      <c r="P109" s="103"/>
      <c r="Q109" s="103"/>
    </row>
    <row r="110" spans="1:17" s="26" customFormat="1" ht="25.5" x14ac:dyDescent="0.2">
      <c r="A110" s="28" t="s">
        <v>80</v>
      </c>
      <c r="B110" s="31">
        <v>900</v>
      </c>
      <c r="C110" s="24" t="s">
        <v>29</v>
      </c>
      <c r="D110" s="24" t="s">
        <v>10</v>
      </c>
      <c r="E110" s="24" t="s">
        <v>741</v>
      </c>
      <c r="F110" s="24" t="s">
        <v>69</v>
      </c>
      <c r="G110" s="25">
        <v>2106.9</v>
      </c>
      <c r="H110" s="25">
        <v>13576</v>
      </c>
      <c r="I110" s="25">
        <v>41849.699999999997</v>
      </c>
      <c r="J110" s="104"/>
      <c r="K110" s="104"/>
      <c r="L110" s="104"/>
      <c r="M110" s="104"/>
      <c r="N110" s="104"/>
      <c r="O110" s="104"/>
      <c r="P110" s="104"/>
      <c r="Q110" s="104"/>
    </row>
    <row r="111" spans="1:17" x14ac:dyDescent="0.2">
      <c r="A111" s="28" t="s">
        <v>70</v>
      </c>
      <c r="B111" s="31">
        <v>900</v>
      </c>
      <c r="C111" s="24" t="s">
        <v>29</v>
      </c>
      <c r="D111" s="24" t="s">
        <v>10</v>
      </c>
      <c r="E111" s="24" t="s">
        <v>741</v>
      </c>
      <c r="F111" s="24" t="s">
        <v>71</v>
      </c>
      <c r="G111" s="20">
        <v>2228.44391</v>
      </c>
      <c r="H111" s="20">
        <f>13161.8-0.0464</f>
        <v>13161.7536</v>
      </c>
      <c r="I111" s="20">
        <v>41494.332000000002</v>
      </c>
      <c r="J111" s="103"/>
      <c r="K111" s="103"/>
      <c r="L111" s="103"/>
      <c r="M111" s="103"/>
      <c r="N111" s="103"/>
      <c r="O111" s="103"/>
      <c r="P111" s="103"/>
      <c r="Q111" s="103"/>
    </row>
    <row r="112" spans="1:17" s="73" customFormat="1" ht="63.75" x14ac:dyDescent="0.2">
      <c r="A112" s="69" t="s">
        <v>747</v>
      </c>
      <c r="B112" s="69">
        <v>900</v>
      </c>
      <c r="C112" s="71" t="s">
        <v>29</v>
      </c>
      <c r="D112" s="71" t="s">
        <v>10</v>
      </c>
      <c r="E112" s="71" t="s">
        <v>744</v>
      </c>
      <c r="F112" s="94"/>
      <c r="G112" s="72">
        <f>G113</f>
        <v>1277</v>
      </c>
      <c r="H112" s="56">
        <v>0</v>
      </c>
      <c r="I112" s="56">
        <v>0</v>
      </c>
      <c r="J112" s="103"/>
      <c r="K112" s="103"/>
      <c r="L112" s="103"/>
      <c r="M112" s="103"/>
      <c r="N112" s="103"/>
      <c r="O112" s="103"/>
      <c r="P112" s="103"/>
      <c r="Q112" s="103"/>
    </row>
    <row r="113" spans="1:17" s="78" customFormat="1" ht="25.5" x14ac:dyDescent="0.2">
      <c r="A113" s="81" t="s">
        <v>80</v>
      </c>
      <c r="B113" s="81">
        <v>900</v>
      </c>
      <c r="C113" s="76" t="s">
        <v>29</v>
      </c>
      <c r="D113" s="76" t="s">
        <v>10</v>
      </c>
      <c r="E113" s="71" t="s">
        <v>744</v>
      </c>
      <c r="F113" s="77" t="s">
        <v>69</v>
      </c>
      <c r="G113" s="56">
        <v>1277</v>
      </c>
      <c r="H113" s="56"/>
      <c r="I113" s="56"/>
      <c r="J113" s="104"/>
      <c r="K113" s="104"/>
      <c r="L113" s="104"/>
      <c r="M113" s="104"/>
      <c r="N113" s="104"/>
      <c r="O113" s="104"/>
      <c r="P113" s="104"/>
      <c r="Q113" s="104"/>
    </row>
    <row r="114" spans="1:17" s="103" customFormat="1" ht="63.75" x14ac:dyDescent="0.2">
      <c r="A114" s="239" t="s">
        <v>765</v>
      </c>
      <c r="B114" s="240">
        <v>900</v>
      </c>
      <c r="C114" s="241" t="s">
        <v>29</v>
      </c>
      <c r="D114" s="241" t="s">
        <v>10</v>
      </c>
      <c r="E114" s="241" t="s">
        <v>766</v>
      </c>
      <c r="F114" s="241"/>
      <c r="G114" s="193">
        <f>G115</f>
        <v>167.57162</v>
      </c>
      <c r="H114" s="193">
        <f t="shared" ref="H114:I114" si="25">H115</f>
        <v>0</v>
      </c>
      <c r="I114" s="193">
        <f t="shared" si="25"/>
        <v>0</v>
      </c>
    </row>
    <row r="115" spans="1:17" s="104" customFormat="1" ht="25.5" x14ac:dyDescent="0.2">
      <c r="A115" s="247" t="s">
        <v>80</v>
      </c>
      <c r="B115" s="243">
        <v>900</v>
      </c>
      <c r="C115" s="244" t="s">
        <v>29</v>
      </c>
      <c r="D115" s="244" t="s">
        <v>10</v>
      </c>
      <c r="E115" s="244" t="s">
        <v>766</v>
      </c>
      <c r="F115" s="244" t="s">
        <v>69</v>
      </c>
      <c r="G115" s="192">
        <v>167.57162</v>
      </c>
      <c r="H115" s="192">
        <f>63733.72713+6653.33795-70387.06508</f>
        <v>0</v>
      </c>
      <c r="I115" s="192">
        <v>0</v>
      </c>
    </row>
    <row r="116" spans="1:17" s="103" customFormat="1" ht="63.75" x14ac:dyDescent="0.2">
      <c r="A116" s="239" t="s">
        <v>765</v>
      </c>
      <c r="B116" s="240">
        <v>900</v>
      </c>
      <c r="C116" s="241" t="s">
        <v>29</v>
      </c>
      <c r="D116" s="241" t="s">
        <v>10</v>
      </c>
      <c r="E116" s="241" t="s">
        <v>767</v>
      </c>
      <c r="F116" s="241"/>
      <c r="G116" s="193">
        <f>G117+G118</f>
        <v>1986.1383000000001</v>
      </c>
      <c r="H116" s="193">
        <f t="shared" ref="H116:I116" si="26">H117+H118</f>
        <v>0</v>
      </c>
      <c r="I116" s="193">
        <f t="shared" si="26"/>
        <v>0</v>
      </c>
    </row>
    <row r="117" spans="1:17" s="104" customFormat="1" ht="25.5" x14ac:dyDescent="0.2">
      <c r="A117" s="247" t="s">
        <v>80</v>
      </c>
      <c r="B117" s="243">
        <v>900</v>
      </c>
      <c r="C117" s="244" t="s">
        <v>29</v>
      </c>
      <c r="D117" s="244" t="s">
        <v>10</v>
      </c>
      <c r="E117" s="244" t="s">
        <v>767</v>
      </c>
      <c r="F117" s="244" t="s">
        <v>69</v>
      </c>
      <c r="G117" s="192">
        <v>262.81376</v>
      </c>
      <c r="H117" s="192">
        <f>3946.92174+2106.90007-3946.92174-2106.90007</f>
        <v>0</v>
      </c>
      <c r="I117" s="192">
        <f>100785.364-100785.364</f>
        <v>0</v>
      </c>
    </row>
    <row r="118" spans="1:17" s="103" customFormat="1" x14ac:dyDescent="0.2">
      <c r="A118" s="247" t="s">
        <v>70</v>
      </c>
      <c r="B118" s="243">
        <v>900</v>
      </c>
      <c r="C118" s="244" t="s">
        <v>29</v>
      </c>
      <c r="D118" s="244" t="s">
        <v>10</v>
      </c>
      <c r="E118" s="244" t="s">
        <v>767</v>
      </c>
      <c r="F118" s="244" t="s">
        <v>71</v>
      </c>
      <c r="G118" s="193">
        <v>1723.3245400000001</v>
      </c>
      <c r="H118" s="193">
        <f>2228.44384-2228.44384</f>
        <v>0</v>
      </c>
      <c r="I118" s="193">
        <v>0</v>
      </c>
    </row>
    <row r="119" spans="1:17" x14ac:dyDescent="0.2">
      <c r="A119" s="18" t="s">
        <v>160</v>
      </c>
      <c r="B119" s="18">
        <v>900</v>
      </c>
      <c r="C119" s="19" t="s">
        <v>29</v>
      </c>
      <c r="D119" s="19" t="s">
        <v>10</v>
      </c>
      <c r="E119" s="19" t="s">
        <v>159</v>
      </c>
      <c r="F119" s="19"/>
      <c r="G119" s="20">
        <f>G120</f>
        <v>194.5</v>
      </c>
      <c r="H119" s="20">
        <f t="shared" ref="H119:I119" si="27">H120</f>
        <v>0</v>
      </c>
      <c r="I119" s="20">
        <f t="shared" si="27"/>
        <v>0</v>
      </c>
      <c r="J119" s="197"/>
      <c r="K119" s="197"/>
      <c r="L119" s="197"/>
      <c r="M119" s="197"/>
      <c r="N119" s="197"/>
      <c r="O119" s="197"/>
      <c r="P119" s="197"/>
      <c r="Q119" s="197"/>
    </row>
    <row r="120" spans="1:17" ht="25.5" x14ac:dyDescent="0.2">
      <c r="A120" s="28" t="s">
        <v>80</v>
      </c>
      <c r="B120" s="28">
        <v>900</v>
      </c>
      <c r="C120" s="24" t="s">
        <v>29</v>
      </c>
      <c r="D120" s="24" t="s">
        <v>10</v>
      </c>
      <c r="E120" s="19" t="s">
        <v>159</v>
      </c>
      <c r="F120" s="24" t="s">
        <v>69</v>
      </c>
      <c r="G120" s="56">
        <v>194.5</v>
      </c>
      <c r="H120" s="56">
        <v>0</v>
      </c>
      <c r="I120" s="56">
        <v>0</v>
      </c>
      <c r="J120" s="197"/>
      <c r="K120" s="197"/>
      <c r="L120" s="197"/>
      <c r="M120" s="197"/>
      <c r="N120" s="197"/>
      <c r="O120" s="197"/>
      <c r="P120" s="197"/>
      <c r="Q120" s="197"/>
    </row>
    <row r="121" spans="1:17" s="103" customFormat="1" x14ac:dyDescent="0.2">
      <c r="A121" s="239" t="s">
        <v>162</v>
      </c>
      <c r="B121" s="240">
        <v>900</v>
      </c>
      <c r="C121" s="241" t="s">
        <v>29</v>
      </c>
      <c r="D121" s="241" t="s">
        <v>10</v>
      </c>
      <c r="E121" s="244" t="s">
        <v>161</v>
      </c>
      <c r="F121" s="241"/>
      <c r="G121" s="193">
        <f>G123+G122</f>
        <v>8188.5000000000009</v>
      </c>
      <c r="H121" s="193">
        <f t="shared" ref="H121:I121" si="28">H123+H122</f>
        <v>0</v>
      </c>
      <c r="I121" s="193">
        <f t="shared" si="28"/>
        <v>0</v>
      </c>
    </row>
    <row r="122" spans="1:17" s="104" customFormat="1" ht="25.5" x14ac:dyDescent="0.2">
      <c r="A122" s="247" t="s">
        <v>74</v>
      </c>
      <c r="B122" s="240">
        <v>900</v>
      </c>
      <c r="C122" s="241" t="s">
        <v>29</v>
      </c>
      <c r="D122" s="241" t="s">
        <v>10</v>
      </c>
      <c r="E122" s="244" t="s">
        <v>161</v>
      </c>
      <c r="F122" s="244" t="s">
        <v>66</v>
      </c>
      <c r="G122" s="192">
        <f>8327.2-138.7</f>
        <v>8188.5000000000009</v>
      </c>
      <c r="H122" s="192"/>
      <c r="I122" s="192"/>
    </row>
    <row r="123" spans="1:17" s="26" customFormat="1" ht="25.5" x14ac:dyDescent="0.2">
      <c r="A123" s="28" t="s">
        <v>80</v>
      </c>
      <c r="B123" s="22">
        <v>900</v>
      </c>
      <c r="C123" s="19" t="s">
        <v>29</v>
      </c>
      <c r="D123" s="19" t="s">
        <v>10</v>
      </c>
      <c r="E123" s="24" t="s">
        <v>161</v>
      </c>
      <c r="F123" s="24" t="s">
        <v>69</v>
      </c>
      <c r="G123" s="25"/>
      <c r="H123" s="25"/>
      <c r="I123" s="25"/>
      <c r="J123" s="104"/>
      <c r="K123" s="104"/>
      <c r="L123" s="104"/>
      <c r="M123" s="104"/>
      <c r="N123" s="104"/>
      <c r="O123" s="104"/>
      <c r="P123" s="104"/>
      <c r="Q123" s="104"/>
    </row>
    <row r="124" spans="1:17" s="3" customFormat="1" x14ac:dyDescent="0.2">
      <c r="A124" s="13" t="s">
        <v>35</v>
      </c>
      <c r="B124" s="41">
        <v>900</v>
      </c>
      <c r="C124" s="1" t="s">
        <v>17</v>
      </c>
      <c r="D124" s="1"/>
      <c r="E124" s="1"/>
      <c r="F124" s="1"/>
      <c r="G124" s="2">
        <f t="shared" ref="G124:I126" si="29">G125</f>
        <v>121.1</v>
      </c>
      <c r="H124" s="2">
        <f t="shared" si="29"/>
        <v>121.1</v>
      </c>
      <c r="I124" s="2">
        <f t="shared" si="29"/>
        <v>121.1</v>
      </c>
    </row>
    <row r="125" spans="1:17" s="9" customFormat="1" x14ac:dyDescent="0.2">
      <c r="A125" s="11" t="s">
        <v>38</v>
      </c>
      <c r="B125" s="14">
        <v>900</v>
      </c>
      <c r="C125" s="8" t="s">
        <v>17</v>
      </c>
      <c r="D125" s="8" t="s">
        <v>17</v>
      </c>
      <c r="E125" s="8"/>
      <c r="F125" s="8"/>
      <c r="G125" s="4">
        <f t="shared" si="29"/>
        <v>121.1</v>
      </c>
      <c r="H125" s="4">
        <f t="shared" si="29"/>
        <v>121.1</v>
      </c>
      <c r="I125" s="4">
        <f t="shared" si="29"/>
        <v>121.1</v>
      </c>
      <c r="J125" s="109"/>
      <c r="K125" s="109"/>
      <c r="L125" s="109"/>
      <c r="M125" s="109"/>
      <c r="N125" s="109"/>
      <c r="O125" s="109"/>
      <c r="P125" s="109"/>
      <c r="Q125" s="109"/>
    </row>
    <row r="126" spans="1:17" ht="25.5" x14ac:dyDescent="0.2">
      <c r="A126" s="18" t="s">
        <v>164</v>
      </c>
      <c r="B126" s="22">
        <v>900</v>
      </c>
      <c r="C126" s="19" t="s">
        <v>17</v>
      </c>
      <c r="D126" s="19" t="s">
        <v>17</v>
      </c>
      <c r="E126" s="19" t="s">
        <v>163</v>
      </c>
      <c r="F126" s="19"/>
      <c r="G126" s="20">
        <f>G127</f>
        <v>121.1</v>
      </c>
      <c r="H126" s="20">
        <f t="shared" si="29"/>
        <v>121.1</v>
      </c>
      <c r="I126" s="20">
        <f t="shared" si="29"/>
        <v>121.1</v>
      </c>
      <c r="J126" s="197"/>
      <c r="K126" s="197"/>
      <c r="L126" s="197"/>
      <c r="M126" s="197"/>
      <c r="N126" s="197"/>
      <c r="O126" s="197"/>
      <c r="P126" s="197"/>
      <c r="Q126" s="197"/>
    </row>
    <row r="127" spans="1:17" s="26" customFormat="1" ht="25.5" x14ac:dyDescent="0.2">
      <c r="A127" s="28" t="s">
        <v>74</v>
      </c>
      <c r="B127" s="31">
        <v>900</v>
      </c>
      <c r="C127" s="24" t="s">
        <v>17</v>
      </c>
      <c r="D127" s="24" t="s">
        <v>17</v>
      </c>
      <c r="E127" s="24" t="s">
        <v>163</v>
      </c>
      <c r="F127" s="27" t="s">
        <v>66</v>
      </c>
      <c r="G127" s="25">
        <v>121.1</v>
      </c>
      <c r="H127" s="25">
        <v>121.1</v>
      </c>
      <c r="I127" s="25">
        <v>121.1</v>
      </c>
    </row>
    <row r="128" spans="1:17" s="90" customFormat="1" x14ac:dyDescent="0.2">
      <c r="A128" s="89" t="s">
        <v>50</v>
      </c>
      <c r="B128" s="58">
        <v>900</v>
      </c>
      <c r="C128" s="59" t="s">
        <v>49</v>
      </c>
      <c r="D128" s="59"/>
      <c r="E128" s="59"/>
      <c r="F128" s="59"/>
      <c r="G128" s="62">
        <f>G129+G144</f>
        <v>369843.18434000004</v>
      </c>
      <c r="H128" s="62">
        <f>H129+H144</f>
        <v>294308.3</v>
      </c>
      <c r="I128" s="62">
        <f>I129+I144</f>
        <v>639796.4</v>
      </c>
    </row>
    <row r="129" spans="1:17" s="9" customFormat="1" x14ac:dyDescent="0.2">
      <c r="A129" s="11" t="s">
        <v>53</v>
      </c>
      <c r="B129" s="14">
        <v>900</v>
      </c>
      <c r="C129" s="8" t="s">
        <v>49</v>
      </c>
      <c r="D129" s="8" t="s">
        <v>14</v>
      </c>
      <c r="E129" s="8"/>
      <c r="F129" s="8"/>
      <c r="G129" s="4">
        <f>G134+G140+G130+G138+G142+G136+G132</f>
        <v>369730.88434000005</v>
      </c>
      <c r="H129" s="4">
        <f>H134+H140+H130+H138+H142+H136+H132</f>
        <v>294308.3</v>
      </c>
      <c r="I129" s="4">
        <f>I134+I140+I130+I138+I142+I136+I132</f>
        <v>639796.4</v>
      </c>
      <c r="J129" s="109"/>
      <c r="K129" s="109"/>
      <c r="L129" s="109"/>
      <c r="M129" s="109"/>
      <c r="N129" s="109"/>
      <c r="O129" s="109"/>
      <c r="P129" s="109"/>
      <c r="Q129" s="109"/>
    </row>
    <row r="130" spans="1:17" ht="52.5" customHeight="1" x14ac:dyDescent="0.2">
      <c r="A130" s="18" t="s">
        <v>338</v>
      </c>
      <c r="B130" s="18">
        <v>900</v>
      </c>
      <c r="C130" s="19" t="s">
        <v>49</v>
      </c>
      <c r="D130" s="19" t="s">
        <v>14</v>
      </c>
      <c r="E130" s="19" t="s">
        <v>337</v>
      </c>
      <c r="F130" s="19"/>
      <c r="G130" s="20">
        <f>G131</f>
        <v>654.70000000000005</v>
      </c>
      <c r="H130" s="20">
        <f>H131</f>
        <v>0</v>
      </c>
      <c r="I130" s="20">
        <f>I131</f>
        <v>654.70000000000005</v>
      </c>
      <c r="J130" s="103"/>
      <c r="K130" s="103"/>
      <c r="L130" s="103"/>
      <c r="M130" s="103"/>
      <c r="N130" s="103"/>
      <c r="O130" s="103"/>
      <c r="P130" s="103"/>
      <c r="Q130" s="103"/>
    </row>
    <row r="131" spans="1:17" ht="25.5" x14ac:dyDescent="0.2">
      <c r="A131" s="28" t="s">
        <v>80</v>
      </c>
      <c r="B131" s="28">
        <v>900</v>
      </c>
      <c r="C131" s="24" t="s">
        <v>49</v>
      </c>
      <c r="D131" s="24" t="s">
        <v>14</v>
      </c>
      <c r="E131" s="24" t="s">
        <v>337</v>
      </c>
      <c r="F131" s="24" t="s">
        <v>69</v>
      </c>
      <c r="G131" s="25">
        <v>654.70000000000005</v>
      </c>
      <c r="H131" s="25">
        <v>0</v>
      </c>
      <c r="I131" s="25">
        <v>654.70000000000005</v>
      </c>
      <c r="J131" s="103"/>
      <c r="K131" s="103"/>
      <c r="L131" s="103"/>
      <c r="M131" s="103"/>
      <c r="N131" s="103"/>
      <c r="O131" s="103"/>
      <c r="P131" s="103"/>
      <c r="Q131" s="103"/>
    </row>
    <row r="132" spans="1:17" ht="81" customHeight="1" x14ac:dyDescent="0.2">
      <c r="A132" s="18" t="s">
        <v>362</v>
      </c>
      <c r="B132" s="22">
        <v>900</v>
      </c>
      <c r="C132" s="19" t="s">
        <v>49</v>
      </c>
      <c r="D132" s="19" t="s">
        <v>14</v>
      </c>
      <c r="E132" s="19" t="s">
        <v>361</v>
      </c>
      <c r="F132" s="19"/>
      <c r="G132" s="20">
        <f>G133</f>
        <v>0</v>
      </c>
      <c r="H132" s="20">
        <f t="shared" ref="H132:I132" si="30">H133</f>
        <v>0</v>
      </c>
      <c r="I132" s="20">
        <f t="shared" si="30"/>
        <v>0</v>
      </c>
      <c r="J132" s="103"/>
      <c r="K132" s="103"/>
      <c r="L132" s="103"/>
      <c r="M132" s="103"/>
      <c r="N132" s="103"/>
      <c r="O132" s="103"/>
      <c r="P132" s="103"/>
      <c r="Q132" s="103"/>
    </row>
    <row r="133" spans="1:17" x14ac:dyDescent="0.2">
      <c r="A133" s="53" t="s">
        <v>67</v>
      </c>
      <c r="B133" s="28">
        <v>900</v>
      </c>
      <c r="C133" s="24" t="s">
        <v>49</v>
      </c>
      <c r="D133" s="24" t="s">
        <v>14</v>
      </c>
      <c r="E133" s="24" t="s">
        <v>361</v>
      </c>
      <c r="F133" s="24" t="s">
        <v>68</v>
      </c>
      <c r="G133" s="20"/>
      <c r="H133" s="25"/>
      <c r="I133" s="25"/>
      <c r="J133" s="103"/>
      <c r="K133" s="103"/>
      <c r="L133" s="103"/>
      <c r="M133" s="103"/>
      <c r="N133" s="103"/>
      <c r="O133" s="103"/>
      <c r="P133" s="103"/>
      <c r="Q133" s="103"/>
    </row>
    <row r="134" spans="1:17" ht="63.75" x14ac:dyDescent="0.2">
      <c r="A134" s="18" t="s">
        <v>167</v>
      </c>
      <c r="B134" s="22">
        <v>900</v>
      </c>
      <c r="C134" s="19" t="s">
        <v>49</v>
      </c>
      <c r="D134" s="19" t="s">
        <v>14</v>
      </c>
      <c r="E134" s="19" t="s">
        <v>86</v>
      </c>
      <c r="F134" s="19"/>
      <c r="G134" s="20">
        <f>G135</f>
        <v>2618.5</v>
      </c>
      <c r="H134" s="20">
        <f t="shared" ref="H134:I134" si="31">H135</f>
        <v>0</v>
      </c>
      <c r="I134" s="20">
        <f t="shared" si="31"/>
        <v>1309.3</v>
      </c>
      <c r="J134" s="103"/>
      <c r="K134" s="103"/>
      <c r="L134" s="103"/>
      <c r="M134" s="103"/>
      <c r="N134" s="103"/>
      <c r="O134" s="103"/>
      <c r="P134" s="103"/>
      <c r="Q134" s="103"/>
    </row>
    <row r="135" spans="1:17" x14ac:dyDescent="0.2">
      <c r="A135" s="53" t="s">
        <v>67</v>
      </c>
      <c r="B135" s="28">
        <v>900</v>
      </c>
      <c r="C135" s="24" t="s">
        <v>49</v>
      </c>
      <c r="D135" s="24" t="s">
        <v>14</v>
      </c>
      <c r="E135" s="24" t="s">
        <v>86</v>
      </c>
      <c r="F135" s="24" t="s">
        <v>68</v>
      </c>
      <c r="G135" s="20">
        <v>2618.5</v>
      </c>
      <c r="H135" s="20">
        <v>0</v>
      </c>
      <c r="I135" s="20">
        <v>1309.3</v>
      </c>
      <c r="J135" s="103"/>
      <c r="K135" s="103"/>
      <c r="L135" s="103"/>
      <c r="M135" s="103"/>
      <c r="N135" s="103"/>
      <c r="O135" s="103"/>
      <c r="P135" s="103"/>
      <c r="Q135" s="103"/>
    </row>
    <row r="136" spans="1:17" ht="25.5" x14ac:dyDescent="0.2">
      <c r="A136" s="18" t="s">
        <v>319</v>
      </c>
      <c r="B136" s="22">
        <v>900</v>
      </c>
      <c r="C136" s="19" t="s">
        <v>49</v>
      </c>
      <c r="D136" s="19" t="s">
        <v>14</v>
      </c>
      <c r="E136" s="19" t="s">
        <v>318</v>
      </c>
      <c r="F136" s="19"/>
      <c r="G136" s="20">
        <f>G137</f>
        <v>19433.5</v>
      </c>
      <c r="H136" s="20">
        <f>H137</f>
        <v>19433.5</v>
      </c>
      <c r="I136" s="20">
        <f>I137</f>
        <v>19433.5</v>
      </c>
      <c r="J136" s="103"/>
      <c r="K136" s="103"/>
      <c r="L136" s="103"/>
      <c r="M136" s="103"/>
      <c r="N136" s="103"/>
      <c r="O136" s="103"/>
      <c r="P136" s="103"/>
      <c r="Q136" s="103"/>
    </row>
    <row r="137" spans="1:17" s="26" customFormat="1" ht="25.5" x14ac:dyDescent="0.2">
      <c r="A137" s="28" t="s">
        <v>80</v>
      </c>
      <c r="B137" s="28">
        <v>900</v>
      </c>
      <c r="C137" s="24" t="s">
        <v>49</v>
      </c>
      <c r="D137" s="24" t="s">
        <v>14</v>
      </c>
      <c r="E137" s="24" t="s">
        <v>318</v>
      </c>
      <c r="F137" s="24" t="s">
        <v>69</v>
      </c>
      <c r="G137" s="25">
        <f>21142.8-1709.3</f>
        <v>19433.5</v>
      </c>
      <c r="H137" s="25">
        <f>21142.8-1709.3</f>
        <v>19433.5</v>
      </c>
      <c r="I137" s="25">
        <f>21142.8-1709.3</f>
        <v>19433.5</v>
      </c>
      <c r="J137" s="104"/>
      <c r="K137" s="104"/>
      <c r="L137" s="104"/>
      <c r="M137" s="104"/>
      <c r="N137" s="104"/>
      <c r="O137" s="104"/>
      <c r="P137" s="104"/>
      <c r="Q137" s="104"/>
    </row>
    <row r="138" spans="1:17" s="21" customFormat="1" ht="38.25" x14ac:dyDescent="0.2">
      <c r="A138" s="18" t="s">
        <v>309</v>
      </c>
      <c r="B138" s="22">
        <v>900</v>
      </c>
      <c r="C138" s="19" t="s">
        <v>49</v>
      </c>
      <c r="D138" s="19" t="s">
        <v>14</v>
      </c>
      <c r="E138" s="19" t="s">
        <v>158</v>
      </c>
      <c r="F138" s="19"/>
      <c r="G138" s="20">
        <f>G139</f>
        <v>2000</v>
      </c>
      <c r="H138" s="20">
        <f>H139</f>
        <v>0</v>
      </c>
      <c r="I138" s="20">
        <f>I139</f>
        <v>0</v>
      </c>
    </row>
    <row r="139" spans="1:17" s="26" customFormat="1" ht="25.5" x14ac:dyDescent="0.2">
      <c r="A139" s="28" t="s">
        <v>80</v>
      </c>
      <c r="B139" s="31">
        <v>900</v>
      </c>
      <c r="C139" s="24" t="s">
        <v>49</v>
      </c>
      <c r="D139" s="24" t="s">
        <v>14</v>
      </c>
      <c r="E139" s="24" t="s">
        <v>158</v>
      </c>
      <c r="F139" s="24" t="s">
        <v>69</v>
      </c>
      <c r="G139" s="25">
        <v>2000</v>
      </c>
      <c r="H139" s="56"/>
      <c r="I139" s="56"/>
    </row>
    <row r="140" spans="1:17" s="103" customFormat="1" ht="26.25" customHeight="1" x14ac:dyDescent="0.2">
      <c r="A140" s="239" t="s">
        <v>347</v>
      </c>
      <c r="B140" s="240">
        <v>900</v>
      </c>
      <c r="C140" s="241" t="s">
        <v>49</v>
      </c>
      <c r="D140" s="241" t="s">
        <v>14</v>
      </c>
      <c r="E140" s="241" t="s">
        <v>346</v>
      </c>
      <c r="F140" s="241"/>
      <c r="G140" s="193">
        <f>G141</f>
        <v>4352.7843400000002</v>
      </c>
      <c r="H140" s="193">
        <f>H141</f>
        <v>1966.3</v>
      </c>
      <c r="I140" s="193">
        <f>I141</f>
        <v>1966.3</v>
      </c>
    </row>
    <row r="141" spans="1:17" s="104" customFormat="1" x14ac:dyDescent="0.2">
      <c r="A141" s="242" t="s">
        <v>67</v>
      </c>
      <c r="B141" s="243">
        <v>900</v>
      </c>
      <c r="C141" s="244" t="s">
        <v>49</v>
      </c>
      <c r="D141" s="244" t="s">
        <v>14</v>
      </c>
      <c r="E141" s="244" t="s">
        <v>346</v>
      </c>
      <c r="F141" s="245">
        <v>300</v>
      </c>
      <c r="G141" s="192">
        <f>1966.3+2386.48434</f>
        <v>4352.7843400000002</v>
      </c>
      <c r="H141" s="192">
        <v>1966.3</v>
      </c>
      <c r="I141" s="192">
        <v>1966.3</v>
      </c>
    </row>
    <row r="142" spans="1:17" s="73" customFormat="1" ht="25.5" x14ac:dyDescent="0.2">
      <c r="A142" s="69" t="s">
        <v>157</v>
      </c>
      <c r="B142" s="70">
        <v>900</v>
      </c>
      <c r="C142" s="71" t="s">
        <v>49</v>
      </c>
      <c r="D142" s="71" t="s">
        <v>14</v>
      </c>
      <c r="E142" s="71" t="s">
        <v>87</v>
      </c>
      <c r="F142" s="71"/>
      <c r="G142" s="72">
        <f t="shared" ref="G142:I142" si="32">G143</f>
        <v>340671.4</v>
      </c>
      <c r="H142" s="72">
        <f t="shared" si="32"/>
        <v>272908.5</v>
      </c>
      <c r="I142" s="72">
        <f t="shared" si="32"/>
        <v>616432.6</v>
      </c>
    </row>
    <row r="143" spans="1:17" s="78" customFormat="1" x14ac:dyDescent="0.2">
      <c r="A143" s="81" t="s">
        <v>67</v>
      </c>
      <c r="B143" s="80">
        <v>900</v>
      </c>
      <c r="C143" s="76" t="s">
        <v>49</v>
      </c>
      <c r="D143" s="76" t="s">
        <v>14</v>
      </c>
      <c r="E143" s="76" t="s">
        <v>87</v>
      </c>
      <c r="F143" s="76" t="s">
        <v>68</v>
      </c>
      <c r="G143" s="56">
        <v>340671.4</v>
      </c>
      <c r="H143" s="56">
        <v>272908.5</v>
      </c>
      <c r="I143" s="56">
        <v>616432.6</v>
      </c>
    </row>
    <row r="144" spans="1:17" s="9" customFormat="1" x14ac:dyDescent="0.2">
      <c r="A144" s="11" t="s">
        <v>55</v>
      </c>
      <c r="B144" s="14">
        <v>900</v>
      </c>
      <c r="C144" s="8" t="s">
        <v>49</v>
      </c>
      <c r="D144" s="8" t="s">
        <v>48</v>
      </c>
      <c r="E144" s="8"/>
      <c r="F144" s="8"/>
      <c r="G144" s="4">
        <f>G145+G148</f>
        <v>112.3</v>
      </c>
      <c r="H144" s="4">
        <f t="shared" ref="H144:I144" si="33">H145+H148</f>
        <v>0</v>
      </c>
      <c r="I144" s="4">
        <f t="shared" si="33"/>
        <v>0</v>
      </c>
    </row>
    <row r="145" spans="1:17" s="21" customFormat="1" x14ac:dyDescent="0.2">
      <c r="A145" s="18" t="s">
        <v>172</v>
      </c>
      <c r="B145" s="22">
        <v>900</v>
      </c>
      <c r="C145" s="19" t="s">
        <v>49</v>
      </c>
      <c r="D145" s="19" t="s">
        <v>48</v>
      </c>
      <c r="E145" s="19" t="s">
        <v>171</v>
      </c>
      <c r="F145" s="19"/>
      <c r="G145" s="20">
        <f>G147+G146</f>
        <v>112.3</v>
      </c>
      <c r="H145" s="20">
        <f>H147+H146</f>
        <v>0</v>
      </c>
      <c r="I145" s="20">
        <f>I147+I146</f>
        <v>0</v>
      </c>
    </row>
    <row r="146" spans="1:17" s="26" customFormat="1" ht="25.5" x14ac:dyDescent="0.2">
      <c r="A146" s="28" t="s">
        <v>74</v>
      </c>
      <c r="B146" s="23">
        <v>900</v>
      </c>
      <c r="C146" s="24" t="s">
        <v>49</v>
      </c>
      <c r="D146" s="24" t="s">
        <v>48</v>
      </c>
      <c r="E146" s="24" t="s">
        <v>171</v>
      </c>
      <c r="F146" s="27" t="s">
        <v>66</v>
      </c>
      <c r="G146" s="25">
        <v>0.6</v>
      </c>
      <c r="H146" s="25"/>
      <c r="I146" s="25"/>
    </row>
    <row r="147" spans="1:17" s="26" customFormat="1" x14ac:dyDescent="0.2">
      <c r="A147" s="28" t="s">
        <v>67</v>
      </c>
      <c r="B147" s="31">
        <v>900</v>
      </c>
      <c r="C147" s="24" t="s">
        <v>49</v>
      </c>
      <c r="D147" s="24" t="s">
        <v>48</v>
      </c>
      <c r="E147" s="24" t="s">
        <v>171</v>
      </c>
      <c r="F147" s="24" t="s">
        <v>68</v>
      </c>
      <c r="G147" s="25">
        <v>111.7</v>
      </c>
      <c r="H147" s="25"/>
      <c r="I147" s="25"/>
    </row>
    <row r="148" spans="1:17" x14ac:dyDescent="0.2">
      <c r="A148" s="18" t="s">
        <v>294</v>
      </c>
      <c r="B148" s="22">
        <v>900</v>
      </c>
      <c r="C148" s="19" t="s">
        <v>49</v>
      </c>
      <c r="D148" s="19" t="s">
        <v>48</v>
      </c>
      <c r="E148" s="19" t="s">
        <v>295</v>
      </c>
      <c r="F148" s="19"/>
      <c r="G148" s="20">
        <f>G149+G150</f>
        <v>0</v>
      </c>
      <c r="H148" s="20">
        <f t="shared" ref="H148:I148" si="34">H149+H150</f>
        <v>0</v>
      </c>
      <c r="I148" s="20">
        <f t="shared" si="34"/>
        <v>0</v>
      </c>
      <c r="J148" s="103"/>
      <c r="K148" s="103"/>
      <c r="L148" s="103"/>
      <c r="M148" s="103"/>
      <c r="N148" s="103"/>
      <c r="O148" s="103"/>
      <c r="P148" s="103"/>
      <c r="Q148" s="103"/>
    </row>
    <row r="149" spans="1:17" s="26" customFormat="1" ht="49.5" customHeight="1" x14ac:dyDescent="0.2">
      <c r="A149" s="30" t="s">
        <v>64</v>
      </c>
      <c r="B149" s="31">
        <v>900</v>
      </c>
      <c r="C149" s="24" t="s">
        <v>49</v>
      </c>
      <c r="D149" s="24" t="s">
        <v>48</v>
      </c>
      <c r="E149" s="24" t="s">
        <v>295</v>
      </c>
      <c r="F149" s="24" t="s">
        <v>65</v>
      </c>
      <c r="G149" s="25"/>
      <c r="H149" s="25"/>
      <c r="I149" s="25"/>
      <c r="J149" s="104"/>
      <c r="K149" s="104"/>
      <c r="L149" s="104"/>
      <c r="M149" s="104"/>
      <c r="N149" s="104"/>
      <c r="O149" s="104"/>
      <c r="P149" s="104"/>
      <c r="Q149" s="104"/>
    </row>
    <row r="150" spans="1:17" s="26" customFormat="1" ht="25.5" x14ac:dyDescent="0.2">
      <c r="A150" s="28" t="s">
        <v>130</v>
      </c>
      <c r="B150" s="31">
        <v>900</v>
      </c>
      <c r="C150" s="24" t="s">
        <v>49</v>
      </c>
      <c r="D150" s="24" t="s">
        <v>48</v>
      </c>
      <c r="E150" s="24" t="s">
        <v>295</v>
      </c>
      <c r="F150" s="24" t="s">
        <v>63</v>
      </c>
      <c r="G150" s="25"/>
      <c r="H150" s="25"/>
      <c r="I150" s="25"/>
      <c r="J150" s="104"/>
      <c r="K150" s="104"/>
      <c r="L150" s="104"/>
      <c r="M150" s="104"/>
      <c r="N150" s="104"/>
      <c r="O150" s="104"/>
      <c r="P150" s="104"/>
      <c r="Q150" s="104"/>
    </row>
    <row r="151" spans="1:17" s="217" customFormat="1" ht="16.5" customHeight="1" x14ac:dyDescent="0.2">
      <c r="A151" s="89" t="s">
        <v>663</v>
      </c>
      <c r="B151" s="213">
        <v>900</v>
      </c>
      <c r="C151" s="214" t="s">
        <v>21</v>
      </c>
      <c r="D151" s="214"/>
      <c r="E151" s="214"/>
      <c r="F151" s="214"/>
      <c r="G151" s="62">
        <f>G152</f>
        <v>1351.6</v>
      </c>
      <c r="H151" s="62">
        <f t="shared" ref="H151:I151" si="35">H152</f>
        <v>0</v>
      </c>
      <c r="I151" s="62">
        <f t="shared" si="35"/>
        <v>0</v>
      </c>
      <c r="J151" s="207"/>
      <c r="K151" s="207"/>
      <c r="L151" s="207"/>
      <c r="M151" s="207"/>
      <c r="N151" s="207"/>
      <c r="O151" s="207"/>
      <c r="P151" s="207"/>
      <c r="Q151" s="207"/>
    </row>
    <row r="152" spans="1:17" s="218" customFormat="1" ht="16.5" customHeight="1" x14ac:dyDescent="0.2">
      <c r="A152" s="64" t="s">
        <v>664</v>
      </c>
      <c r="B152" s="215">
        <v>900</v>
      </c>
      <c r="C152" s="216" t="s">
        <v>21</v>
      </c>
      <c r="D152" s="216" t="s">
        <v>12</v>
      </c>
      <c r="E152" s="216"/>
      <c r="F152" s="216"/>
      <c r="G152" s="67">
        <f>G153</f>
        <v>1351.6</v>
      </c>
      <c r="H152" s="67">
        <f t="shared" ref="H152:I152" si="36">H153</f>
        <v>0</v>
      </c>
      <c r="I152" s="67">
        <f t="shared" si="36"/>
        <v>0</v>
      </c>
      <c r="J152" s="206"/>
      <c r="K152" s="206"/>
      <c r="L152" s="206"/>
      <c r="M152" s="206"/>
      <c r="N152" s="206"/>
      <c r="O152" s="206"/>
      <c r="P152" s="206"/>
      <c r="Q152" s="206"/>
    </row>
    <row r="153" spans="1:17" s="73" customFormat="1" ht="51" x14ac:dyDescent="0.2">
      <c r="A153" s="69" t="s">
        <v>660</v>
      </c>
      <c r="B153" s="70">
        <v>900</v>
      </c>
      <c r="C153" s="71" t="s">
        <v>21</v>
      </c>
      <c r="D153" s="71" t="s">
        <v>12</v>
      </c>
      <c r="E153" s="71" t="s">
        <v>661</v>
      </c>
      <c r="F153" s="71"/>
      <c r="G153" s="72">
        <f>G154</f>
        <v>1351.6</v>
      </c>
      <c r="H153" s="72">
        <f t="shared" ref="H153:I153" si="37">H154</f>
        <v>0</v>
      </c>
      <c r="I153" s="72">
        <f t="shared" si="37"/>
        <v>0</v>
      </c>
      <c r="J153" s="103"/>
      <c r="K153" s="103"/>
      <c r="L153" s="103"/>
      <c r="M153" s="103"/>
      <c r="N153" s="103"/>
      <c r="O153" s="103"/>
      <c r="P153" s="103"/>
      <c r="Q153" s="103"/>
    </row>
    <row r="154" spans="1:17" s="78" customFormat="1" ht="17.25" customHeight="1" x14ac:dyDescent="0.2">
      <c r="A154" s="69" t="s">
        <v>70</v>
      </c>
      <c r="B154" s="80">
        <v>900</v>
      </c>
      <c r="C154" s="76" t="s">
        <v>21</v>
      </c>
      <c r="D154" s="76" t="s">
        <v>12</v>
      </c>
      <c r="E154" s="76" t="s">
        <v>665</v>
      </c>
      <c r="F154" s="76" t="s">
        <v>71</v>
      </c>
      <c r="G154" s="56">
        <v>1351.6</v>
      </c>
      <c r="H154" s="56"/>
      <c r="I154" s="56"/>
      <c r="J154" s="104"/>
      <c r="K154" s="104"/>
      <c r="L154" s="104"/>
      <c r="M154" s="104"/>
      <c r="N154" s="104"/>
      <c r="O154" s="104"/>
      <c r="P154" s="104"/>
      <c r="Q154" s="104"/>
    </row>
    <row r="155" spans="1:17" s="3" customFormat="1" ht="25.5" x14ac:dyDescent="0.2">
      <c r="A155" s="13" t="s">
        <v>18</v>
      </c>
      <c r="B155" s="41">
        <v>900</v>
      </c>
      <c r="C155" s="1" t="s">
        <v>59</v>
      </c>
      <c r="D155" s="1"/>
      <c r="E155" s="1"/>
      <c r="F155" s="1"/>
      <c r="G155" s="2">
        <f t="shared" ref="G155:I157" si="38">G156</f>
        <v>2136.1</v>
      </c>
      <c r="H155" s="2">
        <f t="shared" si="38"/>
        <v>2123</v>
      </c>
      <c r="I155" s="2">
        <f t="shared" si="38"/>
        <v>2105</v>
      </c>
    </row>
    <row r="156" spans="1:17" s="9" customFormat="1" ht="25.5" x14ac:dyDescent="0.2">
      <c r="A156" s="11" t="s">
        <v>2</v>
      </c>
      <c r="B156" s="14">
        <v>900</v>
      </c>
      <c r="C156" s="8" t="s">
        <v>59</v>
      </c>
      <c r="D156" s="8" t="s">
        <v>10</v>
      </c>
      <c r="E156" s="8"/>
      <c r="F156" s="8"/>
      <c r="G156" s="4">
        <f t="shared" si="38"/>
        <v>2136.1</v>
      </c>
      <c r="H156" s="4">
        <f t="shared" si="38"/>
        <v>2123</v>
      </c>
      <c r="I156" s="4">
        <f t="shared" si="38"/>
        <v>2105</v>
      </c>
    </row>
    <row r="157" spans="1:17" ht="25.5" x14ac:dyDescent="0.2">
      <c r="A157" s="18" t="s">
        <v>174</v>
      </c>
      <c r="B157" s="22">
        <v>900</v>
      </c>
      <c r="C157" s="19" t="s">
        <v>59</v>
      </c>
      <c r="D157" s="19" t="s">
        <v>10</v>
      </c>
      <c r="E157" s="19" t="s">
        <v>173</v>
      </c>
      <c r="F157" s="19"/>
      <c r="G157" s="20">
        <f t="shared" si="38"/>
        <v>2136.1</v>
      </c>
      <c r="H157" s="20">
        <f t="shared" si="38"/>
        <v>2123</v>
      </c>
      <c r="I157" s="20">
        <f t="shared" si="38"/>
        <v>2105</v>
      </c>
      <c r="J157" s="103"/>
      <c r="K157" s="103"/>
      <c r="L157" s="103"/>
      <c r="M157" s="103"/>
      <c r="N157" s="103"/>
      <c r="O157" s="103"/>
      <c r="P157" s="103"/>
      <c r="Q157" s="103"/>
    </row>
    <row r="158" spans="1:17" s="26" customFormat="1" x14ac:dyDescent="0.2">
      <c r="A158" s="28" t="s">
        <v>72</v>
      </c>
      <c r="B158" s="31">
        <v>900</v>
      </c>
      <c r="C158" s="24" t="s">
        <v>59</v>
      </c>
      <c r="D158" s="24" t="s">
        <v>10</v>
      </c>
      <c r="E158" s="19" t="s">
        <v>173</v>
      </c>
      <c r="F158" s="24" t="s">
        <v>73</v>
      </c>
      <c r="G158" s="25">
        <v>2136.1</v>
      </c>
      <c r="H158" s="25">
        <v>2123</v>
      </c>
      <c r="I158" s="25">
        <v>2105</v>
      </c>
      <c r="J158" s="104"/>
      <c r="K158" s="104"/>
      <c r="L158" s="104"/>
      <c r="M158" s="104"/>
      <c r="N158" s="104"/>
      <c r="O158" s="104"/>
      <c r="P158" s="104"/>
      <c r="Q158" s="104"/>
    </row>
    <row r="159" spans="1:17" s="21" customFormat="1" x14ac:dyDescent="0.2">
      <c r="A159" s="18" t="s">
        <v>329</v>
      </c>
      <c r="B159" s="22">
        <v>900</v>
      </c>
      <c r="C159" s="19" t="s">
        <v>330</v>
      </c>
      <c r="D159" s="19"/>
      <c r="E159" s="19"/>
      <c r="F159" s="19"/>
      <c r="G159" s="20"/>
      <c r="H159" s="20">
        <f t="shared" ref="H159:I161" si="39">H160</f>
        <v>26371.300000000003</v>
      </c>
      <c r="I159" s="20">
        <f t="shared" si="39"/>
        <v>44686.899999999994</v>
      </c>
      <c r="J159" s="103"/>
      <c r="K159" s="103"/>
      <c r="L159" s="103"/>
      <c r="M159" s="103"/>
      <c r="N159" s="103"/>
      <c r="O159" s="103"/>
      <c r="P159" s="103"/>
      <c r="Q159" s="103"/>
    </row>
    <row r="160" spans="1:17" x14ac:dyDescent="0.2">
      <c r="A160" s="18" t="s">
        <v>329</v>
      </c>
      <c r="B160" s="22">
        <v>900</v>
      </c>
      <c r="C160" s="19" t="s">
        <v>330</v>
      </c>
      <c r="D160" s="16" t="s">
        <v>330</v>
      </c>
      <c r="E160" s="19"/>
      <c r="F160" s="19"/>
      <c r="G160" s="20"/>
      <c r="H160" s="20">
        <f t="shared" si="39"/>
        <v>26371.300000000003</v>
      </c>
      <c r="I160" s="20">
        <f t="shared" si="39"/>
        <v>44686.899999999994</v>
      </c>
      <c r="J160" s="103"/>
      <c r="K160" s="103"/>
      <c r="L160" s="103"/>
      <c r="M160" s="103"/>
      <c r="N160" s="103"/>
      <c r="O160" s="103"/>
      <c r="P160" s="103"/>
      <c r="Q160" s="103"/>
    </row>
    <row r="161" spans="1:22" x14ac:dyDescent="0.2">
      <c r="A161" s="18" t="s">
        <v>329</v>
      </c>
      <c r="B161" s="22">
        <v>900</v>
      </c>
      <c r="C161" s="19" t="s">
        <v>330</v>
      </c>
      <c r="D161" s="19" t="s">
        <v>330</v>
      </c>
      <c r="E161" s="19" t="s">
        <v>331</v>
      </c>
      <c r="F161" s="19"/>
      <c r="G161" s="20"/>
      <c r="H161" s="20">
        <f t="shared" si="39"/>
        <v>26371.300000000003</v>
      </c>
      <c r="I161" s="20">
        <f t="shared" si="39"/>
        <v>44686.899999999994</v>
      </c>
      <c r="J161" s="103"/>
      <c r="K161" s="103"/>
      <c r="L161" s="103"/>
      <c r="M161" s="103"/>
      <c r="N161" s="103"/>
      <c r="O161" s="103"/>
      <c r="P161" s="103"/>
      <c r="Q161" s="103"/>
    </row>
    <row r="162" spans="1:22" s="26" customFormat="1" x14ac:dyDescent="0.2">
      <c r="A162" s="28" t="s">
        <v>329</v>
      </c>
      <c r="B162" s="31">
        <v>900</v>
      </c>
      <c r="C162" s="24" t="s">
        <v>330</v>
      </c>
      <c r="D162" s="24" t="s">
        <v>330</v>
      </c>
      <c r="E162" s="19" t="s">
        <v>331</v>
      </c>
      <c r="F162" s="24" t="s">
        <v>71</v>
      </c>
      <c r="G162" s="25"/>
      <c r="H162" s="25">
        <f>23132.9+3238.4</f>
        <v>26371.300000000003</v>
      </c>
      <c r="I162" s="25">
        <f>44191.2+495.7</f>
        <v>44686.899999999994</v>
      </c>
      <c r="J162" s="104"/>
      <c r="K162" s="104"/>
      <c r="L162" s="104"/>
      <c r="M162" s="104"/>
      <c r="N162" s="104"/>
      <c r="O162" s="104"/>
      <c r="P162" s="104"/>
      <c r="Q162" s="104"/>
    </row>
    <row r="163" spans="1:22" s="9" customFormat="1" ht="30" customHeight="1" x14ac:dyDescent="0.2">
      <c r="A163" s="39" t="s">
        <v>32</v>
      </c>
      <c r="B163" s="36">
        <v>904</v>
      </c>
      <c r="C163" s="40"/>
      <c r="D163" s="40"/>
      <c r="E163" s="40"/>
      <c r="F163" s="40"/>
      <c r="G163" s="38">
        <f>G164</f>
        <v>72599.3</v>
      </c>
      <c r="H163" s="38">
        <f t="shared" ref="H163:I163" si="40">H164</f>
        <v>65465.499999999993</v>
      </c>
      <c r="I163" s="38">
        <f t="shared" si="40"/>
        <v>64510.6</v>
      </c>
      <c r="S163" s="233"/>
      <c r="V163" s="233"/>
    </row>
    <row r="164" spans="1:22" s="3" customFormat="1" x14ac:dyDescent="0.2">
      <c r="A164" s="13" t="s">
        <v>590</v>
      </c>
      <c r="B164" s="41">
        <v>904</v>
      </c>
      <c r="C164" s="1" t="s">
        <v>19</v>
      </c>
      <c r="D164" s="1"/>
      <c r="E164" s="1"/>
      <c r="F164" s="1"/>
      <c r="G164" s="2">
        <f>G165+G183+G187</f>
        <v>72599.3</v>
      </c>
      <c r="H164" s="2">
        <f>H165+H183+H187</f>
        <v>65465.499999999993</v>
      </c>
      <c r="I164" s="2">
        <f>I165+I183+I187</f>
        <v>64510.6</v>
      </c>
      <c r="J164" s="108"/>
      <c r="K164" s="108"/>
      <c r="L164" s="108"/>
      <c r="M164" s="108"/>
      <c r="N164" s="108"/>
      <c r="O164" s="108"/>
      <c r="P164" s="108"/>
      <c r="Q164" s="108"/>
    </row>
    <row r="165" spans="1:22" s="9" customFormat="1" x14ac:dyDescent="0.2">
      <c r="A165" s="11" t="s">
        <v>0</v>
      </c>
      <c r="B165" s="14">
        <v>904</v>
      </c>
      <c r="C165" s="8" t="s">
        <v>19</v>
      </c>
      <c r="D165" s="8" t="s">
        <v>10</v>
      </c>
      <c r="E165" s="8"/>
      <c r="F165" s="8"/>
      <c r="G165" s="4">
        <f>G173+G177+G168+G175+G170+G166+G181+G179</f>
        <v>67552.7</v>
      </c>
      <c r="H165" s="4">
        <f t="shared" ref="H165:I165" si="41">H173+H177+H168+H175+H170+H166+H181+H179</f>
        <v>60883.899999999994</v>
      </c>
      <c r="I165" s="4">
        <f t="shared" si="41"/>
        <v>59929</v>
      </c>
      <c r="J165" s="109"/>
      <c r="K165" s="109"/>
      <c r="L165" s="109"/>
      <c r="M165" s="109"/>
      <c r="N165" s="109"/>
      <c r="O165" s="109"/>
      <c r="P165" s="109"/>
      <c r="Q165" s="109"/>
    </row>
    <row r="166" spans="1:22" s="21" customFormat="1" ht="39.75" customHeight="1" x14ac:dyDescent="0.2">
      <c r="A166" s="18" t="s">
        <v>383</v>
      </c>
      <c r="B166" s="22">
        <v>904</v>
      </c>
      <c r="C166" s="19" t="s">
        <v>19</v>
      </c>
      <c r="D166" s="19" t="s">
        <v>10</v>
      </c>
      <c r="E166" s="19" t="s">
        <v>387</v>
      </c>
      <c r="F166" s="19"/>
      <c r="G166" s="20">
        <f>G167</f>
        <v>0</v>
      </c>
      <c r="H166" s="20">
        <f>H167</f>
        <v>0</v>
      </c>
      <c r="I166" s="20">
        <f>I167</f>
        <v>0</v>
      </c>
      <c r="J166" s="103"/>
      <c r="K166" s="103"/>
      <c r="L166" s="103"/>
      <c r="M166" s="103"/>
      <c r="N166" s="103"/>
      <c r="O166" s="103"/>
      <c r="P166" s="103"/>
      <c r="Q166" s="103"/>
    </row>
    <row r="167" spans="1:22" s="26" customFormat="1" ht="25.5" x14ac:dyDescent="0.2">
      <c r="A167" s="28" t="s">
        <v>130</v>
      </c>
      <c r="B167" s="31">
        <v>904</v>
      </c>
      <c r="C167" s="24" t="s">
        <v>19</v>
      </c>
      <c r="D167" s="24" t="s">
        <v>10</v>
      </c>
      <c r="E167" s="19" t="s">
        <v>387</v>
      </c>
      <c r="F167" s="24" t="s">
        <v>63</v>
      </c>
      <c r="G167" s="25"/>
      <c r="H167" s="25"/>
      <c r="I167" s="25"/>
      <c r="J167" s="104"/>
      <c r="K167" s="104"/>
      <c r="L167" s="104"/>
      <c r="M167" s="104"/>
      <c r="N167" s="104"/>
      <c r="O167" s="104"/>
      <c r="P167" s="104"/>
      <c r="Q167" s="104"/>
    </row>
    <row r="168" spans="1:22" s="12" customFormat="1" ht="25.5" x14ac:dyDescent="0.2">
      <c r="A168" s="17" t="s">
        <v>152</v>
      </c>
      <c r="B168" s="43">
        <v>904</v>
      </c>
      <c r="C168" s="19" t="s">
        <v>19</v>
      </c>
      <c r="D168" s="19" t="s">
        <v>10</v>
      </c>
      <c r="E168" s="19" t="s">
        <v>151</v>
      </c>
      <c r="F168" s="5"/>
      <c r="G168" s="6">
        <f>G169</f>
        <v>165</v>
      </c>
      <c r="H168" s="6">
        <f>H169</f>
        <v>0</v>
      </c>
      <c r="I168" s="6">
        <f>I169</f>
        <v>0</v>
      </c>
      <c r="J168" s="110"/>
      <c r="K168" s="110"/>
      <c r="L168" s="110"/>
      <c r="M168" s="110"/>
      <c r="N168" s="110"/>
      <c r="O168" s="110"/>
      <c r="P168" s="110"/>
      <c r="Q168" s="110"/>
    </row>
    <row r="169" spans="1:22" s="26" customFormat="1" ht="25.5" x14ac:dyDescent="0.2">
      <c r="A169" s="28" t="s">
        <v>130</v>
      </c>
      <c r="B169" s="31">
        <v>904</v>
      </c>
      <c r="C169" s="24" t="s">
        <v>19</v>
      </c>
      <c r="D169" s="24" t="s">
        <v>10</v>
      </c>
      <c r="E169" s="24" t="s">
        <v>151</v>
      </c>
      <c r="F169" s="24" t="s">
        <v>63</v>
      </c>
      <c r="G169" s="25">
        <v>165</v>
      </c>
      <c r="H169" s="25"/>
      <c r="I169" s="25"/>
      <c r="J169" s="104"/>
      <c r="K169" s="104"/>
      <c r="L169" s="104"/>
      <c r="M169" s="104"/>
      <c r="N169" s="104"/>
      <c r="O169" s="104"/>
      <c r="P169" s="104"/>
      <c r="Q169" s="104"/>
    </row>
    <row r="170" spans="1:22" s="103" customFormat="1" ht="13.5" customHeight="1" x14ac:dyDescent="0.2">
      <c r="A170" s="239" t="s">
        <v>162</v>
      </c>
      <c r="B170" s="240">
        <v>904</v>
      </c>
      <c r="C170" s="241" t="s">
        <v>19</v>
      </c>
      <c r="D170" s="241" t="s">
        <v>10</v>
      </c>
      <c r="E170" s="244" t="s">
        <v>161</v>
      </c>
      <c r="F170" s="241"/>
      <c r="G170" s="193">
        <f>G172+G171</f>
        <v>3946.84</v>
      </c>
      <c r="H170" s="193">
        <f>H172</f>
        <v>0</v>
      </c>
      <c r="I170" s="193">
        <f>I172</f>
        <v>0</v>
      </c>
    </row>
    <row r="171" spans="1:22" s="104" customFormat="1" ht="25.5" x14ac:dyDescent="0.2">
      <c r="A171" s="247" t="s">
        <v>74</v>
      </c>
      <c r="B171" s="240">
        <v>904</v>
      </c>
      <c r="C171" s="244" t="s">
        <v>19</v>
      </c>
      <c r="D171" s="244" t="s">
        <v>10</v>
      </c>
      <c r="E171" s="244" t="s">
        <v>161</v>
      </c>
      <c r="F171" s="244" t="s">
        <v>66</v>
      </c>
      <c r="G171" s="192">
        <v>14.9</v>
      </c>
      <c r="H171" s="192"/>
      <c r="I171" s="192"/>
    </row>
    <row r="172" spans="1:22" s="104" customFormat="1" ht="25.5" x14ac:dyDescent="0.2">
      <c r="A172" s="247" t="s">
        <v>80</v>
      </c>
      <c r="B172" s="240">
        <v>904</v>
      </c>
      <c r="C172" s="244" t="s">
        <v>19</v>
      </c>
      <c r="D172" s="244" t="s">
        <v>10</v>
      </c>
      <c r="E172" s="244" t="s">
        <v>161</v>
      </c>
      <c r="F172" s="244" t="s">
        <v>69</v>
      </c>
      <c r="G172" s="192">
        <f>4137.2-14.9-190.36</f>
        <v>3931.94</v>
      </c>
      <c r="H172" s="192"/>
      <c r="I172" s="192"/>
    </row>
    <row r="173" spans="1:22" ht="25.5" x14ac:dyDescent="0.2">
      <c r="A173" s="18" t="s">
        <v>178</v>
      </c>
      <c r="B173" s="22">
        <v>904</v>
      </c>
      <c r="C173" s="19" t="s">
        <v>19</v>
      </c>
      <c r="D173" s="19" t="s">
        <v>10</v>
      </c>
      <c r="E173" s="19" t="s">
        <v>177</v>
      </c>
      <c r="F173" s="19"/>
      <c r="G173" s="20">
        <f>G174</f>
        <v>15625.1</v>
      </c>
      <c r="H173" s="20">
        <f>H174</f>
        <v>14556.2</v>
      </c>
      <c r="I173" s="20">
        <f>I174</f>
        <v>14078.7</v>
      </c>
      <c r="J173" s="103"/>
      <c r="K173" s="103"/>
      <c r="L173" s="103"/>
      <c r="M173" s="103"/>
      <c r="N173" s="103"/>
      <c r="O173" s="103"/>
      <c r="P173" s="103"/>
      <c r="Q173" s="103"/>
    </row>
    <row r="174" spans="1:22" s="26" customFormat="1" ht="25.5" x14ac:dyDescent="0.2">
      <c r="A174" s="28" t="s">
        <v>130</v>
      </c>
      <c r="B174" s="31">
        <v>904</v>
      </c>
      <c r="C174" s="24" t="s">
        <v>19</v>
      </c>
      <c r="D174" s="24" t="s">
        <v>10</v>
      </c>
      <c r="E174" s="24" t="s">
        <v>177</v>
      </c>
      <c r="F174" s="24" t="s">
        <v>63</v>
      </c>
      <c r="G174" s="25">
        <v>15625.1</v>
      </c>
      <c r="H174" s="25">
        <v>14556.2</v>
      </c>
      <c r="I174" s="25">
        <v>14078.7</v>
      </c>
      <c r="J174" s="104"/>
      <c r="K174" s="104"/>
      <c r="L174" s="104"/>
      <c r="M174" s="104"/>
      <c r="N174" s="104"/>
      <c r="O174" s="104"/>
      <c r="P174" s="104"/>
      <c r="Q174" s="104"/>
    </row>
    <row r="175" spans="1:22" s="21" customFormat="1" ht="38.25" x14ac:dyDescent="0.2">
      <c r="A175" s="18" t="s">
        <v>180</v>
      </c>
      <c r="B175" s="22">
        <v>904</v>
      </c>
      <c r="C175" s="19" t="s">
        <v>19</v>
      </c>
      <c r="D175" s="19" t="s">
        <v>10</v>
      </c>
      <c r="E175" s="19" t="s">
        <v>179</v>
      </c>
      <c r="F175" s="19"/>
      <c r="G175" s="20">
        <f>G176</f>
        <v>150</v>
      </c>
      <c r="H175" s="20">
        <f>H176</f>
        <v>0</v>
      </c>
      <c r="I175" s="20">
        <f>I176</f>
        <v>0</v>
      </c>
    </row>
    <row r="176" spans="1:22" s="26" customFormat="1" ht="25.5" x14ac:dyDescent="0.2">
      <c r="A176" s="28" t="s">
        <v>74</v>
      </c>
      <c r="B176" s="32">
        <v>904</v>
      </c>
      <c r="C176" s="24" t="s">
        <v>19</v>
      </c>
      <c r="D176" s="24" t="s">
        <v>10</v>
      </c>
      <c r="E176" s="24" t="s">
        <v>179</v>
      </c>
      <c r="F176" s="27" t="s">
        <v>66</v>
      </c>
      <c r="G176" s="25">
        <v>150</v>
      </c>
      <c r="H176" s="25"/>
      <c r="I176" s="25"/>
    </row>
    <row r="177" spans="1:17" ht="23.25" customHeight="1" x14ac:dyDescent="0.2">
      <c r="A177" s="18" t="s">
        <v>323</v>
      </c>
      <c r="B177" s="22">
        <v>904</v>
      </c>
      <c r="C177" s="19" t="s">
        <v>19</v>
      </c>
      <c r="D177" s="19" t="s">
        <v>10</v>
      </c>
      <c r="E177" s="19" t="s">
        <v>324</v>
      </c>
      <c r="F177" s="19"/>
      <c r="G177" s="20">
        <f>G178</f>
        <v>47475.4</v>
      </c>
      <c r="H177" s="20">
        <f>H178</f>
        <v>46327.7</v>
      </c>
      <c r="I177" s="20">
        <f>I178</f>
        <v>45850.3</v>
      </c>
      <c r="J177" s="103"/>
      <c r="K177" s="103"/>
      <c r="L177" s="103"/>
      <c r="M177" s="103"/>
      <c r="N177" s="103"/>
      <c r="O177" s="103"/>
      <c r="P177" s="103"/>
      <c r="Q177" s="103"/>
    </row>
    <row r="178" spans="1:17" s="26" customFormat="1" ht="25.5" x14ac:dyDescent="0.2">
      <c r="A178" s="28" t="s">
        <v>130</v>
      </c>
      <c r="B178" s="32">
        <v>904</v>
      </c>
      <c r="C178" s="24" t="s">
        <v>19</v>
      </c>
      <c r="D178" s="24" t="s">
        <v>10</v>
      </c>
      <c r="E178" s="24" t="s">
        <v>324</v>
      </c>
      <c r="F178" s="27" t="s">
        <v>63</v>
      </c>
      <c r="G178" s="25">
        <v>47475.4</v>
      </c>
      <c r="H178" s="25">
        <v>46327.7</v>
      </c>
      <c r="I178" s="25">
        <v>45850.3</v>
      </c>
      <c r="J178" s="104"/>
      <c r="K178" s="104"/>
      <c r="L178" s="104"/>
      <c r="M178" s="104"/>
      <c r="N178" s="104"/>
      <c r="O178" s="104"/>
      <c r="P178" s="104"/>
      <c r="Q178" s="104"/>
    </row>
    <row r="179" spans="1:17" s="26" customFormat="1" ht="20.25" customHeight="1" x14ac:dyDescent="0.2">
      <c r="A179" s="18" t="s">
        <v>628</v>
      </c>
      <c r="B179" s="22">
        <v>904</v>
      </c>
      <c r="C179" s="19" t="s">
        <v>19</v>
      </c>
      <c r="D179" s="19" t="s">
        <v>10</v>
      </c>
      <c r="E179" s="19" t="s">
        <v>637</v>
      </c>
      <c r="F179" s="19"/>
      <c r="G179" s="25">
        <f>G180</f>
        <v>0</v>
      </c>
      <c r="H179" s="25">
        <f t="shared" ref="H179:H181" si="42">H180</f>
        <v>0</v>
      </c>
      <c r="I179" s="25">
        <f t="shared" ref="I179:I181" si="43">I180</f>
        <v>0</v>
      </c>
      <c r="J179" s="104"/>
      <c r="K179" s="104"/>
      <c r="L179" s="104"/>
      <c r="M179" s="104"/>
      <c r="N179" s="104"/>
      <c r="O179" s="104"/>
      <c r="P179" s="104"/>
      <c r="Q179" s="104"/>
    </row>
    <row r="180" spans="1:17" s="26" customFormat="1" ht="25.5" x14ac:dyDescent="0.2">
      <c r="A180" s="28" t="s">
        <v>130</v>
      </c>
      <c r="B180" s="32">
        <v>904</v>
      </c>
      <c r="C180" s="24" t="s">
        <v>19</v>
      </c>
      <c r="D180" s="24" t="s">
        <v>10</v>
      </c>
      <c r="E180" s="24" t="s">
        <v>637</v>
      </c>
      <c r="F180" s="24" t="s">
        <v>63</v>
      </c>
      <c r="G180" s="25"/>
      <c r="H180" s="25"/>
      <c r="I180" s="25"/>
      <c r="J180" s="104"/>
      <c r="K180" s="104"/>
      <c r="L180" s="104"/>
      <c r="M180" s="104"/>
      <c r="N180" s="104"/>
      <c r="O180" s="104"/>
      <c r="P180" s="104"/>
      <c r="Q180" s="104"/>
    </row>
    <row r="181" spans="1:17" s="104" customFormat="1" x14ac:dyDescent="0.2">
      <c r="A181" s="239" t="s">
        <v>771</v>
      </c>
      <c r="B181" s="240">
        <v>904</v>
      </c>
      <c r="C181" s="241" t="s">
        <v>19</v>
      </c>
      <c r="D181" s="241" t="s">
        <v>10</v>
      </c>
      <c r="E181" s="241" t="s">
        <v>770</v>
      </c>
      <c r="F181" s="241"/>
      <c r="G181" s="192">
        <f>G182</f>
        <v>190.36</v>
      </c>
      <c r="H181" s="192">
        <f t="shared" si="42"/>
        <v>0</v>
      </c>
      <c r="I181" s="192">
        <f t="shared" si="43"/>
        <v>0</v>
      </c>
    </row>
    <row r="182" spans="1:17" s="104" customFormat="1" ht="25.5" x14ac:dyDescent="0.2">
      <c r="A182" s="247" t="s">
        <v>130</v>
      </c>
      <c r="B182" s="249">
        <v>904</v>
      </c>
      <c r="C182" s="244" t="s">
        <v>19</v>
      </c>
      <c r="D182" s="244" t="s">
        <v>10</v>
      </c>
      <c r="E182" s="244" t="s">
        <v>770</v>
      </c>
      <c r="F182" s="244" t="s">
        <v>63</v>
      </c>
      <c r="G182" s="192">
        <v>190.36</v>
      </c>
      <c r="H182" s="192"/>
      <c r="I182" s="192"/>
    </row>
    <row r="183" spans="1:17" s="9" customFormat="1" x14ac:dyDescent="0.2">
      <c r="A183" s="11" t="s">
        <v>1</v>
      </c>
      <c r="B183" s="14">
        <v>904</v>
      </c>
      <c r="C183" s="8" t="s">
        <v>19</v>
      </c>
      <c r="D183" s="8" t="s">
        <v>12</v>
      </c>
      <c r="E183" s="8"/>
      <c r="F183" s="8"/>
      <c r="G183" s="4">
        <f t="shared" ref="G183:I183" si="44">G184</f>
        <v>360</v>
      </c>
      <c r="H183" s="4">
        <f t="shared" si="44"/>
        <v>0</v>
      </c>
      <c r="I183" s="4">
        <f t="shared" si="44"/>
        <v>0</v>
      </c>
      <c r="J183" s="109"/>
      <c r="K183" s="109"/>
      <c r="L183" s="109"/>
      <c r="M183" s="109"/>
      <c r="N183" s="109"/>
      <c r="O183" s="109"/>
      <c r="P183" s="109"/>
      <c r="Q183" s="109"/>
    </row>
    <row r="184" spans="1:17" ht="25.5" x14ac:dyDescent="0.2">
      <c r="A184" s="18" t="s">
        <v>182</v>
      </c>
      <c r="B184" s="22">
        <v>904</v>
      </c>
      <c r="C184" s="19" t="s">
        <v>19</v>
      </c>
      <c r="D184" s="19" t="s">
        <v>12</v>
      </c>
      <c r="E184" s="19" t="s">
        <v>181</v>
      </c>
      <c r="F184" s="19"/>
      <c r="G184" s="20">
        <f>G186+G185</f>
        <v>360</v>
      </c>
      <c r="H184" s="20">
        <f t="shared" ref="H184:I184" si="45">H186+H185</f>
        <v>0</v>
      </c>
      <c r="I184" s="20">
        <f t="shared" si="45"/>
        <v>0</v>
      </c>
      <c r="J184" s="103"/>
      <c r="K184" s="103"/>
      <c r="L184" s="103"/>
      <c r="M184" s="103"/>
      <c r="N184" s="103"/>
      <c r="O184" s="103"/>
      <c r="P184" s="103"/>
      <c r="Q184" s="103"/>
    </row>
    <row r="185" spans="1:17" ht="53.25" customHeight="1" x14ac:dyDescent="0.2">
      <c r="A185" s="30" t="s">
        <v>64</v>
      </c>
      <c r="B185" s="32">
        <v>904</v>
      </c>
      <c r="C185" s="24" t="s">
        <v>19</v>
      </c>
      <c r="D185" s="24" t="s">
        <v>12</v>
      </c>
      <c r="E185" s="24" t="s">
        <v>181</v>
      </c>
      <c r="F185" s="19" t="s">
        <v>65</v>
      </c>
      <c r="G185" s="20">
        <v>50</v>
      </c>
      <c r="H185" s="20"/>
      <c r="I185" s="20"/>
      <c r="J185" s="103"/>
      <c r="K185" s="103"/>
      <c r="L185" s="103"/>
      <c r="M185" s="103"/>
      <c r="N185" s="103"/>
      <c r="O185" s="103"/>
      <c r="P185" s="103"/>
      <c r="Q185" s="103"/>
    </row>
    <row r="186" spans="1:17" s="26" customFormat="1" ht="25.5" x14ac:dyDescent="0.2">
      <c r="A186" s="28" t="s">
        <v>74</v>
      </c>
      <c r="B186" s="32">
        <v>904</v>
      </c>
      <c r="C186" s="24" t="s">
        <v>19</v>
      </c>
      <c r="D186" s="24" t="s">
        <v>12</v>
      </c>
      <c r="E186" s="24" t="s">
        <v>181</v>
      </c>
      <c r="F186" s="27" t="s">
        <v>66</v>
      </c>
      <c r="G186" s="25">
        <v>310</v>
      </c>
      <c r="H186" s="25"/>
      <c r="I186" s="25"/>
      <c r="J186" s="104"/>
      <c r="K186" s="104"/>
      <c r="L186" s="104"/>
      <c r="M186" s="104"/>
      <c r="N186" s="104"/>
      <c r="O186" s="104"/>
      <c r="P186" s="104"/>
      <c r="Q186" s="104"/>
    </row>
    <row r="187" spans="1:17" s="9" customFormat="1" ht="25.5" x14ac:dyDescent="0.2">
      <c r="A187" s="11" t="s">
        <v>3</v>
      </c>
      <c r="B187" s="14">
        <v>904</v>
      </c>
      <c r="C187" s="8" t="s">
        <v>19</v>
      </c>
      <c r="D187" s="8" t="s">
        <v>29</v>
      </c>
      <c r="E187" s="8"/>
      <c r="F187" s="8"/>
      <c r="G187" s="4">
        <f>G188+G191</f>
        <v>4686.6000000000004</v>
      </c>
      <c r="H187" s="4">
        <f>H188+H191</f>
        <v>4581.6000000000004</v>
      </c>
      <c r="I187" s="4">
        <f>I188+I191</f>
        <v>4581.6000000000004</v>
      </c>
    </row>
    <row r="188" spans="1:17" ht="25.5" x14ac:dyDescent="0.2">
      <c r="A188" s="18" t="s">
        <v>178</v>
      </c>
      <c r="B188" s="22">
        <v>904</v>
      </c>
      <c r="C188" s="19" t="s">
        <v>19</v>
      </c>
      <c r="D188" s="19" t="s">
        <v>29</v>
      </c>
      <c r="E188" s="19" t="s">
        <v>183</v>
      </c>
      <c r="F188" s="19"/>
      <c r="G188" s="20">
        <f>G189+G190</f>
        <v>1263.3</v>
      </c>
      <c r="H188" s="20">
        <f>H189+H190</f>
        <v>1258.3</v>
      </c>
      <c r="I188" s="20">
        <f>I189+I190</f>
        <v>1258.3</v>
      </c>
      <c r="J188" s="103"/>
      <c r="K188" s="103"/>
      <c r="L188" s="103"/>
      <c r="M188" s="103"/>
      <c r="N188" s="103"/>
      <c r="O188" s="103"/>
      <c r="P188" s="103"/>
      <c r="Q188" s="103"/>
    </row>
    <row r="189" spans="1:17" s="26" customFormat="1" ht="50.25" customHeight="1" x14ac:dyDescent="0.2">
      <c r="A189" s="30" t="s">
        <v>64</v>
      </c>
      <c r="B189" s="32">
        <v>904</v>
      </c>
      <c r="C189" s="24" t="s">
        <v>19</v>
      </c>
      <c r="D189" s="24" t="s">
        <v>29</v>
      </c>
      <c r="E189" s="24" t="s">
        <v>183</v>
      </c>
      <c r="F189" s="27" t="s">
        <v>65</v>
      </c>
      <c r="G189" s="25">
        <f>1186.8+5</f>
        <v>1191.8</v>
      </c>
      <c r="H189" s="25">
        <v>1186.8</v>
      </c>
      <c r="I189" s="25">
        <v>1186.8</v>
      </c>
      <c r="J189" s="104"/>
      <c r="K189" s="104"/>
      <c r="L189" s="104"/>
      <c r="M189" s="104"/>
      <c r="N189" s="104"/>
      <c r="O189" s="104"/>
      <c r="P189" s="104"/>
      <c r="Q189" s="104"/>
    </row>
    <row r="190" spans="1:17" s="26" customFormat="1" ht="25.5" x14ac:dyDescent="0.2">
      <c r="A190" s="28" t="s">
        <v>74</v>
      </c>
      <c r="B190" s="32">
        <v>904</v>
      </c>
      <c r="C190" s="24" t="s">
        <v>19</v>
      </c>
      <c r="D190" s="24" t="s">
        <v>29</v>
      </c>
      <c r="E190" s="24" t="s">
        <v>183</v>
      </c>
      <c r="F190" s="27" t="s">
        <v>66</v>
      </c>
      <c r="G190" s="25">
        <f>71.5</f>
        <v>71.5</v>
      </c>
      <c r="H190" s="25">
        <v>71.5</v>
      </c>
      <c r="I190" s="25">
        <v>71.5</v>
      </c>
      <c r="J190" s="104"/>
      <c r="K190" s="104"/>
      <c r="L190" s="104"/>
      <c r="M190" s="104"/>
      <c r="N190" s="104"/>
      <c r="O190" s="104"/>
      <c r="P190" s="104"/>
      <c r="Q190" s="104"/>
    </row>
    <row r="191" spans="1:17" ht="25.5" x14ac:dyDescent="0.2">
      <c r="A191" s="18" t="s">
        <v>178</v>
      </c>
      <c r="B191" s="22">
        <v>904</v>
      </c>
      <c r="C191" s="19" t="s">
        <v>19</v>
      </c>
      <c r="D191" s="19" t="s">
        <v>29</v>
      </c>
      <c r="E191" s="19" t="s">
        <v>363</v>
      </c>
      <c r="F191" s="19"/>
      <c r="G191" s="20">
        <f>G192</f>
        <v>3423.3</v>
      </c>
      <c r="H191" s="20">
        <f>H192</f>
        <v>3323.3</v>
      </c>
      <c r="I191" s="20">
        <f>I192</f>
        <v>3323.3</v>
      </c>
      <c r="J191" s="103"/>
      <c r="K191" s="103"/>
      <c r="L191" s="103"/>
      <c r="M191" s="103"/>
      <c r="N191" s="103"/>
      <c r="O191" s="103"/>
      <c r="P191" s="103"/>
      <c r="Q191" s="103"/>
    </row>
    <row r="192" spans="1:17" s="26" customFormat="1" ht="27.75" customHeight="1" x14ac:dyDescent="0.2">
      <c r="A192" s="28" t="s">
        <v>130</v>
      </c>
      <c r="B192" s="32">
        <v>904</v>
      </c>
      <c r="C192" s="24" t="s">
        <v>19</v>
      </c>
      <c r="D192" s="24" t="s">
        <v>29</v>
      </c>
      <c r="E192" s="24" t="s">
        <v>363</v>
      </c>
      <c r="F192" s="27" t="s">
        <v>63</v>
      </c>
      <c r="G192" s="25">
        <v>3423.3</v>
      </c>
      <c r="H192" s="25">
        <v>3323.3</v>
      </c>
      <c r="I192" s="25">
        <v>3323.3</v>
      </c>
      <c r="J192" s="104"/>
      <c r="K192" s="104"/>
      <c r="L192" s="104"/>
      <c r="M192" s="104"/>
      <c r="N192" s="104"/>
      <c r="O192" s="104"/>
      <c r="P192" s="104"/>
      <c r="Q192" s="104"/>
    </row>
    <row r="193" spans="1:22" s="9" customFormat="1" ht="30.75" customHeight="1" x14ac:dyDescent="0.2">
      <c r="A193" s="39" t="s">
        <v>45</v>
      </c>
      <c r="B193" s="36">
        <v>905</v>
      </c>
      <c r="C193" s="40"/>
      <c r="D193" s="40"/>
      <c r="E193" s="40"/>
      <c r="F193" s="40"/>
      <c r="G193" s="38">
        <f>G194+G214+G224+G220</f>
        <v>100092.3</v>
      </c>
      <c r="H193" s="38">
        <f>H194+H214+H224+H220</f>
        <v>94316.2</v>
      </c>
      <c r="I193" s="38">
        <f>I194+I214+I224+I220</f>
        <v>94493.2</v>
      </c>
      <c r="S193" s="233"/>
      <c r="V193" s="233"/>
    </row>
    <row r="194" spans="1:22" s="3" customFormat="1" x14ac:dyDescent="0.2">
      <c r="A194" s="13" t="s">
        <v>58</v>
      </c>
      <c r="B194" s="41">
        <v>905</v>
      </c>
      <c r="C194" s="1" t="s">
        <v>10</v>
      </c>
      <c r="D194" s="1"/>
      <c r="E194" s="1"/>
      <c r="F194" s="1"/>
      <c r="G194" s="2">
        <f>G195</f>
        <v>14634.2</v>
      </c>
      <c r="H194" s="2">
        <f>H195</f>
        <v>9065.2000000000007</v>
      </c>
      <c r="I194" s="2">
        <f>I195</f>
        <v>9065.2000000000007</v>
      </c>
      <c r="J194" s="108"/>
      <c r="K194" s="108"/>
      <c r="L194" s="108"/>
      <c r="M194" s="108"/>
      <c r="N194" s="108"/>
      <c r="O194" s="108"/>
      <c r="P194" s="108"/>
      <c r="Q194" s="108"/>
    </row>
    <row r="195" spans="1:22" s="9" customFormat="1" x14ac:dyDescent="0.2">
      <c r="A195" s="11" t="s">
        <v>22</v>
      </c>
      <c r="B195" s="14">
        <v>905</v>
      </c>
      <c r="C195" s="8" t="s">
        <v>10</v>
      </c>
      <c r="D195" s="8" t="s">
        <v>59</v>
      </c>
      <c r="E195" s="8"/>
      <c r="F195" s="8"/>
      <c r="G195" s="4">
        <f>G196+G198+G202+G205+G207+G210+G200</f>
        <v>14634.2</v>
      </c>
      <c r="H195" s="4">
        <f>H196+H198+H202+H205+H207+H210+H200</f>
        <v>9065.2000000000007</v>
      </c>
      <c r="I195" s="4">
        <f>I196+I198+I202+I205+I207+I210+I200</f>
        <v>9065.2000000000007</v>
      </c>
      <c r="J195" s="109"/>
      <c r="K195" s="109"/>
      <c r="L195" s="109"/>
      <c r="M195" s="109"/>
      <c r="N195" s="109"/>
      <c r="O195" s="109"/>
      <c r="P195" s="109"/>
      <c r="Q195" s="109"/>
    </row>
    <row r="196" spans="1:22" ht="25.5" x14ac:dyDescent="0.2">
      <c r="A196" s="18" t="s">
        <v>185</v>
      </c>
      <c r="B196" s="22">
        <v>905</v>
      </c>
      <c r="C196" s="19" t="s">
        <v>10</v>
      </c>
      <c r="D196" s="19" t="s">
        <v>59</v>
      </c>
      <c r="E196" s="5" t="s">
        <v>184</v>
      </c>
      <c r="F196" s="5"/>
      <c r="G196" s="6">
        <f>G197</f>
        <v>500</v>
      </c>
      <c r="H196" s="6">
        <f>H197</f>
        <v>0</v>
      </c>
      <c r="I196" s="6">
        <f>I197</f>
        <v>0</v>
      </c>
      <c r="J196" s="103"/>
      <c r="K196" s="103"/>
      <c r="L196" s="103"/>
      <c r="M196" s="103"/>
      <c r="N196" s="103"/>
      <c r="O196" s="103"/>
      <c r="P196" s="103"/>
      <c r="Q196" s="103"/>
    </row>
    <row r="197" spans="1:22" s="26" customFormat="1" ht="25.5" x14ac:dyDescent="0.2">
      <c r="A197" s="28" t="s">
        <v>74</v>
      </c>
      <c r="B197" s="32">
        <v>905</v>
      </c>
      <c r="C197" s="24" t="s">
        <v>10</v>
      </c>
      <c r="D197" s="24" t="s">
        <v>59</v>
      </c>
      <c r="E197" s="24" t="s">
        <v>184</v>
      </c>
      <c r="F197" s="27" t="s">
        <v>66</v>
      </c>
      <c r="G197" s="25">
        <v>500</v>
      </c>
      <c r="H197" s="25"/>
      <c r="I197" s="25"/>
      <c r="J197" s="104"/>
      <c r="K197" s="104"/>
      <c r="L197" s="104"/>
      <c r="M197" s="104"/>
      <c r="N197" s="104"/>
      <c r="O197" s="104"/>
      <c r="P197" s="104"/>
      <c r="Q197" s="104"/>
    </row>
    <row r="198" spans="1:22" s="73" customFormat="1" ht="25.5" x14ac:dyDescent="0.2">
      <c r="A198" s="69" t="s">
        <v>186</v>
      </c>
      <c r="B198" s="70">
        <v>905</v>
      </c>
      <c r="C198" s="71" t="s">
        <v>10</v>
      </c>
      <c r="D198" s="71" t="s">
        <v>59</v>
      </c>
      <c r="E198" s="84" t="s">
        <v>187</v>
      </c>
      <c r="F198" s="84"/>
      <c r="G198" s="85">
        <f>G199</f>
        <v>300</v>
      </c>
      <c r="H198" s="85">
        <f>H199</f>
        <v>0</v>
      </c>
      <c r="I198" s="85">
        <f>I199</f>
        <v>0</v>
      </c>
      <c r="J198" s="103"/>
      <c r="K198" s="103"/>
      <c r="L198" s="103"/>
      <c r="M198" s="103"/>
      <c r="N198" s="103"/>
      <c r="O198" s="103"/>
      <c r="P198" s="103"/>
      <c r="Q198" s="103"/>
    </row>
    <row r="199" spans="1:22" s="78" customFormat="1" ht="25.5" x14ac:dyDescent="0.2">
      <c r="A199" s="81" t="s">
        <v>74</v>
      </c>
      <c r="B199" s="75">
        <v>905</v>
      </c>
      <c r="C199" s="76" t="s">
        <v>10</v>
      </c>
      <c r="D199" s="76" t="s">
        <v>59</v>
      </c>
      <c r="E199" s="76" t="s">
        <v>187</v>
      </c>
      <c r="F199" s="77" t="s">
        <v>66</v>
      </c>
      <c r="G199" s="56">
        <v>300</v>
      </c>
      <c r="H199" s="56"/>
      <c r="I199" s="56"/>
      <c r="J199" s="104"/>
      <c r="K199" s="104"/>
      <c r="L199" s="104"/>
      <c r="M199" s="104"/>
      <c r="N199" s="104"/>
      <c r="O199" s="104"/>
      <c r="P199" s="104"/>
      <c r="Q199" s="104"/>
    </row>
    <row r="200" spans="1:22" s="21" customFormat="1" ht="38.25" x14ac:dyDescent="0.2">
      <c r="A200" s="18" t="s">
        <v>188</v>
      </c>
      <c r="B200" s="22">
        <v>905</v>
      </c>
      <c r="C200" s="19" t="s">
        <v>10</v>
      </c>
      <c r="D200" s="19" t="s">
        <v>59</v>
      </c>
      <c r="E200" s="19" t="s">
        <v>189</v>
      </c>
      <c r="F200" s="19"/>
      <c r="G200" s="20">
        <f>G201</f>
        <v>200</v>
      </c>
      <c r="H200" s="20">
        <f>H201</f>
        <v>0</v>
      </c>
      <c r="I200" s="20">
        <f>I201</f>
        <v>0</v>
      </c>
    </row>
    <row r="201" spans="1:22" s="26" customFormat="1" ht="25.5" x14ac:dyDescent="0.2">
      <c r="A201" s="28" t="s">
        <v>74</v>
      </c>
      <c r="B201" s="31">
        <v>905</v>
      </c>
      <c r="C201" s="24" t="s">
        <v>10</v>
      </c>
      <c r="D201" s="24" t="s">
        <v>59</v>
      </c>
      <c r="E201" s="24" t="s">
        <v>189</v>
      </c>
      <c r="F201" s="27" t="s">
        <v>66</v>
      </c>
      <c r="G201" s="25">
        <v>200</v>
      </c>
      <c r="H201" s="25"/>
      <c r="I201" s="25"/>
    </row>
    <row r="202" spans="1:22" s="103" customFormat="1" x14ac:dyDescent="0.2">
      <c r="A202" s="239" t="s">
        <v>190</v>
      </c>
      <c r="B202" s="240">
        <v>905</v>
      </c>
      <c r="C202" s="241" t="s">
        <v>10</v>
      </c>
      <c r="D202" s="241" t="s">
        <v>59</v>
      </c>
      <c r="E202" s="253" t="s">
        <v>191</v>
      </c>
      <c r="F202" s="253"/>
      <c r="G202" s="254">
        <f>G204+G203</f>
        <v>3212.4</v>
      </c>
      <c r="H202" s="254">
        <f>H204+H203</f>
        <v>0</v>
      </c>
      <c r="I202" s="254">
        <f>I204+I203</f>
        <v>0</v>
      </c>
    </row>
    <row r="203" spans="1:22" s="104" customFormat="1" ht="25.5" x14ac:dyDescent="0.2">
      <c r="A203" s="247" t="s">
        <v>74</v>
      </c>
      <c r="B203" s="249">
        <v>905</v>
      </c>
      <c r="C203" s="244" t="s">
        <v>10</v>
      </c>
      <c r="D203" s="244" t="s">
        <v>59</v>
      </c>
      <c r="E203" s="244" t="s">
        <v>191</v>
      </c>
      <c r="F203" s="250" t="s">
        <v>66</v>
      </c>
      <c r="G203" s="192">
        <f>142.7+2435.3+503.5+120.9</f>
        <v>3202.4</v>
      </c>
      <c r="H203" s="192"/>
      <c r="I203" s="192"/>
    </row>
    <row r="204" spans="1:22" s="104" customFormat="1" x14ac:dyDescent="0.2">
      <c r="A204" s="247" t="s">
        <v>70</v>
      </c>
      <c r="B204" s="249">
        <v>905</v>
      </c>
      <c r="C204" s="244" t="s">
        <v>10</v>
      </c>
      <c r="D204" s="244" t="s">
        <v>59</v>
      </c>
      <c r="E204" s="244" t="s">
        <v>191</v>
      </c>
      <c r="F204" s="250" t="s">
        <v>71</v>
      </c>
      <c r="G204" s="192">
        <f>130.9-120.9</f>
        <v>10</v>
      </c>
      <c r="H204" s="192"/>
      <c r="I204" s="192"/>
    </row>
    <row r="205" spans="1:22" s="73" customFormat="1" x14ac:dyDescent="0.2">
      <c r="A205" s="69" t="s">
        <v>193</v>
      </c>
      <c r="B205" s="70">
        <v>905</v>
      </c>
      <c r="C205" s="71" t="s">
        <v>10</v>
      </c>
      <c r="D205" s="71" t="s">
        <v>59</v>
      </c>
      <c r="E205" s="84" t="s">
        <v>192</v>
      </c>
      <c r="F205" s="84"/>
      <c r="G205" s="85">
        <f>G206</f>
        <v>500</v>
      </c>
      <c r="H205" s="85">
        <f>H206</f>
        <v>0</v>
      </c>
      <c r="I205" s="85">
        <f>I206</f>
        <v>0</v>
      </c>
      <c r="J205" s="103"/>
      <c r="K205" s="103"/>
      <c r="L205" s="103"/>
      <c r="M205" s="103"/>
      <c r="N205" s="103"/>
      <c r="O205" s="103"/>
      <c r="P205" s="103"/>
      <c r="Q205" s="103"/>
    </row>
    <row r="206" spans="1:22" s="78" customFormat="1" ht="25.5" x14ac:dyDescent="0.2">
      <c r="A206" s="81" t="s">
        <v>74</v>
      </c>
      <c r="B206" s="75">
        <v>905</v>
      </c>
      <c r="C206" s="76" t="s">
        <v>10</v>
      </c>
      <c r="D206" s="76" t="s">
        <v>59</v>
      </c>
      <c r="E206" s="76" t="s">
        <v>192</v>
      </c>
      <c r="F206" s="77" t="s">
        <v>66</v>
      </c>
      <c r="G206" s="56">
        <v>500</v>
      </c>
      <c r="H206" s="56"/>
      <c r="I206" s="56"/>
      <c r="J206" s="104"/>
      <c r="K206" s="104"/>
      <c r="L206" s="104"/>
      <c r="M206" s="104"/>
      <c r="N206" s="104"/>
      <c r="O206" s="104"/>
      <c r="P206" s="104"/>
      <c r="Q206" s="104"/>
    </row>
    <row r="207" spans="1:22" x14ac:dyDescent="0.2">
      <c r="A207" s="18" t="s">
        <v>194</v>
      </c>
      <c r="B207" s="22">
        <v>905</v>
      </c>
      <c r="C207" s="19" t="s">
        <v>10</v>
      </c>
      <c r="D207" s="19" t="s">
        <v>59</v>
      </c>
      <c r="E207" s="5" t="s">
        <v>195</v>
      </c>
      <c r="F207" s="5"/>
      <c r="G207" s="6">
        <f>G208+G209</f>
        <v>169</v>
      </c>
      <c r="H207" s="6">
        <f t="shared" ref="H207:I207" si="46">H208+H209</f>
        <v>0</v>
      </c>
      <c r="I207" s="6">
        <f t="shared" si="46"/>
        <v>0</v>
      </c>
      <c r="J207" s="103"/>
      <c r="K207" s="103"/>
      <c r="L207" s="103"/>
      <c r="M207" s="103"/>
      <c r="N207" s="103"/>
      <c r="O207" s="103"/>
      <c r="P207" s="103"/>
      <c r="Q207" s="103"/>
    </row>
    <row r="208" spans="1:22" s="26" customFormat="1" ht="25.5" x14ac:dyDescent="0.2">
      <c r="A208" s="28" t="s">
        <v>74</v>
      </c>
      <c r="B208" s="23">
        <v>905</v>
      </c>
      <c r="C208" s="24" t="s">
        <v>10</v>
      </c>
      <c r="D208" s="24" t="s">
        <v>59</v>
      </c>
      <c r="E208" s="24" t="s">
        <v>195</v>
      </c>
      <c r="F208" s="27" t="s">
        <v>66</v>
      </c>
      <c r="G208" s="25">
        <v>169</v>
      </c>
      <c r="H208" s="25"/>
      <c r="I208" s="25"/>
    </row>
    <row r="209" spans="1:17" s="26" customFormat="1" x14ac:dyDescent="0.2">
      <c r="A209" s="28" t="s">
        <v>70</v>
      </c>
      <c r="B209" s="31">
        <v>905</v>
      </c>
      <c r="C209" s="19" t="s">
        <v>10</v>
      </c>
      <c r="D209" s="19" t="s">
        <v>59</v>
      </c>
      <c r="E209" s="24" t="s">
        <v>195</v>
      </c>
      <c r="F209" s="24" t="s">
        <v>71</v>
      </c>
      <c r="G209" s="25"/>
      <c r="H209" s="25"/>
      <c r="I209" s="25"/>
      <c r="J209" s="104"/>
      <c r="K209" s="104"/>
      <c r="L209" s="104"/>
      <c r="M209" s="104"/>
      <c r="N209" s="104"/>
      <c r="O209" s="104"/>
      <c r="P209" s="104"/>
      <c r="Q209" s="104"/>
    </row>
    <row r="210" spans="1:17" ht="25.5" x14ac:dyDescent="0.2">
      <c r="A210" s="18" t="s">
        <v>196</v>
      </c>
      <c r="B210" s="22">
        <v>905</v>
      </c>
      <c r="C210" s="19" t="s">
        <v>10</v>
      </c>
      <c r="D210" s="19" t="s">
        <v>59</v>
      </c>
      <c r="E210" s="5" t="s">
        <v>197</v>
      </c>
      <c r="F210" s="19"/>
      <c r="G210" s="20">
        <f>G211+G213+G212</f>
        <v>9752.8000000000011</v>
      </c>
      <c r="H210" s="20">
        <f t="shared" ref="H210:I210" si="47">H211+H213+H212</f>
        <v>9065.2000000000007</v>
      </c>
      <c r="I210" s="20">
        <f t="shared" si="47"/>
        <v>9065.2000000000007</v>
      </c>
      <c r="J210" s="103"/>
      <c r="K210" s="103"/>
      <c r="L210" s="103"/>
      <c r="M210" s="103"/>
      <c r="N210" s="103"/>
      <c r="O210" s="103"/>
      <c r="P210" s="103"/>
      <c r="Q210" s="103"/>
    </row>
    <row r="211" spans="1:17" s="26" customFormat="1" ht="51" customHeight="1" x14ac:dyDescent="0.2">
      <c r="A211" s="30" t="s">
        <v>64</v>
      </c>
      <c r="B211" s="32">
        <v>905</v>
      </c>
      <c r="C211" s="24" t="s">
        <v>10</v>
      </c>
      <c r="D211" s="24" t="s">
        <v>59</v>
      </c>
      <c r="E211" s="24" t="s">
        <v>197</v>
      </c>
      <c r="F211" s="27" t="s">
        <v>65</v>
      </c>
      <c r="G211" s="25">
        <f>6756.1+100+2070.5</f>
        <v>8926.6</v>
      </c>
      <c r="H211" s="25">
        <f>6756.1+100+2070.5</f>
        <v>8926.6</v>
      </c>
      <c r="I211" s="25">
        <f>6756.1+100+2070.5</f>
        <v>8926.6</v>
      </c>
      <c r="J211" s="104"/>
      <c r="K211" s="104"/>
      <c r="L211" s="104"/>
      <c r="M211" s="104"/>
      <c r="N211" s="104"/>
      <c r="O211" s="104"/>
      <c r="P211" s="104"/>
      <c r="Q211" s="104"/>
    </row>
    <row r="212" spans="1:17" s="26" customFormat="1" ht="25.5" x14ac:dyDescent="0.2">
      <c r="A212" s="28" t="s">
        <v>74</v>
      </c>
      <c r="B212" s="32">
        <v>905</v>
      </c>
      <c r="C212" s="24" t="s">
        <v>10</v>
      </c>
      <c r="D212" s="24" t="s">
        <v>59</v>
      </c>
      <c r="E212" s="24" t="s">
        <v>197</v>
      </c>
      <c r="F212" s="27" t="s">
        <v>66</v>
      </c>
      <c r="G212" s="25">
        <f>138.6+30+531.1+36.5+90</f>
        <v>826.2</v>
      </c>
      <c r="H212" s="25">
        <v>138.6</v>
      </c>
      <c r="I212" s="25">
        <v>138.6</v>
      </c>
      <c r="J212" s="104"/>
      <c r="K212" s="104"/>
      <c r="L212" s="104"/>
      <c r="M212" s="104"/>
      <c r="N212" s="104"/>
      <c r="O212" s="104"/>
      <c r="P212" s="104"/>
      <c r="Q212" s="104"/>
    </row>
    <row r="213" spans="1:17" s="26" customFormat="1" x14ac:dyDescent="0.2">
      <c r="A213" s="28" t="s">
        <v>70</v>
      </c>
      <c r="B213" s="32">
        <v>905</v>
      </c>
      <c r="C213" s="24" t="s">
        <v>10</v>
      </c>
      <c r="D213" s="24" t="s">
        <v>59</v>
      </c>
      <c r="E213" s="24" t="s">
        <v>197</v>
      </c>
      <c r="F213" s="27" t="s">
        <v>71</v>
      </c>
      <c r="G213" s="25"/>
      <c r="H213" s="25"/>
      <c r="I213" s="25"/>
      <c r="J213" s="104"/>
      <c r="K213" s="104"/>
      <c r="L213" s="104"/>
      <c r="M213" s="104"/>
      <c r="N213" s="104"/>
      <c r="O213" s="104"/>
      <c r="P213" s="104"/>
      <c r="Q213" s="104"/>
    </row>
    <row r="214" spans="1:17" s="3" customFormat="1" x14ac:dyDescent="0.2">
      <c r="A214" s="13" t="s">
        <v>25</v>
      </c>
      <c r="B214" s="41">
        <v>905</v>
      </c>
      <c r="C214" s="1" t="s">
        <v>16</v>
      </c>
      <c r="D214" s="1"/>
      <c r="E214" s="1"/>
      <c r="F214" s="1"/>
      <c r="G214" s="2">
        <f>G215</f>
        <v>2000</v>
      </c>
      <c r="H214" s="2">
        <f>H215</f>
        <v>0</v>
      </c>
      <c r="I214" s="2">
        <f>I215</f>
        <v>0</v>
      </c>
      <c r="J214" s="108"/>
      <c r="K214" s="108"/>
      <c r="L214" s="108"/>
      <c r="M214" s="108"/>
      <c r="N214" s="108"/>
      <c r="O214" s="108"/>
      <c r="P214" s="108"/>
      <c r="Q214" s="108"/>
    </row>
    <row r="215" spans="1:17" s="9" customFormat="1" x14ac:dyDescent="0.2">
      <c r="A215" s="11" t="s">
        <v>27</v>
      </c>
      <c r="B215" s="14">
        <v>905</v>
      </c>
      <c r="C215" s="8" t="s">
        <v>16</v>
      </c>
      <c r="D215" s="8" t="s">
        <v>21</v>
      </c>
      <c r="E215" s="8"/>
      <c r="F215" s="8"/>
      <c r="G215" s="4">
        <f>G216+G218</f>
        <v>2000</v>
      </c>
      <c r="H215" s="4">
        <f>H216+H218</f>
        <v>0</v>
      </c>
      <c r="I215" s="4">
        <f>I216+I218</f>
        <v>0</v>
      </c>
      <c r="J215" s="109"/>
      <c r="K215" s="109"/>
      <c r="L215" s="109"/>
      <c r="M215" s="109"/>
      <c r="N215" s="109"/>
      <c r="O215" s="109"/>
      <c r="P215" s="109"/>
      <c r="Q215" s="109"/>
    </row>
    <row r="216" spans="1:17" x14ac:dyDescent="0.2">
      <c r="A216" s="18" t="s">
        <v>199</v>
      </c>
      <c r="B216" s="22">
        <v>905</v>
      </c>
      <c r="C216" s="19" t="s">
        <v>16</v>
      </c>
      <c r="D216" s="19" t="s">
        <v>21</v>
      </c>
      <c r="E216" s="19" t="s">
        <v>198</v>
      </c>
      <c r="F216" s="19"/>
      <c r="G216" s="20">
        <f>G217</f>
        <v>1500</v>
      </c>
      <c r="H216" s="20">
        <f>H217</f>
        <v>0</v>
      </c>
      <c r="I216" s="20">
        <f>I217</f>
        <v>0</v>
      </c>
      <c r="J216" s="103"/>
      <c r="K216" s="103"/>
      <c r="L216" s="103"/>
      <c r="M216" s="103"/>
      <c r="N216" s="103"/>
      <c r="O216" s="103"/>
      <c r="P216" s="103"/>
      <c r="Q216" s="103"/>
    </row>
    <row r="217" spans="1:17" s="26" customFormat="1" ht="25.5" x14ac:dyDescent="0.2">
      <c r="A217" s="28" t="s">
        <v>74</v>
      </c>
      <c r="B217" s="31">
        <v>905</v>
      </c>
      <c r="C217" s="24" t="s">
        <v>16</v>
      </c>
      <c r="D217" s="24" t="s">
        <v>21</v>
      </c>
      <c r="E217" s="24" t="s">
        <v>198</v>
      </c>
      <c r="F217" s="27" t="s">
        <v>66</v>
      </c>
      <c r="G217" s="25">
        <v>1500</v>
      </c>
      <c r="H217" s="25"/>
      <c r="I217" s="25"/>
      <c r="J217" s="104"/>
      <c r="K217" s="104"/>
      <c r="L217" s="104"/>
      <c r="M217" s="104"/>
      <c r="N217" s="104"/>
      <c r="O217" s="104"/>
      <c r="P217" s="104"/>
      <c r="Q217" s="104"/>
    </row>
    <row r="218" spans="1:17" s="21" customFormat="1" ht="38.25" x14ac:dyDescent="0.2">
      <c r="A218" s="18" t="s">
        <v>200</v>
      </c>
      <c r="B218" s="22">
        <v>905</v>
      </c>
      <c r="C218" s="19" t="s">
        <v>16</v>
      </c>
      <c r="D218" s="19" t="s">
        <v>21</v>
      </c>
      <c r="E218" s="19" t="s">
        <v>201</v>
      </c>
      <c r="F218" s="19"/>
      <c r="G218" s="20">
        <f>G219</f>
        <v>500</v>
      </c>
      <c r="H218" s="20">
        <f>H219</f>
        <v>0</v>
      </c>
      <c r="I218" s="20">
        <f>I219</f>
        <v>0</v>
      </c>
      <c r="J218" s="103"/>
      <c r="K218" s="103"/>
      <c r="L218" s="103"/>
      <c r="M218" s="103"/>
      <c r="N218" s="103"/>
      <c r="O218" s="103"/>
      <c r="P218" s="103"/>
      <c r="Q218" s="103"/>
    </row>
    <row r="219" spans="1:17" s="26" customFormat="1" ht="25.5" x14ac:dyDescent="0.2">
      <c r="A219" s="28" t="s">
        <v>74</v>
      </c>
      <c r="B219" s="32">
        <v>905</v>
      </c>
      <c r="C219" s="24" t="s">
        <v>16</v>
      </c>
      <c r="D219" s="24" t="s">
        <v>21</v>
      </c>
      <c r="E219" s="24" t="s">
        <v>201</v>
      </c>
      <c r="F219" s="27" t="s">
        <v>66</v>
      </c>
      <c r="G219" s="25">
        <v>500</v>
      </c>
      <c r="H219" s="25"/>
      <c r="I219" s="25"/>
      <c r="J219" s="104"/>
      <c r="K219" s="104"/>
      <c r="L219" s="104"/>
      <c r="M219" s="104"/>
      <c r="N219" s="104"/>
      <c r="O219" s="104"/>
      <c r="P219" s="104"/>
      <c r="Q219" s="104"/>
    </row>
    <row r="220" spans="1:17" s="3" customFormat="1" x14ac:dyDescent="0.2">
      <c r="A220" s="13" t="s">
        <v>28</v>
      </c>
      <c r="B220" s="41">
        <v>905</v>
      </c>
      <c r="C220" s="1" t="s">
        <v>29</v>
      </c>
      <c r="D220" s="1"/>
      <c r="E220" s="1"/>
      <c r="F220" s="1"/>
      <c r="G220" s="2">
        <f>G221</f>
        <v>1201.0999999999999</v>
      </c>
      <c r="H220" s="2">
        <f t="shared" ref="H220:I220" si="48">H221</f>
        <v>0</v>
      </c>
      <c r="I220" s="2">
        <f t="shared" si="48"/>
        <v>0</v>
      </c>
    </row>
    <row r="221" spans="1:17" s="9" customFormat="1" x14ac:dyDescent="0.2">
      <c r="A221" s="11" t="s">
        <v>30</v>
      </c>
      <c r="B221" s="14">
        <v>905</v>
      </c>
      <c r="C221" s="8" t="s">
        <v>29</v>
      </c>
      <c r="D221" s="8" t="s">
        <v>10</v>
      </c>
      <c r="E221" s="8"/>
      <c r="F221" s="8"/>
      <c r="G221" s="4">
        <f t="shared" ref="G221:I222" si="49">G222</f>
        <v>1201.0999999999999</v>
      </c>
      <c r="H221" s="4">
        <f t="shared" si="49"/>
        <v>0</v>
      </c>
      <c r="I221" s="4">
        <f t="shared" si="49"/>
        <v>0</v>
      </c>
    </row>
    <row r="222" spans="1:17" s="73" customFormat="1" ht="25.5" x14ac:dyDescent="0.2">
      <c r="A222" s="69" t="s">
        <v>202</v>
      </c>
      <c r="B222" s="70">
        <v>905</v>
      </c>
      <c r="C222" s="71" t="s">
        <v>29</v>
      </c>
      <c r="D222" s="71" t="s">
        <v>10</v>
      </c>
      <c r="E222" s="71" t="s">
        <v>203</v>
      </c>
      <c r="F222" s="71"/>
      <c r="G222" s="72">
        <f t="shared" si="49"/>
        <v>1201.0999999999999</v>
      </c>
      <c r="H222" s="72">
        <f t="shared" si="49"/>
        <v>0</v>
      </c>
      <c r="I222" s="72">
        <f t="shared" si="49"/>
        <v>0</v>
      </c>
      <c r="J222" s="103"/>
      <c r="K222" s="103"/>
      <c r="L222" s="103"/>
      <c r="M222" s="103"/>
      <c r="N222" s="103"/>
      <c r="O222" s="103"/>
      <c r="P222" s="103"/>
      <c r="Q222" s="103"/>
    </row>
    <row r="223" spans="1:17" s="26" customFormat="1" ht="25.5" x14ac:dyDescent="0.2">
      <c r="A223" s="28" t="s">
        <v>74</v>
      </c>
      <c r="B223" s="31">
        <v>905</v>
      </c>
      <c r="C223" s="24" t="s">
        <v>29</v>
      </c>
      <c r="D223" s="24" t="s">
        <v>10</v>
      </c>
      <c r="E223" s="24" t="s">
        <v>203</v>
      </c>
      <c r="F223" s="24" t="s">
        <v>66</v>
      </c>
      <c r="G223" s="25">
        <v>1201.0999999999999</v>
      </c>
      <c r="H223" s="25"/>
      <c r="I223" s="25"/>
      <c r="J223" s="104"/>
      <c r="K223" s="104"/>
      <c r="L223" s="104"/>
      <c r="M223" s="104"/>
      <c r="N223" s="104"/>
      <c r="O223" s="104"/>
      <c r="P223" s="104"/>
      <c r="Q223" s="104"/>
    </row>
    <row r="224" spans="1:17" s="9" customFormat="1" x14ac:dyDescent="0.2">
      <c r="A224" s="11" t="s">
        <v>50</v>
      </c>
      <c r="B224" s="14">
        <v>905</v>
      </c>
      <c r="C224" s="8" t="s">
        <v>49</v>
      </c>
      <c r="D224" s="8"/>
      <c r="E224" s="8"/>
      <c r="F224" s="8"/>
      <c r="G224" s="4">
        <f>G228+G225</f>
        <v>82257</v>
      </c>
      <c r="H224" s="4">
        <f t="shared" ref="H224:I224" si="50">H228+H225</f>
        <v>85251</v>
      </c>
      <c r="I224" s="4">
        <f t="shared" si="50"/>
        <v>85428</v>
      </c>
    </row>
    <row r="225" spans="1:23" s="9" customFormat="1" x14ac:dyDescent="0.2">
      <c r="A225" s="11" t="s">
        <v>53</v>
      </c>
      <c r="B225" s="14">
        <v>905</v>
      </c>
      <c r="C225" s="8" t="s">
        <v>49</v>
      </c>
      <c r="D225" s="8" t="s">
        <v>14</v>
      </c>
      <c r="E225" s="8"/>
      <c r="F225" s="8"/>
      <c r="G225" s="4">
        <f>G226</f>
        <v>0</v>
      </c>
      <c r="H225" s="4">
        <f t="shared" ref="H225:I226" si="51">H226</f>
        <v>0</v>
      </c>
      <c r="I225" s="4">
        <f t="shared" si="51"/>
        <v>0</v>
      </c>
      <c r="J225" s="109"/>
      <c r="K225" s="109"/>
      <c r="L225" s="109"/>
      <c r="M225" s="109"/>
      <c r="N225" s="109"/>
      <c r="O225" s="109"/>
      <c r="P225" s="109"/>
      <c r="Q225" s="109"/>
    </row>
    <row r="226" spans="1:23" ht="38.25" x14ac:dyDescent="0.2">
      <c r="A226" s="18" t="s">
        <v>309</v>
      </c>
      <c r="B226" s="22">
        <v>905</v>
      </c>
      <c r="C226" s="19" t="s">
        <v>49</v>
      </c>
      <c r="D226" s="19" t="s">
        <v>14</v>
      </c>
      <c r="E226" s="19" t="s">
        <v>158</v>
      </c>
      <c r="F226" s="19"/>
      <c r="G226" s="20">
        <f>G227</f>
        <v>0</v>
      </c>
      <c r="H226" s="20">
        <f t="shared" si="51"/>
        <v>0</v>
      </c>
      <c r="I226" s="20">
        <f t="shared" si="51"/>
        <v>0</v>
      </c>
      <c r="J226" s="103"/>
      <c r="K226" s="103"/>
      <c r="L226" s="103"/>
      <c r="M226" s="103"/>
      <c r="N226" s="103"/>
      <c r="O226" s="103"/>
      <c r="P226" s="103"/>
      <c r="Q226" s="103"/>
    </row>
    <row r="227" spans="1:23" s="26" customFormat="1" ht="25.5" x14ac:dyDescent="0.2">
      <c r="A227" s="28" t="s">
        <v>80</v>
      </c>
      <c r="B227" s="31">
        <v>905</v>
      </c>
      <c r="C227" s="24" t="s">
        <v>49</v>
      </c>
      <c r="D227" s="24" t="s">
        <v>14</v>
      </c>
      <c r="E227" s="24" t="s">
        <v>158</v>
      </c>
      <c r="F227" s="24" t="s">
        <v>69</v>
      </c>
      <c r="G227" s="25"/>
      <c r="H227" s="25"/>
      <c r="I227" s="25"/>
      <c r="J227" s="104"/>
      <c r="K227" s="104"/>
      <c r="L227" s="104"/>
      <c r="M227" s="104"/>
      <c r="N227" s="104"/>
      <c r="O227" s="104"/>
      <c r="P227" s="104"/>
      <c r="Q227" s="104"/>
    </row>
    <row r="228" spans="1:23" s="9" customFormat="1" x14ac:dyDescent="0.2">
      <c r="A228" s="11" t="s">
        <v>54</v>
      </c>
      <c r="B228" s="14">
        <v>905</v>
      </c>
      <c r="C228" s="8" t="s">
        <v>49</v>
      </c>
      <c r="D228" s="8" t="s">
        <v>16</v>
      </c>
      <c r="E228" s="8"/>
      <c r="F228" s="8"/>
      <c r="G228" s="4">
        <f>G229+G231</f>
        <v>82257</v>
      </c>
      <c r="H228" s="4">
        <f t="shared" ref="H228:I228" si="52">H229+H231</f>
        <v>85251</v>
      </c>
      <c r="I228" s="4">
        <f t="shared" si="52"/>
        <v>85428</v>
      </c>
    </row>
    <row r="229" spans="1:23" ht="39" customHeight="1" x14ac:dyDescent="0.2">
      <c r="A229" s="18" t="s">
        <v>204</v>
      </c>
      <c r="B229" s="22">
        <v>905</v>
      </c>
      <c r="C229" s="19" t="s">
        <v>49</v>
      </c>
      <c r="D229" s="16" t="s">
        <v>16</v>
      </c>
      <c r="E229" s="19" t="s">
        <v>124</v>
      </c>
      <c r="F229" s="19"/>
      <c r="G229" s="20">
        <f>G230</f>
        <v>23875</v>
      </c>
      <c r="H229" s="20">
        <f>H230</f>
        <v>26869</v>
      </c>
      <c r="I229" s="20">
        <f>I230</f>
        <v>27046</v>
      </c>
      <c r="J229" s="103"/>
      <c r="K229" s="103"/>
      <c r="L229" s="103"/>
      <c r="M229" s="103"/>
      <c r="N229" s="103"/>
      <c r="O229" s="103"/>
      <c r="P229" s="103"/>
      <c r="Q229" s="103"/>
    </row>
    <row r="230" spans="1:23" s="26" customFormat="1" ht="25.5" x14ac:dyDescent="0.2">
      <c r="A230" s="28" t="s">
        <v>80</v>
      </c>
      <c r="B230" s="31">
        <v>905</v>
      </c>
      <c r="C230" s="24" t="s">
        <v>49</v>
      </c>
      <c r="D230" s="24" t="s">
        <v>16</v>
      </c>
      <c r="E230" s="19" t="s">
        <v>124</v>
      </c>
      <c r="F230" s="24" t="s">
        <v>69</v>
      </c>
      <c r="G230" s="25">
        <f>24009-134</f>
        <v>23875</v>
      </c>
      <c r="H230" s="25">
        <f>24009+2860</f>
        <v>26869</v>
      </c>
      <c r="I230" s="25">
        <f>24133+2913</f>
        <v>27046</v>
      </c>
      <c r="J230" s="104"/>
      <c r="K230" s="104"/>
      <c r="L230" s="104"/>
      <c r="M230" s="104"/>
      <c r="N230" s="104"/>
      <c r="O230" s="104"/>
      <c r="P230" s="104"/>
      <c r="Q230" s="104"/>
    </row>
    <row r="231" spans="1:23" s="21" customFormat="1" ht="41.25" customHeight="1" x14ac:dyDescent="0.2">
      <c r="A231" s="18" t="s">
        <v>204</v>
      </c>
      <c r="B231" s="18">
        <v>905</v>
      </c>
      <c r="C231" s="19" t="s">
        <v>49</v>
      </c>
      <c r="D231" s="16" t="s">
        <v>16</v>
      </c>
      <c r="E231" s="19" t="s">
        <v>320</v>
      </c>
      <c r="F231" s="19"/>
      <c r="G231" s="20">
        <f>G232</f>
        <v>58382</v>
      </c>
      <c r="H231" s="20">
        <f>H232</f>
        <v>58382</v>
      </c>
      <c r="I231" s="20">
        <f>I232</f>
        <v>58382</v>
      </c>
      <c r="S231" s="262"/>
      <c r="T231" s="262"/>
      <c r="U231" s="262"/>
      <c r="V231" s="262"/>
      <c r="W231" s="262"/>
    </row>
    <row r="232" spans="1:23" s="73" customFormat="1" ht="25.5" x14ac:dyDescent="0.2">
      <c r="A232" s="81" t="s">
        <v>80</v>
      </c>
      <c r="B232" s="81">
        <v>905</v>
      </c>
      <c r="C232" s="76" t="s">
        <v>49</v>
      </c>
      <c r="D232" s="76" t="s">
        <v>16</v>
      </c>
      <c r="E232" s="71" t="s">
        <v>320</v>
      </c>
      <c r="F232" s="76" t="s">
        <v>69</v>
      </c>
      <c r="G232" s="56">
        <v>58382</v>
      </c>
      <c r="H232" s="56">
        <v>58382</v>
      </c>
      <c r="I232" s="56">
        <v>58382</v>
      </c>
      <c r="S232" s="262"/>
      <c r="T232" s="262"/>
      <c r="U232" s="262"/>
      <c r="V232" s="262"/>
      <c r="W232" s="262"/>
    </row>
    <row r="233" spans="1:23" s="9" customFormat="1" ht="29.25" customHeight="1" x14ac:dyDescent="0.2">
      <c r="A233" s="39" t="s">
        <v>61</v>
      </c>
      <c r="B233" s="36">
        <v>906</v>
      </c>
      <c r="C233" s="40"/>
      <c r="D233" s="40"/>
      <c r="E233" s="40"/>
      <c r="F233" s="40"/>
      <c r="G233" s="38">
        <f t="shared" ref="G233:I234" si="53">G234</f>
        <v>3046.0000000000005</v>
      </c>
      <c r="H233" s="38">
        <f t="shared" si="53"/>
        <v>3046.0000000000005</v>
      </c>
      <c r="I233" s="38">
        <f t="shared" si="53"/>
        <v>3046.0000000000005</v>
      </c>
      <c r="S233" s="233"/>
      <c r="V233" s="233"/>
    </row>
    <row r="234" spans="1:23" s="3" customFormat="1" x14ac:dyDescent="0.2">
      <c r="A234" s="13" t="s">
        <v>58</v>
      </c>
      <c r="B234" s="41">
        <v>906</v>
      </c>
      <c r="C234" s="1" t="s">
        <v>10</v>
      </c>
      <c r="D234" s="1"/>
      <c r="E234" s="1"/>
      <c r="F234" s="1"/>
      <c r="G234" s="2">
        <f t="shared" si="53"/>
        <v>3046.0000000000005</v>
      </c>
      <c r="H234" s="2">
        <f t="shared" si="53"/>
        <v>3046.0000000000005</v>
      </c>
      <c r="I234" s="2">
        <f t="shared" si="53"/>
        <v>3046.0000000000005</v>
      </c>
    </row>
    <row r="235" spans="1:23" s="9" customFormat="1" ht="38.25" x14ac:dyDescent="0.2">
      <c r="A235" s="11" t="s">
        <v>79</v>
      </c>
      <c r="B235" s="14">
        <v>906</v>
      </c>
      <c r="C235" s="8" t="s">
        <v>10</v>
      </c>
      <c r="D235" s="8" t="s">
        <v>48</v>
      </c>
      <c r="E235" s="8"/>
      <c r="F235" s="8"/>
      <c r="G235" s="4">
        <f>G236+G240</f>
        <v>3046.0000000000005</v>
      </c>
      <c r="H235" s="4">
        <f>H236+H240</f>
        <v>3046.0000000000005</v>
      </c>
      <c r="I235" s="4">
        <f>I236+I240</f>
        <v>3046.0000000000005</v>
      </c>
    </row>
    <row r="236" spans="1:23" s="21" customFormat="1" x14ac:dyDescent="0.2">
      <c r="A236" s="18" t="s">
        <v>206</v>
      </c>
      <c r="B236" s="22">
        <v>906</v>
      </c>
      <c r="C236" s="19" t="s">
        <v>10</v>
      </c>
      <c r="D236" s="19" t="s">
        <v>48</v>
      </c>
      <c r="E236" s="19" t="s">
        <v>205</v>
      </c>
      <c r="F236" s="19"/>
      <c r="G236" s="20">
        <f>+G237+G238+G239</f>
        <v>2250.6000000000004</v>
      </c>
      <c r="H236" s="20">
        <f>+H237+H238+H239</f>
        <v>2250.6000000000004</v>
      </c>
      <c r="I236" s="20">
        <f>+I237+I238+I239</f>
        <v>2250.6000000000004</v>
      </c>
      <c r="J236" s="103"/>
      <c r="K236" s="103"/>
      <c r="L236" s="103"/>
      <c r="M236" s="103"/>
      <c r="N236" s="103"/>
      <c r="O236" s="103"/>
      <c r="P236" s="103"/>
      <c r="Q236" s="103"/>
    </row>
    <row r="237" spans="1:23" s="26" customFormat="1" ht="53.25" customHeight="1" x14ac:dyDescent="0.2">
      <c r="A237" s="30" t="s">
        <v>64</v>
      </c>
      <c r="B237" s="32">
        <v>906</v>
      </c>
      <c r="C237" s="24" t="s">
        <v>10</v>
      </c>
      <c r="D237" s="24" t="s">
        <v>48</v>
      </c>
      <c r="E237" s="24" t="s">
        <v>205</v>
      </c>
      <c r="F237" s="27" t="s">
        <v>65</v>
      </c>
      <c r="G237" s="25">
        <f>1364.2+8.4+5.7+412</f>
        <v>1790.3000000000002</v>
      </c>
      <c r="H237" s="25">
        <f>1364.2+8.4+5.7+412</f>
        <v>1790.3000000000002</v>
      </c>
      <c r="I237" s="25">
        <f>1364.2+8.4+5.7+412</f>
        <v>1790.3000000000002</v>
      </c>
      <c r="J237" s="104"/>
      <c r="K237" s="104"/>
      <c r="L237" s="104"/>
      <c r="M237" s="104"/>
      <c r="N237" s="104"/>
      <c r="O237" s="104"/>
      <c r="P237" s="104"/>
      <c r="Q237" s="104"/>
    </row>
    <row r="238" spans="1:23" s="26" customFormat="1" ht="25.5" x14ac:dyDescent="0.2">
      <c r="A238" s="28" t="s">
        <v>74</v>
      </c>
      <c r="B238" s="31">
        <v>906</v>
      </c>
      <c r="C238" s="24" t="s">
        <v>10</v>
      </c>
      <c r="D238" s="24" t="s">
        <v>48</v>
      </c>
      <c r="E238" s="24" t="s">
        <v>205</v>
      </c>
      <c r="F238" s="27" t="s">
        <v>66</v>
      </c>
      <c r="G238" s="25">
        <v>459.5</v>
      </c>
      <c r="H238" s="25">
        <v>459.5</v>
      </c>
      <c r="I238" s="25">
        <v>459.5</v>
      </c>
      <c r="J238" s="104"/>
      <c r="K238" s="104"/>
      <c r="L238" s="104"/>
      <c r="M238" s="104"/>
      <c r="N238" s="104"/>
      <c r="O238" s="104"/>
      <c r="P238" s="104"/>
      <c r="Q238" s="104"/>
    </row>
    <row r="239" spans="1:23" s="26" customFormat="1" x14ac:dyDescent="0.2">
      <c r="A239" s="28" t="s">
        <v>70</v>
      </c>
      <c r="B239" s="31">
        <v>906</v>
      </c>
      <c r="C239" s="24" t="s">
        <v>10</v>
      </c>
      <c r="D239" s="24" t="s">
        <v>48</v>
      </c>
      <c r="E239" s="24" t="s">
        <v>205</v>
      </c>
      <c r="F239" s="24" t="s">
        <v>71</v>
      </c>
      <c r="G239" s="25">
        <v>0.8</v>
      </c>
      <c r="H239" s="25">
        <v>0.8</v>
      </c>
      <c r="I239" s="25">
        <v>0.8</v>
      </c>
    </row>
    <row r="240" spans="1:23" s="21" customFormat="1" x14ac:dyDescent="0.2">
      <c r="A240" s="18" t="s">
        <v>207</v>
      </c>
      <c r="B240" s="22">
        <v>906</v>
      </c>
      <c r="C240" s="19" t="s">
        <v>10</v>
      </c>
      <c r="D240" s="19" t="s">
        <v>48</v>
      </c>
      <c r="E240" s="19" t="s">
        <v>208</v>
      </c>
      <c r="F240" s="19"/>
      <c r="G240" s="20">
        <f>G241</f>
        <v>795.4</v>
      </c>
      <c r="H240" s="20">
        <f>H241</f>
        <v>795.4</v>
      </c>
      <c r="I240" s="20">
        <f>I241</f>
        <v>795.4</v>
      </c>
      <c r="J240" s="103"/>
      <c r="K240" s="103"/>
      <c r="L240" s="103"/>
      <c r="M240" s="103"/>
      <c r="N240" s="103"/>
      <c r="O240" s="103"/>
      <c r="P240" s="103"/>
      <c r="Q240" s="103"/>
    </row>
    <row r="241" spans="1:22" s="26" customFormat="1" ht="51" customHeight="1" x14ac:dyDescent="0.2">
      <c r="A241" s="30" t="s">
        <v>64</v>
      </c>
      <c r="B241" s="32">
        <v>906</v>
      </c>
      <c r="C241" s="24" t="s">
        <v>10</v>
      </c>
      <c r="D241" s="24" t="s">
        <v>48</v>
      </c>
      <c r="E241" s="24" t="s">
        <v>208</v>
      </c>
      <c r="F241" s="27" t="s">
        <v>65</v>
      </c>
      <c r="G241" s="25">
        <f>610.9+184.5</f>
        <v>795.4</v>
      </c>
      <c r="H241" s="25">
        <f>610.9+184.5</f>
        <v>795.4</v>
      </c>
      <c r="I241" s="25">
        <f>610.9+184.5</f>
        <v>795.4</v>
      </c>
      <c r="J241" s="104"/>
      <c r="K241" s="104"/>
      <c r="L241" s="104"/>
      <c r="M241" s="104"/>
      <c r="N241" s="104"/>
      <c r="O241" s="104"/>
      <c r="P241" s="104"/>
      <c r="Q241" s="104"/>
    </row>
    <row r="242" spans="1:22" s="9" customFormat="1" ht="30" customHeight="1" x14ac:dyDescent="0.2">
      <c r="A242" s="39" t="s">
        <v>75</v>
      </c>
      <c r="B242" s="36">
        <v>907</v>
      </c>
      <c r="C242" s="40"/>
      <c r="D242" s="40"/>
      <c r="E242" s="40"/>
      <c r="F242" s="40"/>
      <c r="G242" s="38">
        <f>G243</f>
        <v>8694.1999999999989</v>
      </c>
      <c r="H242" s="38">
        <f>H243</f>
        <v>8549.9</v>
      </c>
      <c r="I242" s="38">
        <f>I243</f>
        <v>8549.9</v>
      </c>
      <c r="S242" s="233"/>
      <c r="V242" s="233"/>
    </row>
    <row r="243" spans="1:22" s="3" customFormat="1" x14ac:dyDescent="0.2">
      <c r="A243" s="13" t="s">
        <v>58</v>
      </c>
      <c r="B243" s="41">
        <v>907</v>
      </c>
      <c r="C243" s="1" t="s">
        <v>10</v>
      </c>
      <c r="D243" s="1"/>
      <c r="E243" s="1"/>
      <c r="F243" s="1"/>
      <c r="G243" s="2">
        <f>G244+G254</f>
        <v>8694.1999999999989</v>
      </c>
      <c r="H243" s="2">
        <f>H244+H254</f>
        <v>8549.9</v>
      </c>
      <c r="I243" s="2">
        <f>I244+I254</f>
        <v>8549.9</v>
      </c>
    </row>
    <row r="244" spans="1:22" s="9" customFormat="1" ht="51" x14ac:dyDescent="0.2">
      <c r="A244" s="11" t="s">
        <v>13</v>
      </c>
      <c r="B244" s="14">
        <v>907</v>
      </c>
      <c r="C244" s="8" t="s">
        <v>10</v>
      </c>
      <c r="D244" s="8" t="s">
        <v>14</v>
      </c>
      <c r="E244" s="8"/>
      <c r="F244" s="8"/>
      <c r="G244" s="4">
        <f>G245+G249+G252</f>
        <v>8549.9</v>
      </c>
      <c r="H244" s="4">
        <f>H245+H249+H252</f>
        <v>8549.9</v>
      </c>
      <c r="I244" s="4">
        <f>I245+I249+I252</f>
        <v>8549.9</v>
      </c>
      <c r="J244" s="109"/>
      <c r="K244" s="109"/>
      <c r="L244" s="109"/>
      <c r="M244" s="109"/>
      <c r="N244" s="109"/>
      <c r="O244" s="109"/>
      <c r="P244" s="109"/>
      <c r="Q244" s="109"/>
    </row>
    <row r="245" spans="1:22" s="21" customFormat="1" x14ac:dyDescent="0.2">
      <c r="A245" s="18" t="s">
        <v>206</v>
      </c>
      <c r="B245" s="22">
        <v>907</v>
      </c>
      <c r="C245" s="19" t="s">
        <v>10</v>
      </c>
      <c r="D245" s="19" t="s">
        <v>14</v>
      </c>
      <c r="E245" s="19" t="s">
        <v>205</v>
      </c>
      <c r="F245" s="19"/>
      <c r="G245" s="20">
        <f>G246+G247+G248</f>
        <v>3538.2</v>
      </c>
      <c r="H245" s="20">
        <f>H246+H247+H248</f>
        <v>3538.2</v>
      </c>
      <c r="I245" s="20">
        <f>I246+I247+I248</f>
        <v>3538.2</v>
      </c>
      <c r="J245" s="103"/>
      <c r="K245" s="103"/>
      <c r="L245" s="103"/>
      <c r="M245" s="103"/>
      <c r="N245" s="103"/>
      <c r="O245" s="103"/>
      <c r="P245" s="103"/>
      <c r="Q245" s="103"/>
    </row>
    <row r="246" spans="1:22" s="78" customFormat="1" ht="51.75" customHeight="1" x14ac:dyDescent="0.2">
      <c r="A246" s="74" t="s">
        <v>64</v>
      </c>
      <c r="B246" s="75">
        <v>907</v>
      </c>
      <c r="C246" s="76" t="s">
        <v>10</v>
      </c>
      <c r="D246" s="76" t="s">
        <v>14</v>
      </c>
      <c r="E246" s="76" t="s">
        <v>205</v>
      </c>
      <c r="F246" s="77" t="s">
        <v>65</v>
      </c>
      <c r="G246" s="56">
        <v>3115.7</v>
      </c>
      <c r="H246" s="56">
        <v>3115.7</v>
      </c>
      <c r="I246" s="56">
        <v>3115.7</v>
      </c>
      <c r="J246" s="104"/>
      <c r="K246" s="104"/>
      <c r="L246" s="104"/>
      <c r="M246" s="104"/>
      <c r="N246" s="104"/>
      <c r="O246" s="104"/>
      <c r="P246" s="104"/>
      <c r="Q246" s="104"/>
    </row>
    <row r="247" spans="1:22" s="26" customFormat="1" ht="25.5" x14ac:dyDescent="0.2">
      <c r="A247" s="28" t="s">
        <v>74</v>
      </c>
      <c r="B247" s="32">
        <v>907</v>
      </c>
      <c r="C247" s="24" t="s">
        <v>10</v>
      </c>
      <c r="D247" s="24" t="s">
        <v>14</v>
      </c>
      <c r="E247" s="24" t="s">
        <v>205</v>
      </c>
      <c r="F247" s="27" t="s">
        <v>66</v>
      </c>
      <c r="G247" s="25">
        <v>420.4</v>
      </c>
      <c r="H247" s="25">
        <v>420.4</v>
      </c>
      <c r="I247" s="25">
        <v>420.4</v>
      </c>
    </row>
    <row r="248" spans="1:22" s="26" customFormat="1" x14ac:dyDescent="0.2">
      <c r="A248" s="28" t="s">
        <v>70</v>
      </c>
      <c r="B248" s="31">
        <v>907</v>
      </c>
      <c r="C248" s="24" t="s">
        <v>10</v>
      </c>
      <c r="D248" s="24" t="s">
        <v>14</v>
      </c>
      <c r="E248" s="24" t="s">
        <v>205</v>
      </c>
      <c r="F248" s="24" t="s">
        <v>71</v>
      </c>
      <c r="G248" s="25">
        <v>2.1</v>
      </c>
      <c r="H248" s="25">
        <v>2.1</v>
      </c>
      <c r="I248" s="25">
        <v>2.1</v>
      </c>
    </row>
    <row r="249" spans="1:22" s="21" customFormat="1" ht="25.5" x14ac:dyDescent="0.2">
      <c r="A249" s="18" t="s">
        <v>209</v>
      </c>
      <c r="B249" s="22">
        <v>907</v>
      </c>
      <c r="C249" s="19" t="s">
        <v>10</v>
      </c>
      <c r="D249" s="19" t="s">
        <v>14</v>
      </c>
      <c r="E249" s="19" t="s">
        <v>211</v>
      </c>
      <c r="F249" s="19"/>
      <c r="G249" s="20">
        <f>G250+G251</f>
        <v>1895</v>
      </c>
      <c r="H249" s="20">
        <f t="shared" ref="H249:I249" si="54">H250+H251</f>
        <v>1895</v>
      </c>
      <c r="I249" s="20">
        <f t="shared" si="54"/>
        <v>1895</v>
      </c>
      <c r="J249" s="103"/>
      <c r="K249" s="103"/>
      <c r="L249" s="103"/>
      <c r="M249" s="103"/>
      <c r="N249" s="103"/>
      <c r="O249" s="103"/>
      <c r="P249" s="103"/>
      <c r="Q249" s="103"/>
    </row>
    <row r="250" spans="1:22" s="78" customFormat="1" ht="51.75" customHeight="1" x14ac:dyDescent="0.2">
      <c r="A250" s="74" t="s">
        <v>64</v>
      </c>
      <c r="B250" s="75">
        <v>907</v>
      </c>
      <c r="C250" s="76" t="s">
        <v>10</v>
      </c>
      <c r="D250" s="76" t="s">
        <v>14</v>
      </c>
      <c r="E250" s="76" t="s">
        <v>211</v>
      </c>
      <c r="F250" s="77" t="s">
        <v>65</v>
      </c>
      <c r="G250" s="56">
        <v>1880</v>
      </c>
      <c r="H250" s="56">
        <v>1880</v>
      </c>
      <c r="I250" s="56">
        <v>1880</v>
      </c>
      <c r="J250" s="104"/>
      <c r="K250" s="104"/>
      <c r="L250" s="104"/>
      <c r="M250" s="104"/>
      <c r="N250" s="104"/>
      <c r="O250" s="104"/>
      <c r="P250" s="104"/>
      <c r="Q250" s="104"/>
    </row>
    <row r="251" spans="1:22" s="78" customFormat="1" ht="51.75" customHeight="1" x14ac:dyDescent="0.2">
      <c r="A251" s="28" t="s">
        <v>74</v>
      </c>
      <c r="B251" s="75">
        <v>907</v>
      </c>
      <c r="C251" s="76" t="s">
        <v>10</v>
      </c>
      <c r="D251" s="76" t="s">
        <v>14</v>
      </c>
      <c r="E251" s="76" t="s">
        <v>211</v>
      </c>
      <c r="F251" s="77" t="s">
        <v>66</v>
      </c>
      <c r="G251" s="56">
        <v>15</v>
      </c>
      <c r="H251" s="56">
        <v>15</v>
      </c>
      <c r="I251" s="56">
        <v>15</v>
      </c>
      <c r="J251" s="104"/>
      <c r="K251" s="104"/>
      <c r="L251" s="104"/>
      <c r="M251" s="104"/>
      <c r="N251" s="104"/>
      <c r="O251" s="104"/>
      <c r="P251" s="104"/>
      <c r="Q251" s="104"/>
    </row>
    <row r="252" spans="1:22" s="21" customFormat="1" ht="25.5" x14ac:dyDescent="0.2">
      <c r="A252" s="18" t="s">
        <v>210</v>
      </c>
      <c r="B252" s="22">
        <v>907</v>
      </c>
      <c r="C252" s="19" t="s">
        <v>10</v>
      </c>
      <c r="D252" s="19" t="s">
        <v>14</v>
      </c>
      <c r="E252" s="19" t="s">
        <v>212</v>
      </c>
      <c r="F252" s="19"/>
      <c r="G252" s="20">
        <f>G253</f>
        <v>3116.7</v>
      </c>
      <c r="H252" s="20">
        <f>H253</f>
        <v>3116.7</v>
      </c>
      <c r="I252" s="20">
        <f>I253</f>
        <v>3116.7</v>
      </c>
      <c r="J252" s="103"/>
      <c r="K252" s="103"/>
      <c r="L252" s="103"/>
      <c r="M252" s="103"/>
      <c r="N252" s="103"/>
      <c r="O252" s="103"/>
      <c r="P252" s="103"/>
      <c r="Q252" s="103"/>
    </row>
    <row r="253" spans="1:22" s="78" customFormat="1" ht="51" customHeight="1" x14ac:dyDescent="0.2">
      <c r="A253" s="74" t="s">
        <v>64</v>
      </c>
      <c r="B253" s="75">
        <v>907</v>
      </c>
      <c r="C253" s="76" t="s">
        <v>10</v>
      </c>
      <c r="D253" s="76" t="s">
        <v>14</v>
      </c>
      <c r="E253" s="76" t="s">
        <v>212</v>
      </c>
      <c r="F253" s="77" t="s">
        <v>65</v>
      </c>
      <c r="G253" s="56">
        <v>3116.7</v>
      </c>
      <c r="H253" s="56">
        <v>3116.7</v>
      </c>
      <c r="I253" s="56">
        <v>3116.7</v>
      </c>
      <c r="J253" s="104"/>
      <c r="K253" s="104"/>
      <c r="L253" s="104"/>
      <c r="M253" s="104"/>
      <c r="N253" s="104"/>
      <c r="O253" s="104"/>
      <c r="P253" s="104"/>
      <c r="Q253" s="104"/>
    </row>
    <row r="254" spans="1:22" s="9" customFormat="1" x14ac:dyDescent="0.2">
      <c r="A254" s="11" t="s">
        <v>22</v>
      </c>
      <c r="B254" s="14">
        <v>907</v>
      </c>
      <c r="C254" s="8" t="s">
        <v>10</v>
      </c>
      <c r="D254" s="8" t="s">
        <v>59</v>
      </c>
      <c r="E254" s="8"/>
      <c r="F254" s="8"/>
      <c r="G254" s="4">
        <f t="shared" ref="G254:I255" si="55">G255</f>
        <v>144.30000000000001</v>
      </c>
      <c r="H254" s="4">
        <f t="shared" si="55"/>
        <v>0</v>
      </c>
      <c r="I254" s="4">
        <f t="shared" si="55"/>
        <v>0</v>
      </c>
    </row>
    <row r="255" spans="1:22" s="21" customFormat="1" x14ac:dyDescent="0.2">
      <c r="A255" s="18" t="s">
        <v>214</v>
      </c>
      <c r="B255" s="22">
        <v>907</v>
      </c>
      <c r="C255" s="19" t="s">
        <v>10</v>
      </c>
      <c r="D255" s="19" t="s">
        <v>59</v>
      </c>
      <c r="E255" s="19" t="s">
        <v>213</v>
      </c>
      <c r="F255" s="19"/>
      <c r="G255" s="20">
        <f t="shared" si="55"/>
        <v>144.30000000000001</v>
      </c>
      <c r="H255" s="20">
        <f t="shared" si="55"/>
        <v>0</v>
      </c>
      <c r="I255" s="20">
        <f t="shared" si="55"/>
        <v>0</v>
      </c>
    </row>
    <row r="256" spans="1:22" s="26" customFormat="1" x14ac:dyDescent="0.2">
      <c r="A256" s="28" t="s">
        <v>67</v>
      </c>
      <c r="B256" s="31">
        <v>907</v>
      </c>
      <c r="C256" s="24" t="s">
        <v>10</v>
      </c>
      <c r="D256" s="24" t="s">
        <v>59</v>
      </c>
      <c r="E256" s="24" t="s">
        <v>213</v>
      </c>
      <c r="F256" s="24" t="s">
        <v>68</v>
      </c>
      <c r="G256" s="25">
        <v>144.30000000000001</v>
      </c>
      <c r="H256" s="25"/>
      <c r="I256" s="25"/>
    </row>
    <row r="257" spans="1:22" s="9" customFormat="1" ht="32.25" customHeight="1" x14ac:dyDescent="0.2">
      <c r="A257" s="39" t="s">
        <v>44</v>
      </c>
      <c r="B257" s="36">
        <v>911</v>
      </c>
      <c r="C257" s="40"/>
      <c r="D257" s="40"/>
      <c r="E257" s="40"/>
      <c r="F257" s="40"/>
      <c r="G257" s="38">
        <f>G258+G369+G406</f>
        <v>1329308.2999999998</v>
      </c>
      <c r="H257" s="38">
        <f>H258+H369+H406</f>
        <v>1229488.0999999999</v>
      </c>
      <c r="I257" s="38">
        <f>I258+I369+I406</f>
        <v>1204247.6000000001</v>
      </c>
      <c r="S257" s="233"/>
      <c r="V257" s="233"/>
    </row>
    <row r="258" spans="1:22" s="90" customFormat="1" x14ac:dyDescent="0.2">
      <c r="A258" s="89" t="s">
        <v>35</v>
      </c>
      <c r="B258" s="58">
        <v>911</v>
      </c>
      <c r="C258" s="59" t="s">
        <v>17</v>
      </c>
      <c r="D258" s="59"/>
      <c r="E258" s="59"/>
      <c r="F258" s="59"/>
      <c r="G258" s="62">
        <f>G259+G276+G322+G331</f>
        <v>1254628.7999999998</v>
      </c>
      <c r="H258" s="62">
        <f>H259+H276+H322+H331</f>
        <v>1156976.3999999999</v>
      </c>
      <c r="I258" s="62">
        <f>I259+I276+I322+I331</f>
        <v>1131715.9000000001</v>
      </c>
    </row>
    <row r="259" spans="1:22" s="9" customFormat="1" x14ac:dyDescent="0.2">
      <c r="A259" s="11" t="s">
        <v>36</v>
      </c>
      <c r="B259" s="14">
        <v>911</v>
      </c>
      <c r="C259" s="8" t="s">
        <v>17</v>
      </c>
      <c r="D259" s="8" t="s">
        <v>10</v>
      </c>
      <c r="E259" s="8"/>
      <c r="F259" s="8"/>
      <c r="G259" s="4">
        <f>G263+G265+G269+G260+G274</f>
        <v>472272.49999999994</v>
      </c>
      <c r="H259" s="4">
        <f t="shared" ref="H259:I259" si="56">H263+H265+H269+H260+H274</f>
        <v>440739.5</v>
      </c>
      <c r="I259" s="4">
        <f t="shared" si="56"/>
        <v>431654</v>
      </c>
    </row>
    <row r="260" spans="1:22" ht="25.5" x14ac:dyDescent="0.2">
      <c r="A260" s="17" t="s">
        <v>152</v>
      </c>
      <c r="B260" s="17">
        <v>911</v>
      </c>
      <c r="C260" s="19" t="s">
        <v>17</v>
      </c>
      <c r="D260" s="19" t="s">
        <v>10</v>
      </c>
      <c r="E260" s="19" t="s">
        <v>151</v>
      </c>
      <c r="F260" s="5"/>
      <c r="G260" s="6">
        <f>G262+G261</f>
        <v>5264.8</v>
      </c>
      <c r="H260" s="6">
        <f t="shared" ref="H260:I260" si="57">H262+H261</f>
        <v>866</v>
      </c>
      <c r="I260" s="6">
        <f t="shared" si="57"/>
        <v>866</v>
      </c>
      <c r="J260" s="197"/>
      <c r="K260" s="197"/>
      <c r="L260" s="197"/>
      <c r="M260" s="197"/>
      <c r="N260" s="197"/>
      <c r="O260" s="197"/>
      <c r="P260" s="197"/>
      <c r="Q260" s="197"/>
    </row>
    <row r="261" spans="1:22" s="103" customFormat="1" ht="25.5" x14ac:dyDescent="0.2">
      <c r="A261" s="247" t="s">
        <v>74</v>
      </c>
      <c r="B261" s="247">
        <v>911</v>
      </c>
      <c r="C261" s="244" t="s">
        <v>17</v>
      </c>
      <c r="D261" s="244" t="s">
        <v>10</v>
      </c>
      <c r="E261" s="244" t="s">
        <v>151</v>
      </c>
      <c r="F261" s="244" t="s">
        <v>66</v>
      </c>
      <c r="G261" s="192">
        <f>486.8+241</f>
        <v>727.8</v>
      </c>
      <c r="H261" s="192">
        <v>148.9</v>
      </c>
      <c r="I261" s="192">
        <v>148.9</v>
      </c>
    </row>
    <row r="262" spans="1:22" ht="25.5" x14ac:dyDescent="0.2">
      <c r="A262" s="28" t="s">
        <v>130</v>
      </c>
      <c r="B262" s="28">
        <v>911</v>
      </c>
      <c r="C262" s="24" t="s">
        <v>17</v>
      </c>
      <c r="D262" s="24" t="s">
        <v>10</v>
      </c>
      <c r="E262" s="24" t="s">
        <v>151</v>
      </c>
      <c r="F262" s="24" t="s">
        <v>63</v>
      </c>
      <c r="G262" s="25">
        <v>4537</v>
      </c>
      <c r="H262" s="25">
        <v>717.1</v>
      </c>
      <c r="I262" s="25">
        <v>717.1</v>
      </c>
      <c r="J262" s="103"/>
      <c r="K262" s="103"/>
      <c r="L262" s="103"/>
      <c r="M262" s="103"/>
      <c r="N262" s="103"/>
      <c r="O262" s="103"/>
      <c r="P262" s="103"/>
      <c r="Q262" s="103"/>
    </row>
    <row r="263" spans="1:22" s="73" customFormat="1" x14ac:dyDescent="0.2">
      <c r="A263" s="69" t="s">
        <v>162</v>
      </c>
      <c r="B263" s="70">
        <v>911</v>
      </c>
      <c r="C263" s="71" t="s">
        <v>17</v>
      </c>
      <c r="D263" s="71" t="s">
        <v>10</v>
      </c>
      <c r="E263" s="76" t="s">
        <v>161</v>
      </c>
      <c r="F263" s="71"/>
      <c r="G263" s="72">
        <f>G264</f>
        <v>0</v>
      </c>
      <c r="H263" s="72">
        <f>H264</f>
        <v>0</v>
      </c>
      <c r="I263" s="72">
        <f>I264</f>
        <v>0</v>
      </c>
      <c r="J263" s="103"/>
      <c r="K263" s="103"/>
      <c r="L263" s="103"/>
      <c r="M263" s="103"/>
      <c r="N263" s="103"/>
      <c r="O263" s="103"/>
      <c r="P263" s="103"/>
      <c r="Q263" s="103"/>
    </row>
    <row r="264" spans="1:22" s="78" customFormat="1" ht="25.5" x14ac:dyDescent="0.2">
      <c r="A264" s="81" t="s">
        <v>80</v>
      </c>
      <c r="B264" s="70">
        <v>911</v>
      </c>
      <c r="C264" s="71" t="s">
        <v>17</v>
      </c>
      <c r="D264" s="71" t="s">
        <v>10</v>
      </c>
      <c r="E264" s="76" t="s">
        <v>161</v>
      </c>
      <c r="F264" s="76" t="s">
        <v>69</v>
      </c>
      <c r="G264" s="56"/>
      <c r="H264" s="56"/>
      <c r="I264" s="56"/>
      <c r="J264" s="104"/>
      <c r="K264" s="104"/>
      <c r="L264" s="104"/>
      <c r="M264" s="104"/>
      <c r="N264" s="104"/>
      <c r="O264" s="104"/>
      <c r="P264" s="104"/>
      <c r="Q264" s="104"/>
    </row>
    <row r="265" spans="1:22" ht="51" x14ac:dyDescent="0.2">
      <c r="A265" s="54" t="s">
        <v>326</v>
      </c>
      <c r="B265" s="22">
        <v>911</v>
      </c>
      <c r="C265" s="19" t="s">
        <v>17</v>
      </c>
      <c r="D265" s="19" t="s">
        <v>10</v>
      </c>
      <c r="E265" s="19" t="s">
        <v>115</v>
      </c>
      <c r="F265" s="19"/>
      <c r="G265" s="20">
        <f>G268+G266+G267</f>
        <v>264200</v>
      </c>
      <c r="H265" s="20">
        <f t="shared" ref="H265:I265" si="58">H268+H266+H267</f>
        <v>264200</v>
      </c>
      <c r="I265" s="20">
        <f t="shared" si="58"/>
        <v>264200</v>
      </c>
      <c r="J265" s="103"/>
      <c r="K265" s="103"/>
      <c r="L265" s="103"/>
      <c r="M265" s="103"/>
      <c r="N265" s="103"/>
      <c r="O265" s="103"/>
      <c r="P265" s="103"/>
      <c r="Q265" s="103"/>
    </row>
    <row r="266" spans="1:22" ht="49.5" customHeight="1" x14ac:dyDescent="0.2">
      <c r="A266" s="30" t="s">
        <v>64</v>
      </c>
      <c r="B266" s="23">
        <v>911</v>
      </c>
      <c r="C266" s="24" t="s">
        <v>17</v>
      </c>
      <c r="D266" s="24" t="s">
        <v>10</v>
      </c>
      <c r="E266" s="24" t="s">
        <v>115</v>
      </c>
      <c r="F266" s="27" t="s">
        <v>65</v>
      </c>
      <c r="G266" s="25">
        <v>47990</v>
      </c>
      <c r="H266" s="25">
        <v>47990</v>
      </c>
      <c r="I266" s="25">
        <v>47990</v>
      </c>
      <c r="J266" s="103"/>
      <c r="K266" s="103"/>
      <c r="L266" s="103"/>
      <c r="M266" s="103"/>
      <c r="N266" s="103"/>
      <c r="O266" s="103"/>
      <c r="P266" s="103"/>
      <c r="Q266" s="103"/>
    </row>
    <row r="267" spans="1:22" ht="25.5" x14ac:dyDescent="0.2">
      <c r="A267" s="28" t="s">
        <v>74</v>
      </c>
      <c r="B267" s="23">
        <v>911</v>
      </c>
      <c r="C267" s="24" t="s">
        <v>17</v>
      </c>
      <c r="D267" s="24" t="s">
        <v>10</v>
      </c>
      <c r="E267" s="24" t="s">
        <v>115</v>
      </c>
      <c r="F267" s="27" t="s">
        <v>66</v>
      </c>
      <c r="G267" s="25">
        <v>189.2</v>
      </c>
      <c r="H267" s="25">
        <v>189.2</v>
      </c>
      <c r="I267" s="25">
        <v>189.2</v>
      </c>
      <c r="J267" s="103"/>
      <c r="K267" s="103"/>
      <c r="L267" s="103"/>
      <c r="M267" s="103"/>
      <c r="N267" s="103"/>
      <c r="O267" s="103"/>
      <c r="P267" s="103"/>
      <c r="Q267" s="103"/>
    </row>
    <row r="268" spans="1:22" s="26" customFormat="1" ht="25.5" x14ac:dyDescent="0.2">
      <c r="A268" s="28" t="s">
        <v>130</v>
      </c>
      <c r="B268" s="31">
        <v>911</v>
      </c>
      <c r="C268" s="24" t="s">
        <v>17</v>
      </c>
      <c r="D268" s="24" t="s">
        <v>10</v>
      </c>
      <c r="E268" s="24" t="s">
        <v>115</v>
      </c>
      <c r="F268" s="24" t="s">
        <v>63</v>
      </c>
      <c r="G268" s="25">
        <v>216020.8</v>
      </c>
      <c r="H268" s="25">
        <v>216020.8</v>
      </c>
      <c r="I268" s="25">
        <v>216020.8</v>
      </c>
      <c r="J268" s="104"/>
      <c r="K268" s="104"/>
      <c r="L268" s="104"/>
      <c r="M268" s="104"/>
      <c r="N268" s="104"/>
      <c r="O268" s="104"/>
      <c r="P268" s="104"/>
      <c r="Q268" s="104"/>
    </row>
    <row r="269" spans="1:22" ht="63.75" x14ac:dyDescent="0.2">
      <c r="A269" s="18" t="s">
        <v>312</v>
      </c>
      <c r="B269" s="22">
        <v>911</v>
      </c>
      <c r="C269" s="19" t="s">
        <v>17</v>
      </c>
      <c r="D269" s="19" t="s">
        <v>10</v>
      </c>
      <c r="E269" s="19" t="s">
        <v>223</v>
      </c>
      <c r="F269" s="19"/>
      <c r="G269" s="20">
        <f>G272+G271+G270+G273</f>
        <v>202807.69999999998</v>
      </c>
      <c r="H269" s="20">
        <f>H272+H271+H270+H273</f>
        <v>175673.49999999997</v>
      </c>
      <c r="I269" s="20">
        <f>I272+I271+I270+I273</f>
        <v>166587.99999999997</v>
      </c>
      <c r="J269" s="197"/>
      <c r="K269" s="197"/>
      <c r="L269" s="197"/>
      <c r="M269" s="197"/>
      <c r="N269" s="197"/>
      <c r="O269" s="197"/>
      <c r="P269" s="197"/>
      <c r="Q269" s="197"/>
    </row>
    <row r="270" spans="1:22" ht="53.25" customHeight="1" x14ac:dyDescent="0.2">
      <c r="A270" s="30" t="s">
        <v>64</v>
      </c>
      <c r="B270" s="22">
        <v>911</v>
      </c>
      <c r="C270" s="19" t="s">
        <v>17</v>
      </c>
      <c r="D270" s="19" t="s">
        <v>10</v>
      </c>
      <c r="E270" s="19" t="s">
        <v>223</v>
      </c>
      <c r="F270" s="19" t="s">
        <v>65</v>
      </c>
      <c r="G270" s="20">
        <v>29924.9</v>
      </c>
      <c r="H270" s="20">
        <v>29923.3</v>
      </c>
      <c r="I270" s="20">
        <v>29923.3</v>
      </c>
      <c r="J270" s="103"/>
      <c r="K270" s="103"/>
      <c r="L270" s="103"/>
      <c r="M270" s="103"/>
      <c r="N270" s="103"/>
      <c r="O270" s="103"/>
      <c r="P270" s="103"/>
      <c r="Q270" s="103"/>
    </row>
    <row r="271" spans="1:22" ht="25.5" x14ac:dyDescent="0.2">
      <c r="A271" s="28" t="s">
        <v>74</v>
      </c>
      <c r="B271" s="23">
        <v>911</v>
      </c>
      <c r="C271" s="24" t="s">
        <v>17</v>
      </c>
      <c r="D271" s="24" t="s">
        <v>10</v>
      </c>
      <c r="E271" s="24" t="s">
        <v>223</v>
      </c>
      <c r="F271" s="27" t="s">
        <v>66</v>
      </c>
      <c r="G271" s="25">
        <f>7266.2+6541.8</f>
        <v>13808</v>
      </c>
      <c r="H271" s="25">
        <f>7266.2+3104.1</f>
        <v>10370.299999999999</v>
      </c>
      <c r="I271" s="25">
        <f>7266.2+1883.8</f>
        <v>9150</v>
      </c>
      <c r="J271" s="103"/>
      <c r="K271" s="103"/>
      <c r="L271" s="103"/>
      <c r="M271" s="103"/>
      <c r="N271" s="103"/>
      <c r="O271" s="103"/>
      <c r="P271" s="103"/>
      <c r="Q271" s="103"/>
    </row>
    <row r="272" spans="1:22" s="104" customFormat="1" ht="25.5" x14ac:dyDescent="0.2">
      <c r="A272" s="247" t="s">
        <v>130</v>
      </c>
      <c r="B272" s="243">
        <v>911</v>
      </c>
      <c r="C272" s="244" t="s">
        <v>17</v>
      </c>
      <c r="D272" s="244" t="s">
        <v>10</v>
      </c>
      <c r="E272" s="244" t="s">
        <v>223</v>
      </c>
      <c r="F272" s="244" t="s">
        <v>63</v>
      </c>
      <c r="G272" s="192">
        <f>159006.7-141.2</f>
        <v>158865.5</v>
      </c>
      <c r="H272" s="192">
        <v>135290.6</v>
      </c>
      <c r="I272" s="192">
        <v>127425.4</v>
      </c>
    </row>
    <row r="273" spans="1:17" s="104" customFormat="1" x14ac:dyDescent="0.2">
      <c r="A273" s="247" t="s">
        <v>70</v>
      </c>
      <c r="B273" s="243">
        <v>911</v>
      </c>
      <c r="C273" s="244" t="s">
        <v>17</v>
      </c>
      <c r="D273" s="244" t="s">
        <v>10</v>
      </c>
      <c r="E273" s="244" t="s">
        <v>223</v>
      </c>
      <c r="F273" s="244" t="s">
        <v>71</v>
      </c>
      <c r="G273" s="192">
        <f>1+133.3+75</f>
        <v>209.3</v>
      </c>
      <c r="H273" s="192">
        <f>1+88.3</f>
        <v>89.3</v>
      </c>
      <c r="I273" s="192">
        <f>1+88.3</f>
        <v>89.3</v>
      </c>
    </row>
    <row r="274" spans="1:17" s="26" customFormat="1" ht="25.5" x14ac:dyDescent="0.2">
      <c r="A274" s="18" t="s">
        <v>613</v>
      </c>
      <c r="B274" s="22">
        <v>911</v>
      </c>
      <c r="C274" s="19" t="s">
        <v>17</v>
      </c>
      <c r="D274" s="19" t="s">
        <v>10</v>
      </c>
      <c r="E274" s="19" t="s">
        <v>629</v>
      </c>
      <c r="F274" s="24"/>
      <c r="G274" s="25">
        <f>G275</f>
        <v>0</v>
      </c>
      <c r="H274" s="25">
        <f t="shared" ref="H274:I274" si="59">H275</f>
        <v>0</v>
      </c>
      <c r="I274" s="25">
        <f t="shared" si="59"/>
        <v>0</v>
      </c>
      <c r="J274" s="104"/>
      <c r="K274" s="104"/>
      <c r="L274" s="104"/>
      <c r="M274" s="104"/>
      <c r="N274" s="104"/>
      <c r="O274" s="104"/>
      <c r="P274" s="104"/>
      <c r="Q274" s="104"/>
    </row>
    <row r="275" spans="1:17" s="26" customFormat="1" ht="25.5" x14ac:dyDescent="0.2">
      <c r="A275" s="28" t="s">
        <v>74</v>
      </c>
      <c r="B275" s="31">
        <v>911</v>
      </c>
      <c r="C275" s="24" t="s">
        <v>17</v>
      </c>
      <c r="D275" s="24" t="s">
        <v>10</v>
      </c>
      <c r="E275" s="24" t="s">
        <v>629</v>
      </c>
      <c r="F275" s="24" t="s">
        <v>66</v>
      </c>
      <c r="G275" s="25"/>
      <c r="H275" s="25"/>
      <c r="I275" s="25"/>
      <c r="J275" s="104"/>
      <c r="K275" s="104"/>
      <c r="L275" s="104"/>
      <c r="M275" s="104"/>
      <c r="N275" s="104"/>
      <c r="O275" s="104"/>
      <c r="P275" s="104"/>
      <c r="Q275" s="104"/>
    </row>
    <row r="276" spans="1:17" s="9" customFormat="1" x14ac:dyDescent="0.2">
      <c r="A276" s="11" t="s">
        <v>37</v>
      </c>
      <c r="B276" s="14">
        <v>911</v>
      </c>
      <c r="C276" s="8" t="s">
        <v>17</v>
      </c>
      <c r="D276" s="8" t="s">
        <v>12</v>
      </c>
      <c r="E276" s="8"/>
      <c r="F276" s="8"/>
      <c r="G276" s="4">
        <f>G288+G292+G296+G302+G304+G308+G319+G316+G313+G281+G284+G277+G286+G279+G298+G300+G311</f>
        <v>575978.19999999984</v>
      </c>
      <c r="H276" s="4">
        <f t="shared" ref="H276:I276" si="60">H288+H292+H296+H302+H304+H308+H319+H316+H313+H281+H284+H277+H286+H279+H298+H300+H311</f>
        <v>530468.49999999988</v>
      </c>
      <c r="I276" s="4">
        <f t="shared" si="60"/>
        <v>518212.49999999994</v>
      </c>
      <c r="J276" s="109"/>
      <c r="K276" s="109"/>
      <c r="L276" s="109"/>
      <c r="M276" s="109"/>
      <c r="N276" s="109"/>
      <c r="O276" s="109"/>
      <c r="P276" s="109"/>
      <c r="Q276" s="109"/>
    </row>
    <row r="277" spans="1:17" s="9" customFormat="1" ht="25.5" x14ac:dyDescent="0.2">
      <c r="A277" s="18" t="s">
        <v>382</v>
      </c>
      <c r="B277" s="18">
        <v>911</v>
      </c>
      <c r="C277" s="19" t="s">
        <v>17</v>
      </c>
      <c r="D277" s="19" t="s">
        <v>12</v>
      </c>
      <c r="E277" s="19" t="s">
        <v>608</v>
      </c>
      <c r="F277" s="19"/>
      <c r="G277" s="20">
        <f>G278</f>
        <v>125</v>
      </c>
      <c r="H277" s="20">
        <f t="shared" ref="H277:I279" si="61">H278</f>
        <v>0</v>
      </c>
      <c r="I277" s="20">
        <f t="shared" si="61"/>
        <v>0</v>
      </c>
      <c r="J277" s="109"/>
      <c r="K277" s="109"/>
      <c r="L277" s="109"/>
      <c r="M277" s="109"/>
      <c r="N277" s="109"/>
      <c r="O277" s="109"/>
      <c r="P277" s="109"/>
      <c r="Q277" s="109"/>
    </row>
    <row r="278" spans="1:17" s="9" customFormat="1" ht="25.5" x14ac:dyDescent="0.2">
      <c r="A278" s="28" t="s">
        <v>130</v>
      </c>
      <c r="B278" s="28">
        <v>911</v>
      </c>
      <c r="C278" s="24" t="s">
        <v>17</v>
      </c>
      <c r="D278" s="24" t="s">
        <v>12</v>
      </c>
      <c r="E278" s="24" t="s">
        <v>608</v>
      </c>
      <c r="F278" s="24" t="s">
        <v>63</v>
      </c>
      <c r="G278" s="25">
        <f>950-825</f>
        <v>125</v>
      </c>
      <c r="H278" s="25"/>
      <c r="I278" s="25"/>
      <c r="J278" s="109"/>
      <c r="K278" s="109"/>
      <c r="L278" s="109"/>
      <c r="M278" s="109"/>
      <c r="N278" s="109"/>
      <c r="O278" s="109"/>
      <c r="P278" s="109"/>
      <c r="Q278" s="109"/>
    </row>
    <row r="279" spans="1:17" s="109" customFormat="1" ht="25.5" x14ac:dyDescent="0.2">
      <c r="A279" s="239" t="s">
        <v>382</v>
      </c>
      <c r="B279" s="239">
        <v>911</v>
      </c>
      <c r="C279" s="241" t="s">
        <v>17</v>
      </c>
      <c r="D279" s="241" t="s">
        <v>12</v>
      </c>
      <c r="E279" s="241" t="s">
        <v>630</v>
      </c>
      <c r="F279" s="241"/>
      <c r="G279" s="193">
        <f>G280</f>
        <v>1250</v>
      </c>
      <c r="H279" s="193">
        <f t="shared" si="61"/>
        <v>0</v>
      </c>
      <c r="I279" s="193">
        <f t="shared" si="61"/>
        <v>0</v>
      </c>
    </row>
    <row r="280" spans="1:17" s="109" customFormat="1" ht="25.5" x14ac:dyDescent="0.2">
      <c r="A280" s="247" t="s">
        <v>130</v>
      </c>
      <c r="B280" s="247">
        <v>911</v>
      </c>
      <c r="C280" s="244" t="s">
        <v>17</v>
      </c>
      <c r="D280" s="244" t="s">
        <v>12</v>
      </c>
      <c r="E280" s="244" t="s">
        <v>630</v>
      </c>
      <c r="F280" s="244" t="s">
        <v>63</v>
      </c>
      <c r="G280" s="192">
        <v>1250</v>
      </c>
      <c r="H280" s="192">
        <v>0</v>
      </c>
      <c r="I280" s="192">
        <v>0</v>
      </c>
    </row>
    <row r="281" spans="1:17" ht="25.5" x14ac:dyDescent="0.2">
      <c r="A281" s="17" t="s">
        <v>152</v>
      </c>
      <c r="B281" s="17">
        <v>911</v>
      </c>
      <c r="C281" s="19" t="s">
        <v>17</v>
      </c>
      <c r="D281" s="19" t="s">
        <v>12</v>
      </c>
      <c r="E281" s="19" t="s">
        <v>151</v>
      </c>
      <c r="F281" s="5"/>
      <c r="G281" s="6">
        <f>G283+G282</f>
        <v>8238.6</v>
      </c>
      <c r="H281" s="6">
        <f t="shared" ref="H281:I281" si="62">H283+H282</f>
        <v>1419.7</v>
      </c>
      <c r="I281" s="6">
        <f t="shared" si="62"/>
        <v>1419.7</v>
      </c>
      <c r="J281" s="197"/>
      <c r="K281" s="197"/>
      <c r="L281" s="197"/>
      <c r="M281" s="197"/>
      <c r="N281" s="197"/>
      <c r="O281" s="197"/>
      <c r="P281" s="197"/>
      <c r="Q281" s="197"/>
    </row>
    <row r="282" spans="1:17" ht="25.5" x14ac:dyDescent="0.2">
      <c r="A282" s="28" t="s">
        <v>74</v>
      </c>
      <c r="B282" s="28">
        <v>911</v>
      </c>
      <c r="C282" s="24" t="s">
        <v>17</v>
      </c>
      <c r="D282" s="24" t="s">
        <v>12</v>
      </c>
      <c r="E282" s="24" t="s">
        <v>151</v>
      </c>
      <c r="F282" s="24" t="s">
        <v>66</v>
      </c>
      <c r="G282" s="25">
        <v>1162.0999999999999</v>
      </c>
      <c r="H282" s="25">
        <v>316.8</v>
      </c>
      <c r="I282" s="25">
        <v>316.8</v>
      </c>
      <c r="J282" s="197"/>
      <c r="K282" s="197"/>
      <c r="L282" s="197"/>
      <c r="M282" s="197"/>
      <c r="N282" s="197"/>
      <c r="O282" s="197"/>
      <c r="P282" s="197"/>
      <c r="Q282" s="197"/>
    </row>
    <row r="283" spans="1:17" ht="25.5" x14ac:dyDescent="0.2">
      <c r="A283" s="28" t="s">
        <v>130</v>
      </c>
      <c r="B283" s="28">
        <v>911</v>
      </c>
      <c r="C283" s="24" t="s">
        <v>17</v>
      </c>
      <c r="D283" s="24" t="s">
        <v>12</v>
      </c>
      <c r="E283" s="24" t="s">
        <v>151</v>
      </c>
      <c r="F283" s="24" t="s">
        <v>63</v>
      </c>
      <c r="G283" s="25">
        <f>6251.5+825</f>
        <v>7076.5</v>
      </c>
      <c r="H283" s="25">
        <v>1102.9000000000001</v>
      </c>
      <c r="I283" s="25">
        <v>1102.9000000000001</v>
      </c>
      <c r="J283" s="103"/>
      <c r="K283" s="103"/>
      <c r="L283" s="103"/>
      <c r="M283" s="103"/>
      <c r="N283" s="103"/>
      <c r="O283" s="103"/>
      <c r="P283" s="103"/>
      <c r="Q283" s="103"/>
    </row>
    <row r="284" spans="1:17" ht="38.25" x14ac:dyDescent="0.2">
      <c r="A284" s="18" t="s">
        <v>602</v>
      </c>
      <c r="B284" s="18">
        <v>911</v>
      </c>
      <c r="C284" s="19" t="s">
        <v>17</v>
      </c>
      <c r="D284" s="19" t="s">
        <v>12</v>
      </c>
      <c r="E284" s="19" t="s">
        <v>603</v>
      </c>
      <c r="F284" s="19"/>
      <c r="G284" s="20">
        <f>G285</f>
        <v>0</v>
      </c>
      <c r="H284" s="20">
        <f t="shared" ref="H284:I286" si="63">H285</f>
        <v>0</v>
      </c>
      <c r="I284" s="20">
        <f t="shared" si="63"/>
        <v>0</v>
      </c>
      <c r="J284" s="103"/>
      <c r="K284" s="103"/>
      <c r="L284" s="103"/>
      <c r="M284" s="103"/>
      <c r="N284" s="103"/>
      <c r="O284" s="103"/>
      <c r="P284" s="103"/>
      <c r="Q284" s="103"/>
    </row>
    <row r="285" spans="1:17" s="26" customFormat="1" ht="25.5" x14ac:dyDescent="0.2">
      <c r="A285" s="28" t="s">
        <v>130</v>
      </c>
      <c r="B285" s="28">
        <v>911</v>
      </c>
      <c r="C285" s="24" t="s">
        <v>17</v>
      </c>
      <c r="D285" s="24" t="s">
        <v>12</v>
      </c>
      <c r="E285" s="24" t="s">
        <v>603</v>
      </c>
      <c r="F285" s="24" t="s">
        <v>63</v>
      </c>
      <c r="G285" s="25"/>
      <c r="H285" s="25"/>
      <c r="I285" s="25"/>
      <c r="J285" s="104"/>
      <c r="K285" s="104"/>
      <c r="L285" s="104"/>
      <c r="M285" s="104"/>
      <c r="N285" s="104"/>
      <c r="O285" s="104"/>
      <c r="P285" s="104"/>
      <c r="Q285" s="104"/>
    </row>
    <row r="286" spans="1:17" s="26" customFormat="1" ht="38.25" x14ac:dyDescent="0.2">
      <c r="A286" s="18" t="s">
        <v>602</v>
      </c>
      <c r="B286" s="18">
        <v>911</v>
      </c>
      <c r="C286" s="19" t="s">
        <v>17</v>
      </c>
      <c r="D286" s="19" t="s">
        <v>12</v>
      </c>
      <c r="E286" s="19" t="s">
        <v>609</v>
      </c>
      <c r="F286" s="19"/>
      <c r="G286" s="20">
        <f>G287</f>
        <v>0</v>
      </c>
      <c r="H286" s="20">
        <f t="shared" si="63"/>
        <v>0</v>
      </c>
      <c r="I286" s="20">
        <f t="shared" si="63"/>
        <v>0</v>
      </c>
      <c r="J286" s="104"/>
      <c r="K286" s="104"/>
      <c r="L286" s="104"/>
      <c r="M286" s="104"/>
      <c r="N286" s="104"/>
      <c r="O286" s="104"/>
      <c r="P286" s="104"/>
      <c r="Q286" s="104"/>
    </row>
    <row r="287" spans="1:17" s="26" customFormat="1" ht="25.5" x14ac:dyDescent="0.2">
      <c r="A287" s="28" t="s">
        <v>130</v>
      </c>
      <c r="B287" s="28">
        <v>911</v>
      </c>
      <c r="C287" s="24" t="s">
        <v>17</v>
      </c>
      <c r="D287" s="24" t="s">
        <v>12</v>
      </c>
      <c r="E287" s="24" t="s">
        <v>609</v>
      </c>
      <c r="F287" s="24" t="s">
        <v>63</v>
      </c>
      <c r="G287" s="25"/>
      <c r="H287" s="25"/>
      <c r="I287" s="25"/>
      <c r="J287" s="104"/>
      <c r="K287" s="104"/>
      <c r="L287" s="104"/>
      <c r="M287" s="104"/>
      <c r="N287" s="104"/>
      <c r="O287" s="104"/>
      <c r="P287" s="104"/>
      <c r="Q287" s="104"/>
    </row>
    <row r="288" spans="1:17" ht="24.75" customHeight="1" x14ac:dyDescent="0.2">
      <c r="A288" s="18" t="s">
        <v>215</v>
      </c>
      <c r="B288" s="22">
        <v>911</v>
      </c>
      <c r="C288" s="19" t="s">
        <v>17</v>
      </c>
      <c r="D288" s="19" t="s">
        <v>12</v>
      </c>
      <c r="E288" s="19" t="s">
        <v>113</v>
      </c>
      <c r="F288" s="19"/>
      <c r="G288" s="20">
        <f>G289+G290+G291</f>
        <v>50552</v>
      </c>
      <c r="H288" s="20">
        <f>H289+H290+H291</f>
        <v>50552</v>
      </c>
      <c r="I288" s="20">
        <f>I289+I290+I291</f>
        <v>50552</v>
      </c>
      <c r="J288" s="197"/>
      <c r="K288" s="197"/>
      <c r="L288" s="197"/>
      <c r="M288" s="197"/>
      <c r="N288" s="197"/>
      <c r="O288" s="197"/>
      <c r="P288" s="197"/>
      <c r="Q288" s="197"/>
    </row>
    <row r="289" spans="1:17" s="26" customFormat="1" ht="50.25" customHeight="1" x14ac:dyDescent="0.2">
      <c r="A289" s="23" t="s">
        <v>64</v>
      </c>
      <c r="B289" s="31">
        <v>911</v>
      </c>
      <c r="C289" s="24" t="s">
        <v>17</v>
      </c>
      <c r="D289" s="24" t="s">
        <v>12</v>
      </c>
      <c r="E289" s="24" t="s">
        <v>113</v>
      </c>
      <c r="F289" s="27" t="s">
        <v>65</v>
      </c>
      <c r="G289" s="25">
        <f>35733.6+173</f>
        <v>35906.6</v>
      </c>
      <c r="H289" s="25">
        <f>35733.6+173</f>
        <v>35906.6</v>
      </c>
      <c r="I289" s="25">
        <f>35733.6+173</f>
        <v>35906.6</v>
      </c>
      <c r="J289" s="104"/>
      <c r="K289" s="104"/>
      <c r="L289" s="104"/>
      <c r="M289" s="104"/>
      <c r="N289" s="104"/>
      <c r="O289" s="104"/>
      <c r="P289" s="104"/>
      <c r="Q289" s="104"/>
    </row>
    <row r="290" spans="1:17" s="26" customFormat="1" ht="24.75" customHeight="1" x14ac:dyDescent="0.2">
      <c r="A290" s="28" t="s">
        <v>74</v>
      </c>
      <c r="B290" s="31">
        <v>911</v>
      </c>
      <c r="C290" s="24" t="s">
        <v>17</v>
      </c>
      <c r="D290" s="24" t="s">
        <v>12</v>
      </c>
      <c r="E290" s="24" t="s">
        <v>113</v>
      </c>
      <c r="F290" s="27" t="s">
        <v>66</v>
      </c>
      <c r="G290" s="25">
        <v>14203.5</v>
      </c>
      <c r="H290" s="25">
        <v>14203.5</v>
      </c>
      <c r="I290" s="25">
        <v>14203.5</v>
      </c>
      <c r="J290" s="104"/>
      <c r="K290" s="104"/>
      <c r="L290" s="104"/>
      <c r="M290" s="104"/>
      <c r="N290" s="104"/>
      <c r="O290" s="104"/>
      <c r="P290" s="104"/>
      <c r="Q290" s="104"/>
    </row>
    <row r="291" spans="1:17" s="26" customFormat="1" x14ac:dyDescent="0.2">
      <c r="A291" s="28" t="s">
        <v>70</v>
      </c>
      <c r="B291" s="31">
        <v>911</v>
      </c>
      <c r="C291" s="24" t="s">
        <v>17</v>
      </c>
      <c r="D291" s="24" t="s">
        <v>12</v>
      </c>
      <c r="E291" s="24" t="s">
        <v>113</v>
      </c>
      <c r="F291" s="24" t="s">
        <v>71</v>
      </c>
      <c r="G291" s="25">
        <v>441.9</v>
      </c>
      <c r="H291" s="25">
        <v>441.9</v>
      </c>
      <c r="I291" s="25">
        <v>441.9</v>
      </c>
      <c r="J291" s="104"/>
      <c r="K291" s="104"/>
      <c r="L291" s="104"/>
      <c r="M291" s="104"/>
      <c r="N291" s="104"/>
      <c r="O291" s="104"/>
      <c r="P291" s="104"/>
      <c r="Q291" s="104"/>
    </row>
    <row r="292" spans="1:17" ht="76.5" x14ac:dyDescent="0.2">
      <c r="A292" s="18" t="s">
        <v>510</v>
      </c>
      <c r="B292" s="22">
        <v>911</v>
      </c>
      <c r="C292" s="19" t="s">
        <v>17</v>
      </c>
      <c r="D292" s="19" t="s">
        <v>12</v>
      </c>
      <c r="E292" s="19" t="s">
        <v>111</v>
      </c>
      <c r="F292" s="19"/>
      <c r="G292" s="20">
        <f>G295+G293+G294</f>
        <v>425320</v>
      </c>
      <c r="H292" s="20">
        <f>H295+H293+H294</f>
        <v>425320</v>
      </c>
      <c r="I292" s="20">
        <f>I295+I293+I294</f>
        <v>425320</v>
      </c>
      <c r="J292" s="103"/>
      <c r="K292" s="103"/>
      <c r="L292" s="103"/>
      <c r="M292" s="103"/>
      <c r="N292" s="103"/>
      <c r="O292" s="103"/>
      <c r="P292" s="103"/>
      <c r="Q292" s="103"/>
    </row>
    <row r="293" spans="1:17" s="26" customFormat="1" ht="51" customHeight="1" x14ac:dyDescent="0.2">
      <c r="A293" s="23" t="s">
        <v>64</v>
      </c>
      <c r="B293" s="31">
        <v>911</v>
      </c>
      <c r="C293" s="24" t="s">
        <v>17</v>
      </c>
      <c r="D293" s="24" t="s">
        <v>12</v>
      </c>
      <c r="E293" s="24" t="s">
        <v>111</v>
      </c>
      <c r="F293" s="27" t="s">
        <v>65</v>
      </c>
      <c r="G293" s="25">
        <f>68740+46.8+14.1</f>
        <v>68800.900000000009</v>
      </c>
      <c r="H293" s="25">
        <f>68740+46.8+14.1</f>
        <v>68800.900000000009</v>
      </c>
      <c r="I293" s="25">
        <f>68740+46.8+14.1</f>
        <v>68800.900000000009</v>
      </c>
      <c r="J293" s="104"/>
      <c r="K293" s="104"/>
      <c r="L293" s="104"/>
      <c r="M293" s="104"/>
      <c r="N293" s="104"/>
      <c r="O293" s="104"/>
      <c r="P293" s="104"/>
      <c r="Q293" s="104"/>
    </row>
    <row r="294" spans="1:17" s="26" customFormat="1" ht="25.5" x14ac:dyDescent="0.2">
      <c r="A294" s="28" t="s">
        <v>74</v>
      </c>
      <c r="B294" s="31">
        <v>911</v>
      </c>
      <c r="C294" s="24" t="s">
        <v>17</v>
      </c>
      <c r="D294" s="24" t="s">
        <v>12</v>
      </c>
      <c r="E294" s="24" t="s">
        <v>111</v>
      </c>
      <c r="F294" s="27" t="s">
        <v>66</v>
      </c>
      <c r="G294" s="25">
        <v>2061.1</v>
      </c>
      <c r="H294" s="25">
        <v>2061.1</v>
      </c>
      <c r="I294" s="25">
        <v>2061.1</v>
      </c>
      <c r="J294" s="104"/>
      <c r="K294" s="104"/>
      <c r="L294" s="104"/>
      <c r="M294" s="104"/>
      <c r="N294" s="104"/>
      <c r="O294" s="104"/>
      <c r="P294" s="104"/>
      <c r="Q294" s="104"/>
    </row>
    <row r="295" spans="1:17" s="26" customFormat="1" ht="25.5" x14ac:dyDescent="0.2">
      <c r="A295" s="28" t="s">
        <v>130</v>
      </c>
      <c r="B295" s="31">
        <v>911</v>
      </c>
      <c r="C295" s="24" t="s">
        <v>17</v>
      </c>
      <c r="D295" s="24" t="s">
        <v>12</v>
      </c>
      <c r="E295" s="24" t="s">
        <v>111</v>
      </c>
      <c r="F295" s="24" t="s">
        <v>63</v>
      </c>
      <c r="G295" s="25">
        <f>354038.9+211+63.8+120+18.7+5.6</f>
        <v>354458</v>
      </c>
      <c r="H295" s="25">
        <f>354038.9+211+63.8+120+18.7+5.6</f>
        <v>354458</v>
      </c>
      <c r="I295" s="25">
        <f>354038.9+211+63.8+120+18.7+5.6</f>
        <v>354458</v>
      </c>
      <c r="J295" s="104"/>
      <c r="K295" s="104"/>
      <c r="L295" s="104"/>
      <c r="M295" s="104"/>
      <c r="N295" s="104"/>
      <c r="O295" s="104"/>
      <c r="P295" s="104"/>
      <c r="Q295" s="104"/>
    </row>
    <row r="296" spans="1:17" s="21" customFormat="1" ht="38.25" x14ac:dyDescent="0.2">
      <c r="A296" s="18" t="s">
        <v>216</v>
      </c>
      <c r="B296" s="22">
        <v>911</v>
      </c>
      <c r="C296" s="19" t="s">
        <v>17</v>
      </c>
      <c r="D296" s="19" t="s">
        <v>12</v>
      </c>
      <c r="E296" s="19" t="s">
        <v>112</v>
      </c>
      <c r="F296" s="19"/>
      <c r="G296" s="20">
        <f>G297</f>
        <v>3880.1</v>
      </c>
      <c r="H296" s="20">
        <f>H297</f>
        <v>3880.1</v>
      </c>
      <c r="I296" s="20">
        <f>I297</f>
        <v>3880.1</v>
      </c>
    </row>
    <row r="297" spans="1:17" s="26" customFormat="1" ht="25.5" x14ac:dyDescent="0.2">
      <c r="A297" s="28" t="s">
        <v>74</v>
      </c>
      <c r="B297" s="31">
        <v>911</v>
      </c>
      <c r="C297" s="24" t="s">
        <v>17</v>
      </c>
      <c r="D297" s="24" t="s">
        <v>12</v>
      </c>
      <c r="E297" s="24" t="s">
        <v>112</v>
      </c>
      <c r="F297" s="27" t="s">
        <v>66</v>
      </c>
      <c r="G297" s="25">
        <v>3880.1</v>
      </c>
      <c r="H297" s="25">
        <v>3880.1</v>
      </c>
      <c r="I297" s="25">
        <v>3880.1</v>
      </c>
    </row>
    <row r="298" spans="1:17" s="73" customFormat="1" ht="51" x14ac:dyDescent="0.2">
      <c r="A298" s="69" t="s">
        <v>659</v>
      </c>
      <c r="B298" s="70">
        <v>911</v>
      </c>
      <c r="C298" s="71" t="s">
        <v>17</v>
      </c>
      <c r="D298" s="71" t="s">
        <v>12</v>
      </c>
      <c r="E298" s="71" t="s">
        <v>654</v>
      </c>
      <c r="F298" s="94"/>
      <c r="G298" s="72">
        <f>G299</f>
        <v>0</v>
      </c>
      <c r="H298" s="72">
        <f t="shared" ref="H298:I298" si="64">H299</f>
        <v>0</v>
      </c>
      <c r="I298" s="72">
        <f t="shared" si="64"/>
        <v>0</v>
      </c>
      <c r="J298" s="144"/>
      <c r="K298" s="144"/>
      <c r="L298" s="144"/>
      <c r="M298" s="144"/>
      <c r="N298" s="144"/>
      <c r="O298" s="144"/>
      <c r="P298" s="144"/>
      <c r="Q298" s="144"/>
    </row>
    <row r="299" spans="1:17" s="78" customFormat="1" ht="25.5" x14ac:dyDescent="0.2">
      <c r="A299" s="81" t="s">
        <v>130</v>
      </c>
      <c r="B299" s="80">
        <v>911</v>
      </c>
      <c r="C299" s="76" t="s">
        <v>17</v>
      </c>
      <c r="D299" s="76" t="s">
        <v>12</v>
      </c>
      <c r="E299" s="76" t="s">
        <v>654</v>
      </c>
      <c r="F299" s="77" t="s">
        <v>63</v>
      </c>
      <c r="G299" s="56"/>
      <c r="H299" s="56"/>
      <c r="I299" s="56"/>
      <c r="J299" s="204"/>
      <c r="K299" s="204"/>
      <c r="L299" s="204"/>
      <c r="M299" s="204"/>
      <c r="N299" s="204"/>
      <c r="O299" s="204"/>
      <c r="P299" s="204"/>
      <c r="Q299" s="204"/>
    </row>
    <row r="300" spans="1:17" s="73" customFormat="1" ht="51" x14ac:dyDescent="0.2">
      <c r="A300" s="69" t="s">
        <v>659</v>
      </c>
      <c r="B300" s="70">
        <v>911</v>
      </c>
      <c r="C300" s="71" t="s">
        <v>17</v>
      </c>
      <c r="D300" s="71" t="s">
        <v>12</v>
      </c>
      <c r="E300" s="71" t="s">
        <v>655</v>
      </c>
      <c r="F300" s="94"/>
      <c r="G300" s="72">
        <f>G301</f>
        <v>0</v>
      </c>
      <c r="H300" s="72">
        <f t="shared" ref="H300:I300" si="65">H301</f>
        <v>0</v>
      </c>
      <c r="I300" s="72">
        <f t="shared" si="65"/>
        <v>0</v>
      </c>
      <c r="J300" s="144"/>
      <c r="K300" s="144"/>
      <c r="L300" s="144"/>
      <c r="M300" s="144"/>
      <c r="N300" s="144"/>
      <c r="O300" s="144"/>
      <c r="P300" s="144"/>
      <c r="Q300" s="144"/>
    </row>
    <row r="301" spans="1:17" s="78" customFormat="1" ht="25.5" x14ac:dyDescent="0.2">
      <c r="A301" s="81" t="s">
        <v>130</v>
      </c>
      <c r="B301" s="80">
        <v>911</v>
      </c>
      <c r="C301" s="76" t="s">
        <v>17</v>
      </c>
      <c r="D301" s="76" t="s">
        <v>12</v>
      </c>
      <c r="E301" s="76" t="s">
        <v>655</v>
      </c>
      <c r="F301" s="77" t="s">
        <v>63</v>
      </c>
      <c r="G301" s="56"/>
      <c r="H301" s="56"/>
      <c r="I301" s="56"/>
      <c r="J301" s="204"/>
      <c r="K301" s="204"/>
      <c r="L301" s="204"/>
      <c r="M301" s="204"/>
      <c r="N301" s="204"/>
      <c r="O301" s="204"/>
      <c r="P301" s="204"/>
      <c r="Q301" s="204"/>
    </row>
    <row r="302" spans="1:17" s="103" customFormat="1" ht="63.75" x14ac:dyDescent="0.2">
      <c r="A302" s="239" t="s">
        <v>312</v>
      </c>
      <c r="B302" s="240">
        <v>911</v>
      </c>
      <c r="C302" s="241" t="s">
        <v>17</v>
      </c>
      <c r="D302" s="241" t="s">
        <v>12</v>
      </c>
      <c r="E302" s="241" t="s">
        <v>218</v>
      </c>
      <c r="F302" s="241"/>
      <c r="G302" s="193">
        <f>G303</f>
        <v>73655.799999999988</v>
      </c>
      <c r="H302" s="193">
        <f>H303</f>
        <v>39999.5</v>
      </c>
      <c r="I302" s="193">
        <f>I303</f>
        <v>28557.599999999999</v>
      </c>
    </row>
    <row r="303" spans="1:17" s="104" customFormat="1" ht="25.5" x14ac:dyDescent="0.2">
      <c r="A303" s="247" t="s">
        <v>130</v>
      </c>
      <c r="B303" s="243">
        <v>911</v>
      </c>
      <c r="C303" s="244" t="s">
        <v>17</v>
      </c>
      <c r="D303" s="244" t="s">
        <v>12</v>
      </c>
      <c r="E303" s="244" t="s">
        <v>218</v>
      </c>
      <c r="F303" s="244" t="s">
        <v>63</v>
      </c>
      <c r="G303" s="192">
        <f>74254.9-599.1</f>
        <v>73655.799999999988</v>
      </c>
      <c r="H303" s="192">
        <v>39999.5</v>
      </c>
      <c r="I303" s="192">
        <v>28557.599999999999</v>
      </c>
    </row>
    <row r="304" spans="1:17" ht="63.75" x14ac:dyDescent="0.2">
      <c r="A304" s="18" t="s">
        <v>221</v>
      </c>
      <c r="B304" s="22">
        <v>911</v>
      </c>
      <c r="C304" s="19" t="s">
        <v>17</v>
      </c>
      <c r="D304" s="19" t="s">
        <v>12</v>
      </c>
      <c r="E304" s="19" t="s">
        <v>220</v>
      </c>
      <c r="F304" s="19"/>
      <c r="G304" s="20">
        <f>G305+G306+G307</f>
        <v>7009.5000000000009</v>
      </c>
      <c r="H304" s="20">
        <f>H305+H306+H307</f>
        <v>3720.1</v>
      </c>
      <c r="I304" s="20">
        <f>I305+I306+I307</f>
        <v>2905.9999999999995</v>
      </c>
      <c r="J304" s="197"/>
      <c r="K304" s="197"/>
      <c r="L304" s="197"/>
      <c r="M304" s="197"/>
      <c r="N304" s="197"/>
      <c r="O304" s="197"/>
      <c r="P304" s="197"/>
      <c r="Q304" s="197"/>
    </row>
    <row r="305" spans="1:17" s="26" customFormat="1" ht="54.75" customHeight="1" x14ac:dyDescent="0.2">
      <c r="A305" s="30" t="s">
        <v>64</v>
      </c>
      <c r="B305" s="32">
        <v>911</v>
      </c>
      <c r="C305" s="24" t="s">
        <v>17</v>
      </c>
      <c r="D305" s="24" t="s">
        <v>12</v>
      </c>
      <c r="E305" s="24" t="s">
        <v>220</v>
      </c>
      <c r="F305" s="27" t="s">
        <v>65</v>
      </c>
      <c r="G305" s="25">
        <v>3.3</v>
      </c>
      <c r="H305" s="25"/>
      <c r="I305" s="25"/>
    </row>
    <row r="306" spans="1:17" s="104" customFormat="1" ht="25.5" x14ac:dyDescent="0.2">
      <c r="A306" s="247" t="s">
        <v>74</v>
      </c>
      <c r="B306" s="249">
        <v>911</v>
      </c>
      <c r="C306" s="244" t="s">
        <v>17</v>
      </c>
      <c r="D306" s="244" t="s">
        <v>12</v>
      </c>
      <c r="E306" s="244" t="s">
        <v>220</v>
      </c>
      <c r="F306" s="250" t="s">
        <v>66</v>
      </c>
      <c r="G306" s="192">
        <f>540.8+6689.6-130-539</f>
        <v>6561.4000000000005</v>
      </c>
      <c r="H306" s="192">
        <f>540.8+3467-540.8</f>
        <v>3467</v>
      </c>
      <c r="I306" s="192">
        <f>540.8+2652.9-540.8</f>
        <v>2652.8999999999996</v>
      </c>
    </row>
    <row r="307" spans="1:17" s="104" customFormat="1" x14ac:dyDescent="0.2">
      <c r="A307" s="247" t="s">
        <v>70</v>
      </c>
      <c r="B307" s="243">
        <v>911</v>
      </c>
      <c r="C307" s="244" t="s">
        <v>17</v>
      </c>
      <c r="D307" s="244" t="s">
        <v>12</v>
      </c>
      <c r="E307" s="244" t="s">
        <v>220</v>
      </c>
      <c r="F307" s="244" t="s">
        <v>71</v>
      </c>
      <c r="G307" s="192">
        <f>52+268.9+130-51.1+45</f>
        <v>444.79999999999995</v>
      </c>
      <c r="H307" s="192">
        <f>52+253.1-52</f>
        <v>253.10000000000002</v>
      </c>
      <c r="I307" s="192">
        <f>52+253.1-52</f>
        <v>253.10000000000002</v>
      </c>
    </row>
    <row r="308" spans="1:17" s="103" customFormat="1" ht="63.75" x14ac:dyDescent="0.2">
      <c r="A308" s="239" t="s">
        <v>221</v>
      </c>
      <c r="B308" s="240">
        <v>911</v>
      </c>
      <c r="C308" s="241" t="s">
        <v>17</v>
      </c>
      <c r="D308" s="241" t="s">
        <v>12</v>
      </c>
      <c r="E308" s="241" t="s">
        <v>224</v>
      </c>
      <c r="F308" s="241"/>
      <c r="G308" s="193">
        <f>G309+G310</f>
        <v>712.9</v>
      </c>
      <c r="H308" s="193">
        <f t="shared" ref="H308:I308" si="66">H309+H310</f>
        <v>592.79999999999995</v>
      </c>
      <c r="I308" s="193">
        <f t="shared" si="66"/>
        <v>592.79999999999995</v>
      </c>
    </row>
    <row r="309" spans="1:17" s="104" customFormat="1" ht="25.5" x14ac:dyDescent="0.2">
      <c r="A309" s="247" t="s">
        <v>74</v>
      </c>
      <c r="B309" s="249">
        <v>911</v>
      </c>
      <c r="C309" s="244" t="s">
        <v>17</v>
      </c>
      <c r="D309" s="244" t="s">
        <v>12</v>
      </c>
      <c r="E309" s="244" t="s">
        <v>224</v>
      </c>
      <c r="F309" s="250" t="s">
        <v>66</v>
      </c>
      <c r="G309" s="192">
        <v>661.8</v>
      </c>
      <c r="H309" s="192">
        <v>540.79999999999995</v>
      </c>
      <c r="I309" s="192">
        <v>540.79999999999995</v>
      </c>
    </row>
    <row r="310" spans="1:17" s="104" customFormat="1" x14ac:dyDescent="0.2">
      <c r="A310" s="247" t="s">
        <v>70</v>
      </c>
      <c r="B310" s="249">
        <v>911</v>
      </c>
      <c r="C310" s="244" t="s">
        <v>17</v>
      </c>
      <c r="D310" s="244" t="s">
        <v>12</v>
      </c>
      <c r="E310" s="244" t="s">
        <v>224</v>
      </c>
      <c r="F310" s="250" t="s">
        <v>71</v>
      </c>
      <c r="G310" s="192">
        <v>51.1</v>
      </c>
      <c r="H310" s="192">
        <v>52</v>
      </c>
      <c r="I310" s="192">
        <v>52</v>
      </c>
    </row>
    <row r="311" spans="1:17" ht="89.25" x14ac:dyDescent="0.2">
      <c r="A311" s="18" t="s">
        <v>699</v>
      </c>
      <c r="B311" s="22">
        <v>911</v>
      </c>
      <c r="C311" s="19" t="s">
        <v>17</v>
      </c>
      <c r="D311" s="19" t="s">
        <v>12</v>
      </c>
      <c r="E311" s="19" t="s">
        <v>698</v>
      </c>
      <c r="F311" s="19"/>
      <c r="G311" s="20">
        <f>G312</f>
        <v>3525.6</v>
      </c>
      <c r="H311" s="20">
        <f t="shared" ref="H311:I311" si="67">H312</f>
        <v>3525.6</v>
      </c>
      <c r="I311" s="20">
        <f t="shared" si="67"/>
        <v>3525.6</v>
      </c>
      <c r="J311" s="197"/>
      <c r="K311" s="197"/>
      <c r="L311" s="197"/>
      <c r="M311" s="197"/>
      <c r="N311" s="197"/>
      <c r="O311" s="197"/>
      <c r="P311" s="197"/>
      <c r="Q311" s="197"/>
    </row>
    <row r="312" spans="1:17" s="26" customFormat="1" ht="25.5" x14ac:dyDescent="0.2">
      <c r="A312" s="28" t="s">
        <v>74</v>
      </c>
      <c r="B312" s="32">
        <v>911</v>
      </c>
      <c r="C312" s="24" t="s">
        <v>17</v>
      </c>
      <c r="D312" s="24" t="s">
        <v>12</v>
      </c>
      <c r="E312" s="24" t="s">
        <v>698</v>
      </c>
      <c r="F312" s="27" t="s">
        <v>63</v>
      </c>
      <c r="G312" s="25">
        <v>3525.6</v>
      </c>
      <c r="H312" s="25">
        <v>3525.6</v>
      </c>
      <c r="I312" s="25">
        <v>3525.6</v>
      </c>
    </row>
    <row r="313" spans="1:17" s="21" customFormat="1" ht="25.5" x14ac:dyDescent="0.2">
      <c r="A313" s="18" t="s">
        <v>217</v>
      </c>
      <c r="B313" s="18">
        <v>911</v>
      </c>
      <c r="C313" s="19" t="s">
        <v>17</v>
      </c>
      <c r="D313" s="19" t="s">
        <v>12</v>
      </c>
      <c r="E313" s="19" t="s">
        <v>127</v>
      </c>
      <c r="F313" s="19"/>
      <c r="G313" s="20">
        <f>G315+G314</f>
        <v>249.7</v>
      </c>
      <c r="H313" s="20">
        <f t="shared" ref="H313:I313" si="68">H315+H314</f>
        <v>249.7</v>
      </c>
      <c r="I313" s="20">
        <f t="shared" si="68"/>
        <v>249.7</v>
      </c>
    </row>
    <row r="314" spans="1:17" s="26" customFormat="1" ht="25.5" x14ac:dyDescent="0.2">
      <c r="A314" s="28" t="s">
        <v>74</v>
      </c>
      <c r="B314" s="28">
        <v>911</v>
      </c>
      <c r="C314" s="24" t="s">
        <v>17</v>
      </c>
      <c r="D314" s="24" t="s">
        <v>12</v>
      </c>
      <c r="E314" s="24" t="s">
        <v>127</v>
      </c>
      <c r="F314" s="27" t="s">
        <v>66</v>
      </c>
      <c r="G314" s="25">
        <f>29.5+28.2</f>
        <v>57.7</v>
      </c>
      <c r="H314" s="25">
        <f>29.5+28.2</f>
        <v>57.7</v>
      </c>
      <c r="I314" s="25">
        <f>29.5+28.2</f>
        <v>57.7</v>
      </c>
    </row>
    <row r="315" spans="1:17" s="21" customFormat="1" ht="25.5" x14ac:dyDescent="0.2">
      <c r="A315" s="28" t="s">
        <v>130</v>
      </c>
      <c r="B315" s="28">
        <v>911</v>
      </c>
      <c r="C315" s="24" t="s">
        <v>17</v>
      </c>
      <c r="D315" s="24" t="s">
        <v>12</v>
      </c>
      <c r="E315" s="24" t="s">
        <v>127</v>
      </c>
      <c r="F315" s="24" t="s">
        <v>63</v>
      </c>
      <c r="G315" s="25">
        <f>307.3-115.3</f>
        <v>192</v>
      </c>
      <c r="H315" s="25">
        <f>307.3-115.3</f>
        <v>192</v>
      </c>
      <c r="I315" s="25">
        <f>307.3-115.3</f>
        <v>192</v>
      </c>
    </row>
    <row r="316" spans="1:17" s="21" customFormat="1" ht="25.5" x14ac:dyDescent="0.2">
      <c r="A316" s="18" t="s">
        <v>222</v>
      </c>
      <c r="B316" s="18">
        <v>911</v>
      </c>
      <c r="C316" s="19" t="s">
        <v>17</v>
      </c>
      <c r="D316" s="19" t="s">
        <v>12</v>
      </c>
      <c r="E316" s="19" t="s">
        <v>128</v>
      </c>
      <c r="F316" s="19"/>
      <c r="G316" s="20">
        <f>G318+G317</f>
        <v>1209</v>
      </c>
      <c r="H316" s="20">
        <f>H318+H317</f>
        <v>1209</v>
      </c>
      <c r="I316" s="20">
        <f>I318+I317</f>
        <v>1209</v>
      </c>
    </row>
    <row r="317" spans="1:17" s="9" customFormat="1" x14ac:dyDescent="0.2">
      <c r="A317" s="28" t="s">
        <v>67</v>
      </c>
      <c r="B317" s="28">
        <v>911</v>
      </c>
      <c r="C317" s="24" t="s">
        <v>17</v>
      </c>
      <c r="D317" s="24" t="s">
        <v>12</v>
      </c>
      <c r="E317" s="19" t="s">
        <v>128</v>
      </c>
      <c r="F317" s="24" t="s">
        <v>68</v>
      </c>
      <c r="G317" s="25">
        <v>31.1</v>
      </c>
      <c r="H317" s="25">
        <v>31.1</v>
      </c>
      <c r="I317" s="25">
        <v>31.1</v>
      </c>
    </row>
    <row r="318" spans="1:17" s="21" customFormat="1" ht="25.5" x14ac:dyDescent="0.2">
      <c r="A318" s="28" t="s">
        <v>130</v>
      </c>
      <c r="B318" s="28">
        <v>911</v>
      </c>
      <c r="C318" s="24" t="s">
        <v>17</v>
      </c>
      <c r="D318" s="24" t="s">
        <v>12</v>
      </c>
      <c r="E318" s="19" t="s">
        <v>128</v>
      </c>
      <c r="F318" s="24" t="s">
        <v>63</v>
      </c>
      <c r="G318" s="25">
        <v>1177.9000000000001</v>
      </c>
      <c r="H318" s="25">
        <v>1177.9000000000001</v>
      </c>
      <c r="I318" s="25">
        <v>1177.9000000000001</v>
      </c>
    </row>
    <row r="319" spans="1:17" s="73" customFormat="1" ht="25.5" x14ac:dyDescent="0.2">
      <c r="A319" s="69" t="s">
        <v>315</v>
      </c>
      <c r="B319" s="69">
        <v>911</v>
      </c>
      <c r="C319" s="71" t="s">
        <v>17</v>
      </c>
      <c r="D319" s="71" t="s">
        <v>12</v>
      </c>
      <c r="E319" s="71" t="s">
        <v>300</v>
      </c>
      <c r="F319" s="71"/>
      <c r="G319" s="72">
        <f>G321+G320</f>
        <v>250</v>
      </c>
      <c r="H319" s="72">
        <f>H321+H320</f>
        <v>0</v>
      </c>
      <c r="I319" s="72">
        <f>I321+I320</f>
        <v>0</v>
      </c>
      <c r="J319" s="103"/>
      <c r="K319" s="103"/>
      <c r="L319" s="103"/>
      <c r="M319" s="103"/>
      <c r="N319" s="103"/>
      <c r="O319" s="103"/>
      <c r="P319" s="103"/>
      <c r="Q319" s="103"/>
    </row>
    <row r="320" spans="1:17" s="73" customFormat="1" x14ac:dyDescent="0.2">
      <c r="A320" s="81" t="s">
        <v>67</v>
      </c>
      <c r="B320" s="81">
        <v>911</v>
      </c>
      <c r="C320" s="76" t="s">
        <v>17</v>
      </c>
      <c r="D320" s="76" t="s">
        <v>12</v>
      </c>
      <c r="E320" s="71" t="s">
        <v>300</v>
      </c>
      <c r="F320" s="76" t="s">
        <v>68</v>
      </c>
      <c r="G320" s="56">
        <v>20</v>
      </c>
      <c r="H320" s="56"/>
      <c r="I320" s="56"/>
      <c r="J320" s="103"/>
      <c r="K320" s="103"/>
      <c r="L320" s="103"/>
      <c r="M320" s="103"/>
      <c r="N320" s="103"/>
      <c r="O320" s="103"/>
      <c r="P320" s="103"/>
      <c r="Q320" s="103"/>
    </row>
    <row r="321" spans="1:17" s="73" customFormat="1" ht="25.5" x14ac:dyDescent="0.2">
      <c r="A321" s="81" t="s">
        <v>130</v>
      </c>
      <c r="B321" s="81">
        <v>911</v>
      </c>
      <c r="C321" s="76" t="s">
        <v>17</v>
      </c>
      <c r="D321" s="76" t="s">
        <v>12</v>
      </c>
      <c r="E321" s="71" t="s">
        <v>300</v>
      </c>
      <c r="F321" s="76" t="s">
        <v>63</v>
      </c>
      <c r="G321" s="56">
        <v>230</v>
      </c>
      <c r="H321" s="56"/>
      <c r="I321" s="56"/>
      <c r="J321" s="103"/>
      <c r="K321" s="103"/>
      <c r="L321" s="103"/>
      <c r="M321" s="103"/>
      <c r="N321" s="103"/>
      <c r="O321" s="103"/>
      <c r="P321" s="103"/>
      <c r="Q321" s="103"/>
    </row>
    <row r="322" spans="1:17" s="68" customFormat="1" x14ac:dyDescent="0.2">
      <c r="A322" s="64" t="s">
        <v>301</v>
      </c>
      <c r="B322" s="65">
        <v>911</v>
      </c>
      <c r="C322" s="66" t="s">
        <v>17</v>
      </c>
      <c r="D322" s="66" t="s">
        <v>14</v>
      </c>
      <c r="E322" s="66"/>
      <c r="F322" s="66"/>
      <c r="G322" s="67">
        <f>G327+G325+G323+G329</f>
        <v>132436.1</v>
      </c>
      <c r="H322" s="67">
        <f t="shared" ref="H322:I322" si="69">H327+H325+H323+H329</f>
        <v>121344.30000000002</v>
      </c>
      <c r="I322" s="67">
        <f t="shared" si="69"/>
        <v>118124.60000000002</v>
      </c>
    </row>
    <row r="323" spans="1:17" s="103" customFormat="1" ht="25.5" x14ac:dyDescent="0.2">
      <c r="A323" s="248" t="s">
        <v>152</v>
      </c>
      <c r="B323" s="248">
        <v>911</v>
      </c>
      <c r="C323" s="241" t="s">
        <v>17</v>
      </c>
      <c r="D323" s="241" t="s">
        <v>14</v>
      </c>
      <c r="E323" s="241" t="s">
        <v>151</v>
      </c>
      <c r="F323" s="253"/>
      <c r="G323" s="254">
        <f>G324</f>
        <v>1759.6</v>
      </c>
      <c r="H323" s="254">
        <f t="shared" ref="H323:I323" si="70">H324</f>
        <v>224.8</v>
      </c>
      <c r="I323" s="254">
        <f t="shared" si="70"/>
        <v>224.8</v>
      </c>
    </row>
    <row r="324" spans="1:17" s="103" customFormat="1" ht="25.5" x14ac:dyDescent="0.2">
      <c r="A324" s="247" t="s">
        <v>130</v>
      </c>
      <c r="B324" s="247">
        <v>911</v>
      </c>
      <c r="C324" s="244" t="s">
        <v>17</v>
      </c>
      <c r="D324" s="244" t="s">
        <v>14</v>
      </c>
      <c r="E324" s="244" t="s">
        <v>151</v>
      </c>
      <c r="F324" s="244" t="s">
        <v>63</v>
      </c>
      <c r="G324" s="192">
        <f>2000.6-241</f>
        <v>1759.6</v>
      </c>
      <c r="H324" s="192">
        <v>224.8</v>
      </c>
      <c r="I324" s="192">
        <v>224.8</v>
      </c>
    </row>
    <row r="325" spans="1:17" ht="25.5" x14ac:dyDescent="0.2">
      <c r="A325" s="18" t="s">
        <v>217</v>
      </c>
      <c r="B325" s="18">
        <v>911</v>
      </c>
      <c r="C325" s="19" t="s">
        <v>17</v>
      </c>
      <c r="D325" s="19" t="s">
        <v>14</v>
      </c>
      <c r="E325" s="19" t="s">
        <v>127</v>
      </c>
      <c r="F325" s="19"/>
      <c r="G325" s="20">
        <f>G326</f>
        <v>115.3</v>
      </c>
      <c r="H325" s="20">
        <f t="shared" ref="H325:I325" si="71">H326</f>
        <v>115.3</v>
      </c>
      <c r="I325" s="20">
        <f t="shared" si="71"/>
        <v>115.3</v>
      </c>
      <c r="J325" s="197"/>
      <c r="K325" s="197"/>
      <c r="L325" s="197"/>
      <c r="M325" s="197"/>
      <c r="N325" s="197"/>
      <c r="O325" s="197"/>
      <c r="P325" s="197"/>
      <c r="Q325" s="197"/>
    </row>
    <row r="326" spans="1:17" ht="25.5" x14ac:dyDescent="0.2">
      <c r="A326" s="28" t="s">
        <v>130</v>
      </c>
      <c r="B326" s="28">
        <v>911</v>
      </c>
      <c r="C326" s="24" t="s">
        <v>17</v>
      </c>
      <c r="D326" s="24" t="s">
        <v>14</v>
      </c>
      <c r="E326" s="24" t="s">
        <v>127</v>
      </c>
      <c r="F326" s="24" t="s">
        <v>63</v>
      </c>
      <c r="G326" s="25">
        <v>115.3</v>
      </c>
      <c r="H326" s="25">
        <v>115.3</v>
      </c>
      <c r="I326" s="25">
        <v>115.3</v>
      </c>
      <c r="J326" s="197"/>
      <c r="K326" s="197"/>
      <c r="L326" s="197"/>
      <c r="M326" s="197"/>
      <c r="N326" s="197"/>
      <c r="O326" s="197"/>
      <c r="P326" s="197"/>
      <c r="Q326" s="197"/>
    </row>
    <row r="327" spans="1:17" s="103" customFormat="1" ht="63.75" x14ac:dyDescent="0.2">
      <c r="A327" s="239" t="s">
        <v>312</v>
      </c>
      <c r="B327" s="240">
        <v>911</v>
      </c>
      <c r="C327" s="241" t="s">
        <v>17</v>
      </c>
      <c r="D327" s="241" t="s">
        <v>14</v>
      </c>
      <c r="E327" s="241" t="s">
        <v>219</v>
      </c>
      <c r="F327" s="241"/>
      <c r="G327" s="193">
        <f>G328</f>
        <v>115356.5</v>
      </c>
      <c r="H327" s="193">
        <f>H328</f>
        <v>106398.6</v>
      </c>
      <c r="I327" s="193">
        <f>I328</f>
        <v>103178.90000000001</v>
      </c>
    </row>
    <row r="328" spans="1:17" s="104" customFormat="1" ht="25.5" x14ac:dyDescent="0.2">
      <c r="A328" s="247" t="s">
        <v>130</v>
      </c>
      <c r="B328" s="243">
        <v>911</v>
      </c>
      <c r="C328" s="244" t="s">
        <v>17</v>
      </c>
      <c r="D328" s="244" t="s">
        <v>14</v>
      </c>
      <c r="E328" s="244" t="s">
        <v>219</v>
      </c>
      <c r="F328" s="244" t="s">
        <v>63</v>
      </c>
      <c r="G328" s="192">
        <f>114802.1+141.2+413.2</f>
        <v>115356.5</v>
      </c>
      <c r="H328" s="192">
        <f>105857.8+540.8</f>
        <v>106398.6</v>
      </c>
      <c r="I328" s="192">
        <f>102638.1+540.8</f>
        <v>103178.90000000001</v>
      </c>
    </row>
    <row r="329" spans="1:17" s="103" customFormat="1" ht="25.5" x14ac:dyDescent="0.2">
      <c r="A329" s="239" t="s">
        <v>615</v>
      </c>
      <c r="B329" s="240">
        <v>911</v>
      </c>
      <c r="C329" s="241" t="s">
        <v>17</v>
      </c>
      <c r="D329" s="241" t="s">
        <v>14</v>
      </c>
      <c r="E329" s="241" t="s">
        <v>616</v>
      </c>
      <c r="F329" s="241"/>
      <c r="G329" s="193">
        <f>G330</f>
        <v>15204.7</v>
      </c>
      <c r="H329" s="193">
        <f t="shared" ref="H329:I329" si="72">H330</f>
        <v>14605.6</v>
      </c>
      <c r="I329" s="193">
        <f t="shared" si="72"/>
        <v>14605.6</v>
      </c>
    </row>
    <row r="330" spans="1:17" s="104" customFormat="1" ht="25.5" x14ac:dyDescent="0.2">
      <c r="A330" s="247" t="s">
        <v>130</v>
      </c>
      <c r="B330" s="243">
        <v>911</v>
      </c>
      <c r="C330" s="244" t="s">
        <v>17</v>
      </c>
      <c r="D330" s="244" t="s">
        <v>14</v>
      </c>
      <c r="E330" s="244" t="s">
        <v>616</v>
      </c>
      <c r="F330" s="244" t="s">
        <v>63</v>
      </c>
      <c r="G330" s="192">
        <f>14605.6+599.1</f>
        <v>15204.7</v>
      </c>
      <c r="H330" s="192">
        <v>14605.6</v>
      </c>
      <c r="I330" s="192">
        <v>14605.6</v>
      </c>
    </row>
    <row r="331" spans="1:17" s="68" customFormat="1" x14ac:dyDescent="0.2">
      <c r="A331" s="64" t="s">
        <v>39</v>
      </c>
      <c r="B331" s="65">
        <v>911</v>
      </c>
      <c r="C331" s="66" t="s">
        <v>17</v>
      </c>
      <c r="D331" s="66" t="s">
        <v>24</v>
      </c>
      <c r="E331" s="66"/>
      <c r="F331" s="66"/>
      <c r="G331" s="67">
        <f>G344+G346+G349+G352+G356+G359+G362+G364+G339+G332+G335+G342+G337</f>
        <v>73942</v>
      </c>
      <c r="H331" s="67">
        <f t="shared" ref="H331:I331" si="73">H344+H346+H349+H352+H356+H359+H362+H364+H339+H332+H335+H342+H337</f>
        <v>64424.100000000006</v>
      </c>
      <c r="I331" s="67">
        <f t="shared" si="73"/>
        <v>63724.799999999996</v>
      </c>
    </row>
    <row r="332" spans="1:17" ht="25.5" x14ac:dyDescent="0.2">
      <c r="A332" s="17" t="s">
        <v>152</v>
      </c>
      <c r="B332" s="17">
        <v>911</v>
      </c>
      <c r="C332" s="19" t="s">
        <v>17</v>
      </c>
      <c r="D332" s="19" t="s">
        <v>24</v>
      </c>
      <c r="E332" s="19" t="s">
        <v>151</v>
      </c>
      <c r="F332" s="5"/>
      <c r="G332" s="6">
        <f>G334+G333</f>
        <v>129.1</v>
      </c>
      <c r="H332" s="6">
        <f t="shared" ref="H332:I332" si="74">H334+H333</f>
        <v>26</v>
      </c>
      <c r="I332" s="6">
        <f t="shared" si="74"/>
        <v>26</v>
      </c>
      <c r="J332" s="197"/>
      <c r="K332" s="197"/>
      <c r="L332" s="197"/>
      <c r="M332" s="197"/>
      <c r="N332" s="197"/>
      <c r="O332" s="197"/>
      <c r="P332" s="197"/>
      <c r="Q332" s="197"/>
    </row>
    <row r="333" spans="1:17" ht="25.5" x14ac:dyDescent="0.2">
      <c r="A333" s="28" t="s">
        <v>74</v>
      </c>
      <c r="B333" s="28">
        <v>911</v>
      </c>
      <c r="C333" s="24" t="s">
        <v>17</v>
      </c>
      <c r="D333" s="24" t="s">
        <v>24</v>
      </c>
      <c r="E333" s="24" t="s">
        <v>151</v>
      </c>
      <c r="F333" s="24" t="s">
        <v>66</v>
      </c>
      <c r="G333" s="25"/>
      <c r="H333" s="25"/>
      <c r="I333" s="25"/>
      <c r="J333" s="197"/>
      <c r="K333" s="197"/>
      <c r="L333" s="197"/>
      <c r="M333" s="197"/>
      <c r="N333" s="197"/>
      <c r="O333" s="197"/>
      <c r="P333" s="197"/>
      <c r="Q333" s="197"/>
    </row>
    <row r="334" spans="1:17" s="103" customFormat="1" ht="25.5" x14ac:dyDescent="0.2">
      <c r="A334" s="247" t="s">
        <v>130</v>
      </c>
      <c r="B334" s="247">
        <v>911</v>
      </c>
      <c r="C334" s="244" t="s">
        <v>17</v>
      </c>
      <c r="D334" s="244" t="s">
        <v>24</v>
      </c>
      <c r="E334" s="244" t="s">
        <v>151</v>
      </c>
      <c r="F334" s="244" t="s">
        <v>63</v>
      </c>
      <c r="G334" s="192">
        <f>66+63.1</f>
        <v>129.1</v>
      </c>
      <c r="H334" s="192">
        <v>26</v>
      </c>
      <c r="I334" s="192">
        <v>26</v>
      </c>
    </row>
    <row r="335" spans="1:17" ht="25.5" x14ac:dyDescent="0.2">
      <c r="A335" s="18" t="s">
        <v>217</v>
      </c>
      <c r="B335" s="18">
        <v>911</v>
      </c>
      <c r="C335" s="19" t="s">
        <v>17</v>
      </c>
      <c r="D335" s="19" t="s">
        <v>24</v>
      </c>
      <c r="E335" s="19" t="s">
        <v>127</v>
      </c>
      <c r="F335" s="19"/>
      <c r="G335" s="20">
        <f>G336</f>
        <v>0</v>
      </c>
      <c r="H335" s="20">
        <f t="shared" ref="H335:I335" si="75">H336</f>
        <v>0</v>
      </c>
      <c r="I335" s="20">
        <f t="shared" si="75"/>
        <v>0</v>
      </c>
      <c r="J335" s="103"/>
      <c r="K335" s="103"/>
      <c r="L335" s="103"/>
      <c r="M335" s="103"/>
      <c r="N335" s="103"/>
      <c r="O335" s="103"/>
      <c r="P335" s="103"/>
      <c r="Q335" s="103"/>
    </row>
    <row r="336" spans="1:17" ht="25.5" x14ac:dyDescent="0.2">
      <c r="A336" s="28" t="s">
        <v>130</v>
      </c>
      <c r="B336" s="28">
        <v>911</v>
      </c>
      <c r="C336" s="24" t="s">
        <v>17</v>
      </c>
      <c r="D336" s="24" t="s">
        <v>24</v>
      </c>
      <c r="E336" s="24" t="s">
        <v>127</v>
      </c>
      <c r="F336" s="24" t="s">
        <v>63</v>
      </c>
      <c r="G336" s="25"/>
      <c r="H336" s="25"/>
      <c r="I336" s="25"/>
      <c r="J336" s="103"/>
      <c r="K336" s="103"/>
      <c r="L336" s="103"/>
      <c r="M336" s="103"/>
      <c r="N336" s="103"/>
      <c r="O336" s="103"/>
      <c r="P336" s="103"/>
      <c r="Q336" s="103"/>
    </row>
    <row r="337" spans="1:17" ht="25.5" x14ac:dyDescent="0.2">
      <c r="A337" s="18" t="s">
        <v>666</v>
      </c>
      <c r="B337" s="18">
        <v>911</v>
      </c>
      <c r="C337" s="19" t="s">
        <v>17</v>
      </c>
      <c r="D337" s="19" t="s">
        <v>24</v>
      </c>
      <c r="E337" s="19" t="s">
        <v>679</v>
      </c>
      <c r="F337" s="19"/>
      <c r="G337" s="20">
        <f>G338</f>
        <v>0</v>
      </c>
      <c r="H337" s="20">
        <f t="shared" ref="H337:I337" si="76">H338</f>
        <v>0</v>
      </c>
      <c r="I337" s="20">
        <f t="shared" si="76"/>
        <v>0</v>
      </c>
      <c r="J337" s="103"/>
      <c r="K337" s="103"/>
      <c r="L337" s="103"/>
      <c r="M337" s="103"/>
      <c r="N337" s="103"/>
      <c r="O337" s="103"/>
      <c r="P337" s="103"/>
      <c r="Q337" s="103"/>
    </row>
    <row r="338" spans="1:17" ht="25.5" x14ac:dyDescent="0.2">
      <c r="A338" s="28" t="s">
        <v>130</v>
      </c>
      <c r="B338" s="28">
        <v>911</v>
      </c>
      <c r="C338" s="24" t="s">
        <v>17</v>
      </c>
      <c r="D338" s="24" t="s">
        <v>24</v>
      </c>
      <c r="E338" s="24" t="s">
        <v>679</v>
      </c>
      <c r="F338" s="24" t="s">
        <v>63</v>
      </c>
      <c r="G338" s="25"/>
      <c r="H338" s="25"/>
      <c r="I338" s="25"/>
      <c r="J338" s="103"/>
      <c r="K338" s="103"/>
      <c r="L338" s="103"/>
      <c r="M338" s="103"/>
      <c r="N338" s="103"/>
      <c r="O338" s="103"/>
      <c r="P338" s="103"/>
      <c r="Q338" s="103"/>
    </row>
    <row r="339" spans="1:17" ht="29.25" customHeight="1" x14ac:dyDescent="0.2">
      <c r="A339" s="18" t="s">
        <v>175</v>
      </c>
      <c r="B339" s="18">
        <v>911</v>
      </c>
      <c r="C339" s="19" t="s">
        <v>17</v>
      </c>
      <c r="D339" s="19" t="s">
        <v>24</v>
      </c>
      <c r="E339" s="19" t="s">
        <v>126</v>
      </c>
      <c r="F339" s="19"/>
      <c r="G339" s="20">
        <f>G341+G340</f>
        <v>4391</v>
      </c>
      <c r="H339" s="20">
        <f t="shared" ref="H339:I339" si="77">H341+H340</f>
        <v>4391</v>
      </c>
      <c r="I339" s="20">
        <f t="shared" si="77"/>
        <v>4391</v>
      </c>
      <c r="J339" s="103"/>
      <c r="K339" s="103"/>
      <c r="L339" s="103"/>
      <c r="M339" s="103"/>
      <c r="N339" s="103"/>
      <c r="O339" s="103"/>
      <c r="P339" s="103"/>
      <c r="Q339" s="103"/>
    </row>
    <row r="340" spans="1:17" ht="25.5" x14ac:dyDescent="0.2">
      <c r="A340" s="28" t="s">
        <v>74</v>
      </c>
      <c r="B340" s="28">
        <v>911</v>
      </c>
      <c r="C340" s="24" t="s">
        <v>17</v>
      </c>
      <c r="D340" s="24" t="s">
        <v>24</v>
      </c>
      <c r="E340" s="24" t="s">
        <v>126</v>
      </c>
      <c r="F340" s="24" t="s">
        <v>66</v>
      </c>
      <c r="G340" s="25">
        <v>101.25</v>
      </c>
      <c r="H340" s="25">
        <v>101.25</v>
      </c>
      <c r="I340" s="25">
        <v>101.25</v>
      </c>
      <c r="J340" s="103"/>
      <c r="K340" s="103"/>
      <c r="L340" s="103"/>
      <c r="M340" s="103"/>
      <c r="N340" s="103"/>
      <c r="O340" s="103"/>
      <c r="P340" s="103"/>
      <c r="Q340" s="103"/>
    </row>
    <row r="341" spans="1:17" ht="25.5" x14ac:dyDescent="0.2">
      <c r="A341" s="28" t="s">
        <v>130</v>
      </c>
      <c r="B341" s="28">
        <v>911</v>
      </c>
      <c r="C341" s="24" t="s">
        <v>17</v>
      </c>
      <c r="D341" s="24" t="s">
        <v>24</v>
      </c>
      <c r="E341" s="24" t="s">
        <v>126</v>
      </c>
      <c r="F341" s="24" t="s">
        <v>63</v>
      </c>
      <c r="G341" s="25">
        <f>3950+339.75</f>
        <v>4289.75</v>
      </c>
      <c r="H341" s="25">
        <f>3950+339.75</f>
        <v>4289.75</v>
      </c>
      <c r="I341" s="25">
        <f>3950+339.75</f>
        <v>4289.75</v>
      </c>
      <c r="J341" s="103"/>
      <c r="K341" s="103"/>
      <c r="L341" s="103"/>
      <c r="M341" s="103"/>
      <c r="N341" s="103"/>
      <c r="O341" s="103"/>
      <c r="P341" s="103"/>
      <c r="Q341" s="103"/>
    </row>
    <row r="342" spans="1:17" ht="25.5" x14ac:dyDescent="0.2">
      <c r="A342" s="18" t="s">
        <v>666</v>
      </c>
      <c r="B342" s="18">
        <v>911</v>
      </c>
      <c r="C342" s="19" t="s">
        <v>17</v>
      </c>
      <c r="D342" s="19" t="s">
        <v>24</v>
      </c>
      <c r="E342" s="19" t="s">
        <v>667</v>
      </c>
      <c r="F342" s="19"/>
      <c r="G342" s="20">
        <f>G343</f>
        <v>0</v>
      </c>
      <c r="H342" s="20">
        <f t="shared" ref="H342:I342" si="78">H343</f>
        <v>0</v>
      </c>
      <c r="I342" s="20">
        <f t="shared" si="78"/>
        <v>0</v>
      </c>
      <c r="J342" s="197"/>
      <c r="K342" s="197"/>
      <c r="L342" s="197"/>
      <c r="M342" s="197"/>
      <c r="N342" s="197"/>
      <c r="O342" s="197"/>
      <c r="P342" s="197"/>
      <c r="Q342" s="197"/>
    </row>
    <row r="343" spans="1:17" ht="25.5" x14ac:dyDescent="0.2">
      <c r="A343" s="28" t="s">
        <v>130</v>
      </c>
      <c r="B343" s="28">
        <v>911</v>
      </c>
      <c r="C343" s="24" t="s">
        <v>17</v>
      </c>
      <c r="D343" s="24" t="s">
        <v>24</v>
      </c>
      <c r="E343" s="24" t="s">
        <v>667</v>
      </c>
      <c r="F343" s="24" t="s">
        <v>63</v>
      </c>
      <c r="G343" s="25"/>
      <c r="H343" s="25"/>
      <c r="I343" s="25"/>
      <c r="J343" s="197"/>
      <c r="K343" s="197"/>
      <c r="L343" s="197"/>
      <c r="M343" s="197"/>
      <c r="N343" s="197"/>
      <c r="O343" s="197"/>
      <c r="P343" s="197"/>
      <c r="Q343" s="197"/>
    </row>
    <row r="344" spans="1:17" ht="25.5" x14ac:dyDescent="0.2">
      <c r="A344" s="18" t="s">
        <v>313</v>
      </c>
      <c r="B344" s="22">
        <v>911</v>
      </c>
      <c r="C344" s="19" t="s">
        <v>17</v>
      </c>
      <c r="D344" s="19" t="s">
        <v>24</v>
      </c>
      <c r="E344" s="19" t="s">
        <v>225</v>
      </c>
      <c r="F344" s="19"/>
      <c r="G344" s="20">
        <f>+G345</f>
        <v>140</v>
      </c>
      <c r="H344" s="20">
        <f t="shared" ref="H344:I344" si="79">+H345</f>
        <v>0</v>
      </c>
      <c r="I344" s="20">
        <f t="shared" si="79"/>
        <v>0</v>
      </c>
      <c r="J344" s="103"/>
      <c r="K344" s="103"/>
      <c r="L344" s="103"/>
      <c r="M344" s="103"/>
      <c r="N344" s="103"/>
      <c r="O344" s="103"/>
      <c r="P344" s="103"/>
      <c r="Q344" s="103"/>
    </row>
    <row r="345" spans="1:17" s="26" customFormat="1" ht="25.5" x14ac:dyDescent="0.2">
      <c r="A345" s="28" t="s">
        <v>130</v>
      </c>
      <c r="B345" s="31">
        <v>911</v>
      </c>
      <c r="C345" s="24" t="s">
        <v>17</v>
      </c>
      <c r="D345" s="24" t="s">
        <v>24</v>
      </c>
      <c r="E345" s="24" t="s">
        <v>225</v>
      </c>
      <c r="F345" s="24" t="s">
        <v>63</v>
      </c>
      <c r="G345" s="25">
        <v>140</v>
      </c>
      <c r="H345" s="25"/>
      <c r="I345" s="25"/>
      <c r="J345" s="104"/>
      <c r="K345" s="104"/>
      <c r="L345" s="104"/>
      <c r="M345" s="104"/>
      <c r="N345" s="104"/>
      <c r="O345" s="104"/>
      <c r="P345" s="104"/>
      <c r="Q345" s="104"/>
    </row>
    <row r="346" spans="1:17" s="73" customFormat="1" ht="25.5" x14ac:dyDescent="0.2">
      <c r="A346" s="69" t="s">
        <v>313</v>
      </c>
      <c r="B346" s="70">
        <v>911</v>
      </c>
      <c r="C346" s="71" t="s">
        <v>17</v>
      </c>
      <c r="D346" s="71" t="s">
        <v>24</v>
      </c>
      <c r="E346" s="71" t="s">
        <v>176</v>
      </c>
      <c r="F346" s="71"/>
      <c r="G346" s="72">
        <f>G348+G347</f>
        <v>323.3</v>
      </c>
      <c r="H346" s="72">
        <f t="shared" ref="H346:I346" si="80">H348+H347</f>
        <v>59.4</v>
      </c>
      <c r="I346" s="72">
        <f t="shared" si="80"/>
        <v>59.4</v>
      </c>
    </row>
    <row r="347" spans="1:17" s="26" customFormat="1" ht="25.5" x14ac:dyDescent="0.2">
      <c r="A347" s="28" t="s">
        <v>74</v>
      </c>
      <c r="B347" s="31">
        <v>911</v>
      </c>
      <c r="C347" s="24" t="s">
        <v>17</v>
      </c>
      <c r="D347" s="24" t="s">
        <v>24</v>
      </c>
      <c r="E347" s="24" t="s">
        <v>176</v>
      </c>
      <c r="F347" s="24" t="s">
        <v>66</v>
      </c>
      <c r="G347" s="25">
        <v>4.5</v>
      </c>
      <c r="H347" s="25"/>
      <c r="I347" s="25"/>
    </row>
    <row r="348" spans="1:17" s="26" customFormat="1" ht="25.5" x14ac:dyDescent="0.2">
      <c r="A348" s="28" t="s">
        <v>130</v>
      </c>
      <c r="B348" s="31">
        <v>911</v>
      </c>
      <c r="C348" s="24" t="s">
        <v>17</v>
      </c>
      <c r="D348" s="24" t="s">
        <v>24</v>
      </c>
      <c r="E348" s="24" t="s">
        <v>176</v>
      </c>
      <c r="F348" s="24" t="s">
        <v>63</v>
      </c>
      <c r="G348" s="25">
        <v>318.8</v>
      </c>
      <c r="H348" s="25">
        <v>59.4</v>
      </c>
      <c r="I348" s="25">
        <v>59.4</v>
      </c>
    </row>
    <row r="349" spans="1:17" ht="51" x14ac:dyDescent="0.2">
      <c r="A349" s="18" t="s">
        <v>314</v>
      </c>
      <c r="B349" s="22">
        <v>911</v>
      </c>
      <c r="C349" s="19" t="s">
        <v>17</v>
      </c>
      <c r="D349" s="19" t="s">
        <v>24</v>
      </c>
      <c r="E349" s="19" t="s">
        <v>226</v>
      </c>
      <c r="F349" s="19"/>
      <c r="G349" s="20">
        <f>G350+G351</f>
        <v>783.30000000000007</v>
      </c>
      <c r="H349" s="20">
        <f>H350+H351</f>
        <v>0</v>
      </c>
      <c r="I349" s="20">
        <f>I350+I351</f>
        <v>0</v>
      </c>
      <c r="J349" s="197"/>
      <c r="K349" s="197"/>
      <c r="L349" s="197"/>
      <c r="M349" s="197"/>
      <c r="N349" s="197"/>
      <c r="O349" s="197"/>
      <c r="P349" s="197"/>
      <c r="Q349" s="197"/>
    </row>
    <row r="350" spans="1:17" s="26" customFormat="1" ht="49.5" customHeight="1" x14ac:dyDescent="0.2">
      <c r="A350" s="30" t="s">
        <v>64</v>
      </c>
      <c r="B350" s="32">
        <v>911</v>
      </c>
      <c r="C350" s="24" t="s">
        <v>17</v>
      </c>
      <c r="D350" s="24" t="s">
        <v>24</v>
      </c>
      <c r="E350" s="24" t="s">
        <v>226</v>
      </c>
      <c r="F350" s="27" t="s">
        <v>65</v>
      </c>
      <c r="G350" s="25">
        <v>43.1</v>
      </c>
      <c r="H350" s="25"/>
      <c r="I350" s="25"/>
    </row>
    <row r="351" spans="1:17" s="26" customFormat="1" ht="25.5" x14ac:dyDescent="0.2">
      <c r="A351" s="28" t="s">
        <v>130</v>
      </c>
      <c r="B351" s="31">
        <v>911</v>
      </c>
      <c r="C351" s="24" t="s">
        <v>17</v>
      </c>
      <c r="D351" s="24" t="s">
        <v>24</v>
      </c>
      <c r="E351" s="24" t="s">
        <v>226</v>
      </c>
      <c r="F351" s="24" t="s">
        <v>63</v>
      </c>
      <c r="G351" s="25">
        <v>740.2</v>
      </c>
      <c r="H351" s="25"/>
      <c r="I351" s="25"/>
    </row>
    <row r="352" spans="1:17" ht="25.5" x14ac:dyDescent="0.2">
      <c r="A352" s="18" t="s">
        <v>228</v>
      </c>
      <c r="B352" s="22">
        <v>911</v>
      </c>
      <c r="C352" s="19" t="s">
        <v>17</v>
      </c>
      <c r="D352" s="19" t="s">
        <v>24</v>
      </c>
      <c r="E352" s="19" t="s">
        <v>227</v>
      </c>
      <c r="F352" s="19"/>
      <c r="G352" s="20">
        <f>G355+G354+G353</f>
        <v>567.70000000000005</v>
      </c>
      <c r="H352" s="20">
        <f t="shared" ref="H352:I352" si="81">H355+H354+H353</f>
        <v>516.1</v>
      </c>
      <c r="I352" s="20">
        <f t="shared" si="81"/>
        <v>516.1</v>
      </c>
      <c r="J352" s="197"/>
      <c r="K352" s="197"/>
      <c r="L352" s="197"/>
      <c r="M352" s="197"/>
      <c r="N352" s="197"/>
      <c r="O352" s="197"/>
      <c r="P352" s="197"/>
      <c r="Q352" s="197"/>
    </row>
    <row r="353" spans="1:17" s="26" customFormat="1" ht="49.5" customHeight="1" x14ac:dyDescent="0.2">
      <c r="A353" s="23" t="s">
        <v>64</v>
      </c>
      <c r="B353" s="31">
        <v>911</v>
      </c>
      <c r="C353" s="24" t="s">
        <v>17</v>
      </c>
      <c r="D353" s="24" t="s">
        <v>24</v>
      </c>
      <c r="E353" s="24" t="s">
        <v>227</v>
      </c>
      <c r="F353" s="24" t="s">
        <v>65</v>
      </c>
      <c r="G353" s="25">
        <v>20.6</v>
      </c>
      <c r="H353" s="25">
        <v>20.6</v>
      </c>
      <c r="I353" s="25">
        <v>20.6</v>
      </c>
    </row>
    <row r="354" spans="1:17" s="26" customFormat="1" ht="25.5" x14ac:dyDescent="0.2">
      <c r="A354" s="28" t="s">
        <v>74</v>
      </c>
      <c r="B354" s="31">
        <v>911</v>
      </c>
      <c r="C354" s="24" t="s">
        <v>17</v>
      </c>
      <c r="D354" s="24" t="s">
        <v>24</v>
      </c>
      <c r="E354" s="24" t="s">
        <v>227</v>
      </c>
      <c r="F354" s="24" t="s">
        <v>66</v>
      </c>
      <c r="G354" s="25">
        <v>51.6</v>
      </c>
      <c r="H354" s="25"/>
      <c r="I354" s="25"/>
    </row>
    <row r="355" spans="1:17" s="26" customFormat="1" ht="25.5" x14ac:dyDescent="0.2">
      <c r="A355" s="28" t="s">
        <v>130</v>
      </c>
      <c r="B355" s="31">
        <v>911</v>
      </c>
      <c r="C355" s="24" t="s">
        <v>17</v>
      </c>
      <c r="D355" s="24" t="s">
        <v>24</v>
      </c>
      <c r="E355" s="24" t="s">
        <v>227</v>
      </c>
      <c r="F355" s="24" t="s">
        <v>63</v>
      </c>
      <c r="G355" s="25">
        <v>495.5</v>
      </c>
      <c r="H355" s="25">
        <v>495.5</v>
      </c>
      <c r="I355" s="25">
        <v>495.5</v>
      </c>
    </row>
    <row r="356" spans="1:17" s="21" customFormat="1" ht="114.75" x14ac:dyDescent="0.2">
      <c r="A356" s="18" t="s">
        <v>380</v>
      </c>
      <c r="B356" s="22">
        <v>911</v>
      </c>
      <c r="C356" s="5" t="s">
        <v>17</v>
      </c>
      <c r="D356" s="5" t="s">
        <v>24</v>
      </c>
      <c r="E356" s="5" t="s">
        <v>114</v>
      </c>
      <c r="F356" s="19"/>
      <c r="G356" s="20">
        <f>G357+G358</f>
        <v>3245.9</v>
      </c>
      <c r="H356" s="20">
        <f>H357+H358</f>
        <v>3245.9</v>
      </c>
      <c r="I356" s="20">
        <f>I357+I358</f>
        <v>3245.9</v>
      </c>
    </row>
    <row r="357" spans="1:17" s="26" customFormat="1" ht="51" customHeight="1" x14ac:dyDescent="0.2">
      <c r="A357" s="23" t="s">
        <v>64</v>
      </c>
      <c r="B357" s="31">
        <v>911</v>
      </c>
      <c r="C357" s="24" t="s">
        <v>17</v>
      </c>
      <c r="D357" s="24" t="s">
        <v>24</v>
      </c>
      <c r="E357" s="24" t="s">
        <v>114</v>
      </c>
      <c r="F357" s="27" t="s">
        <v>65</v>
      </c>
      <c r="G357" s="25">
        <v>2869.4</v>
      </c>
      <c r="H357" s="25">
        <v>2869.4</v>
      </c>
      <c r="I357" s="25">
        <v>2869.4</v>
      </c>
    </row>
    <row r="358" spans="1:17" s="26" customFormat="1" ht="25.5" x14ac:dyDescent="0.2">
      <c r="A358" s="28" t="s">
        <v>74</v>
      </c>
      <c r="B358" s="51">
        <v>911</v>
      </c>
      <c r="C358" s="24" t="s">
        <v>17</v>
      </c>
      <c r="D358" s="24" t="s">
        <v>24</v>
      </c>
      <c r="E358" s="24" t="s">
        <v>114</v>
      </c>
      <c r="F358" s="27" t="s">
        <v>66</v>
      </c>
      <c r="G358" s="25">
        <v>376.5</v>
      </c>
      <c r="H358" s="25">
        <v>376.5</v>
      </c>
      <c r="I358" s="25">
        <v>376.5</v>
      </c>
    </row>
    <row r="359" spans="1:17" ht="25.5" x14ac:dyDescent="0.2">
      <c r="A359" s="18" t="s">
        <v>316</v>
      </c>
      <c r="B359" s="22">
        <v>911</v>
      </c>
      <c r="C359" s="19" t="s">
        <v>17</v>
      </c>
      <c r="D359" s="19" t="s">
        <v>24</v>
      </c>
      <c r="E359" s="19" t="s">
        <v>229</v>
      </c>
      <c r="F359" s="19"/>
      <c r="G359" s="20">
        <f>G360+G361</f>
        <v>4467.2</v>
      </c>
      <c r="H359" s="20">
        <f>H360+H361</f>
        <v>4407.2</v>
      </c>
      <c r="I359" s="20">
        <f>I360+I361</f>
        <v>4407.2</v>
      </c>
      <c r="J359" s="103"/>
      <c r="K359" s="103"/>
      <c r="L359" s="103"/>
      <c r="M359" s="103"/>
      <c r="N359" s="103"/>
      <c r="O359" s="103"/>
      <c r="P359" s="103"/>
      <c r="Q359" s="103"/>
    </row>
    <row r="360" spans="1:17" s="26" customFormat="1" ht="51" customHeight="1" x14ac:dyDescent="0.2">
      <c r="A360" s="23" t="s">
        <v>64</v>
      </c>
      <c r="B360" s="31">
        <v>911</v>
      </c>
      <c r="C360" s="24" t="s">
        <v>17</v>
      </c>
      <c r="D360" s="24" t="s">
        <v>24</v>
      </c>
      <c r="E360" s="24" t="s">
        <v>229</v>
      </c>
      <c r="F360" s="27" t="s">
        <v>65</v>
      </c>
      <c r="G360" s="25">
        <v>4427.2</v>
      </c>
      <c r="H360" s="25">
        <v>4407.2</v>
      </c>
      <c r="I360" s="25">
        <v>4407.2</v>
      </c>
      <c r="J360" s="104"/>
      <c r="K360" s="104"/>
      <c r="L360" s="104"/>
      <c r="M360" s="104"/>
      <c r="N360" s="104"/>
      <c r="O360" s="104"/>
      <c r="P360" s="104"/>
      <c r="Q360" s="104"/>
    </row>
    <row r="361" spans="1:17" s="26" customFormat="1" ht="25.5" x14ac:dyDescent="0.2">
      <c r="A361" s="28" t="s">
        <v>74</v>
      </c>
      <c r="B361" s="31">
        <v>911</v>
      </c>
      <c r="C361" s="24" t="s">
        <v>17</v>
      </c>
      <c r="D361" s="24" t="s">
        <v>24</v>
      </c>
      <c r="E361" s="24" t="s">
        <v>229</v>
      </c>
      <c r="F361" s="27" t="s">
        <v>66</v>
      </c>
      <c r="G361" s="25">
        <v>40</v>
      </c>
      <c r="H361" s="25"/>
      <c r="I361" s="25"/>
      <c r="J361" s="104"/>
      <c r="K361" s="104"/>
      <c r="L361" s="104"/>
      <c r="M361" s="104"/>
      <c r="N361" s="104"/>
      <c r="O361" s="104"/>
      <c r="P361" s="104"/>
      <c r="Q361" s="104"/>
    </row>
    <row r="362" spans="1:17" s="103" customFormat="1" ht="25.5" x14ac:dyDescent="0.2">
      <c r="A362" s="239" t="s">
        <v>316</v>
      </c>
      <c r="B362" s="240">
        <v>911</v>
      </c>
      <c r="C362" s="241" t="s">
        <v>17</v>
      </c>
      <c r="D362" s="241" t="s">
        <v>24</v>
      </c>
      <c r="E362" s="241" t="s">
        <v>230</v>
      </c>
      <c r="F362" s="241"/>
      <c r="G362" s="193">
        <f>G363</f>
        <v>22701.300000000003</v>
      </c>
      <c r="H362" s="193">
        <f>H363</f>
        <v>21478.7</v>
      </c>
      <c r="I362" s="193">
        <f>I363</f>
        <v>21108.5</v>
      </c>
    </row>
    <row r="363" spans="1:17" s="104" customFormat="1" ht="25.5" x14ac:dyDescent="0.2">
      <c r="A363" s="247" t="s">
        <v>130</v>
      </c>
      <c r="B363" s="243">
        <v>911</v>
      </c>
      <c r="C363" s="244" t="s">
        <v>17</v>
      </c>
      <c r="D363" s="244" t="s">
        <v>24</v>
      </c>
      <c r="E363" s="244" t="s">
        <v>230</v>
      </c>
      <c r="F363" s="244" t="s">
        <v>63</v>
      </c>
      <c r="G363" s="192">
        <f>22764.4-63.1</f>
        <v>22701.300000000003</v>
      </c>
      <c r="H363" s="192">
        <v>21478.7</v>
      </c>
      <c r="I363" s="192">
        <v>21108.5</v>
      </c>
    </row>
    <row r="364" spans="1:17" ht="25.5" x14ac:dyDescent="0.2">
      <c r="A364" s="18" t="s">
        <v>316</v>
      </c>
      <c r="B364" s="22">
        <v>911</v>
      </c>
      <c r="C364" s="19" t="s">
        <v>17</v>
      </c>
      <c r="D364" s="19" t="s">
        <v>24</v>
      </c>
      <c r="E364" s="19" t="s">
        <v>231</v>
      </c>
      <c r="F364" s="19"/>
      <c r="G364" s="20">
        <f>G365+G366+G367+G368</f>
        <v>37193.199999999997</v>
      </c>
      <c r="H364" s="20">
        <f>H365+H366+H367+H368</f>
        <v>30299.8</v>
      </c>
      <c r="I364" s="20">
        <f>I365+I366+I367+I368</f>
        <v>29970.699999999997</v>
      </c>
      <c r="J364" s="197"/>
      <c r="K364" s="197"/>
      <c r="L364" s="197"/>
      <c r="M364" s="197"/>
      <c r="N364" s="197"/>
      <c r="O364" s="197"/>
      <c r="P364" s="197"/>
      <c r="Q364" s="197"/>
    </row>
    <row r="365" spans="1:17" s="104" customFormat="1" ht="51.75" customHeight="1" x14ac:dyDescent="0.2">
      <c r="A365" s="256" t="s">
        <v>64</v>
      </c>
      <c r="B365" s="249">
        <v>911</v>
      </c>
      <c r="C365" s="244" t="s">
        <v>17</v>
      </c>
      <c r="D365" s="244" t="s">
        <v>24</v>
      </c>
      <c r="E365" s="244" t="s">
        <v>231</v>
      </c>
      <c r="F365" s="250" t="s">
        <v>65</v>
      </c>
      <c r="G365" s="192">
        <f>22345.2-7330</f>
        <v>15015.2</v>
      </c>
      <c r="H365" s="192">
        <f>22342.1-10249.2</f>
        <v>12092.899999999998</v>
      </c>
      <c r="I365" s="192">
        <f>22342.1-10249.2</f>
        <v>12092.899999999998</v>
      </c>
    </row>
    <row r="366" spans="1:17" s="104" customFormat="1" ht="25.5" x14ac:dyDescent="0.2">
      <c r="A366" s="247" t="s">
        <v>74</v>
      </c>
      <c r="B366" s="249">
        <v>911</v>
      </c>
      <c r="C366" s="244" t="s">
        <v>17</v>
      </c>
      <c r="D366" s="244" t="s">
        <v>24</v>
      </c>
      <c r="E366" s="244" t="s">
        <v>231</v>
      </c>
      <c r="F366" s="250" t="s">
        <v>66</v>
      </c>
      <c r="G366" s="192">
        <f>4455.2-120-1698.8</f>
        <v>2636.3999999999996</v>
      </c>
      <c r="H366" s="192">
        <f>2052.9-2052.9</f>
        <v>0</v>
      </c>
      <c r="I366" s="192">
        <f>1199.6-1199.6</f>
        <v>0</v>
      </c>
    </row>
    <row r="367" spans="1:17" s="26" customFormat="1" ht="25.5" x14ac:dyDescent="0.2">
      <c r="A367" s="28" t="s">
        <v>130</v>
      </c>
      <c r="B367" s="31">
        <v>911</v>
      </c>
      <c r="C367" s="24" t="s">
        <v>17</v>
      </c>
      <c r="D367" s="24" t="s">
        <v>24</v>
      </c>
      <c r="E367" s="24" t="s">
        <v>231</v>
      </c>
      <c r="F367" s="24" t="s">
        <v>63</v>
      </c>
      <c r="G367" s="25">
        <v>19500.5</v>
      </c>
      <c r="H367" s="25">
        <v>18206.900000000001</v>
      </c>
      <c r="I367" s="25">
        <v>17877.8</v>
      </c>
      <c r="J367" s="104"/>
      <c r="K367" s="104"/>
      <c r="L367" s="104"/>
      <c r="M367" s="104"/>
      <c r="N367" s="104"/>
      <c r="O367" s="104"/>
      <c r="P367" s="104"/>
      <c r="Q367" s="104"/>
    </row>
    <row r="368" spans="1:17" s="104" customFormat="1" x14ac:dyDescent="0.2">
      <c r="A368" s="247" t="s">
        <v>70</v>
      </c>
      <c r="B368" s="243">
        <v>911</v>
      </c>
      <c r="C368" s="244" t="s">
        <v>17</v>
      </c>
      <c r="D368" s="244" t="s">
        <v>24</v>
      </c>
      <c r="E368" s="244" t="s">
        <v>231</v>
      </c>
      <c r="F368" s="244" t="s">
        <v>71</v>
      </c>
      <c r="G368" s="192">
        <f>54.8-13.7</f>
        <v>41.099999999999994</v>
      </c>
      <c r="H368" s="192"/>
      <c r="I368" s="192"/>
    </row>
    <row r="369" spans="1:17" s="90" customFormat="1" x14ac:dyDescent="0.2">
      <c r="A369" s="89" t="s">
        <v>50</v>
      </c>
      <c r="B369" s="58">
        <v>911</v>
      </c>
      <c r="C369" s="59" t="s">
        <v>49</v>
      </c>
      <c r="D369" s="59"/>
      <c r="E369" s="59"/>
      <c r="F369" s="59"/>
      <c r="G369" s="62">
        <f>G370+G385+G403</f>
        <v>59038.9</v>
      </c>
      <c r="H369" s="62">
        <f t="shared" ref="H369:Q369" si="82">H370+H385+H403</f>
        <v>59143.9</v>
      </c>
      <c r="I369" s="62">
        <f t="shared" si="82"/>
        <v>59163.9</v>
      </c>
      <c r="J369" s="62">
        <f t="shared" si="82"/>
        <v>0</v>
      </c>
      <c r="K369" s="62">
        <f t="shared" si="82"/>
        <v>0</v>
      </c>
      <c r="L369" s="62">
        <f t="shared" si="82"/>
        <v>0</v>
      </c>
      <c r="M369" s="62">
        <f t="shared" si="82"/>
        <v>0</v>
      </c>
      <c r="N369" s="62">
        <f t="shared" si="82"/>
        <v>0</v>
      </c>
      <c r="O369" s="62">
        <f t="shared" si="82"/>
        <v>0</v>
      </c>
      <c r="P369" s="62">
        <f t="shared" si="82"/>
        <v>0</v>
      </c>
      <c r="Q369" s="62">
        <f t="shared" si="82"/>
        <v>0</v>
      </c>
    </row>
    <row r="370" spans="1:17" s="68" customFormat="1" x14ac:dyDescent="0.2">
      <c r="A370" s="64" t="s">
        <v>53</v>
      </c>
      <c r="B370" s="65">
        <v>911</v>
      </c>
      <c r="C370" s="66" t="s">
        <v>49</v>
      </c>
      <c r="D370" s="66" t="s">
        <v>14</v>
      </c>
      <c r="E370" s="66"/>
      <c r="F370" s="66"/>
      <c r="G370" s="67">
        <f>G371+G376+G374+G381+G383+G378</f>
        <v>11336.4</v>
      </c>
      <c r="H370" s="67">
        <f t="shared" ref="H370:I370" si="83">H371+H376+H374+H381+H383+H378</f>
        <v>11336.4</v>
      </c>
      <c r="I370" s="67">
        <f t="shared" si="83"/>
        <v>11336.4</v>
      </c>
    </row>
    <row r="371" spans="1:17" s="21" customFormat="1" ht="24.75" customHeight="1" x14ac:dyDescent="0.2">
      <c r="A371" s="18" t="s">
        <v>327</v>
      </c>
      <c r="B371" s="22">
        <v>911</v>
      </c>
      <c r="C371" s="19" t="s">
        <v>49</v>
      </c>
      <c r="D371" s="19" t="s">
        <v>14</v>
      </c>
      <c r="E371" s="19" t="s">
        <v>82</v>
      </c>
      <c r="F371" s="19"/>
      <c r="G371" s="20">
        <f>G373+G372</f>
        <v>1368</v>
      </c>
      <c r="H371" s="20">
        <f>H373+H372</f>
        <v>1368</v>
      </c>
      <c r="I371" s="20">
        <f>I373+I372</f>
        <v>1368</v>
      </c>
    </row>
    <row r="372" spans="1:17" s="21" customFormat="1" x14ac:dyDescent="0.2">
      <c r="A372" s="53" t="s">
        <v>67</v>
      </c>
      <c r="B372" s="23">
        <v>911</v>
      </c>
      <c r="C372" s="24" t="s">
        <v>49</v>
      </c>
      <c r="D372" s="24" t="s">
        <v>14</v>
      </c>
      <c r="E372" s="24" t="s">
        <v>82</v>
      </c>
      <c r="F372" s="27" t="s">
        <v>68</v>
      </c>
      <c r="G372" s="25">
        <v>26.7</v>
      </c>
      <c r="H372" s="25">
        <v>26.7</v>
      </c>
      <c r="I372" s="25">
        <v>26.7</v>
      </c>
    </row>
    <row r="373" spans="1:17" s="26" customFormat="1" ht="25.5" x14ac:dyDescent="0.2">
      <c r="A373" s="28" t="s">
        <v>130</v>
      </c>
      <c r="B373" s="31">
        <v>911</v>
      </c>
      <c r="C373" s="24" t="s">
        <v>49</v>
      </c>
      <c r="D373" s="24" t="s">
        <v>14</v>
      </c>
      <c r="E373" s="24" t="s">
        <v>82</v>
      </c>
      <c r="F373" s="24" t="s">
        <v>63</v>
      </c>
      <c r="G373" s="25">
        <f>1271.3+70</f>
        <v>1341.3</v>
      </c>
      <c r="H373" s="25">
        <f>1271.3+70</f>
        <v>1341.3</v>
      </c>
      <c r="I373" s="25">
        <f>1271.3+70</f>
        <v>1341.3</v>
      </c>
    </row>
    <row r="374" spans="1:17" s="21" customFormat="1" ht="51" x14ac:dyDescent="0.2">
      <c r="A374" s="18" t="s">
        <v>232</v>
      </c>
      <c r="B374" s="22">
        <v>911</v>
      </c>
      <c r="C374" s="19" t="s">
        <v>49</v>
      </c>
      <c r="D374" s="19" t="s">
        <v>14</v>
      </c>
      <c r="E374" s="19" t="s">
        <v>117</v>
      </c>
      <c r="F374" s="19"/>
      <c r="G374" s="20">
        <f>G375</f>
        <v>207</v>
      </c>
      <c r="H374" s="20">
        <f>H375</f>
        <v>207</v>
      </c>
      <c r="I374" s="20">
        <f>I375</f>
        <v>207</v>
      </c>
    </row>
    <row r="375" spans="1:17" s="26" customFormat="1" x14ac:dyDescent="0.2">
      <c r="A375" s="53" t="s">
        <v>67</v>
      </c>
      <c r="B375" s="31">
        <v>911</v>
      </c>
      <c r="C375" s="24" t="s">
        <v>49</v>
      </c>
      <c r="D375" s="24" t="s">
        <v>14</v>
      </c>
      <c r="E375" s="24" t="s">
        <v>117</v>
      </c>
      <c r="F375" s="29">
        <v>300</v>
      </c>
      <c r="G375" s="25">
        <v>207</v>
      </c>
      <c r="H375" s="25">
        <v>207</v>
      </c>
      <c r="I375" s="25">
        <v>207</v>
      </c>
    </row>
    <row r="376" spans="1:17" s="21" customFormat="1" ht="38.25" x14ac:dyDescent="0.2">
      <c r="A376" s="46" t="s">
        <v>233</v>
      </c>
      <c r="B376" s="22">
        <v>911</v>
      </c>
      <c r="C376" s="19" t="s">
        <v>49</v>
      </c>
      <c r="D376" s="19" t="s">
        <v>14</v>
      </c>
      <c r="E376" s="19" t="s">
        <v>116</v>
      </c>
      <c r="F376" s="19"/>
      <c r="G376" s="20">
        <f>G377</f>
        <v>570</v>
      </c>
      <c r="H376" s="20">
        <f>H377</f>
        <v>570</v>
      </c>
      <c r="I376" s="20">
        <f>I377</f>
        <v>570</v>
      </c>
    </row>
    <row r="377" spans="1:17" s="26" customFormat="1" x14ac:dyDescent="0.2">
      <c r="A377" s="53" t="s">
        <v>67</v>
      </c>
      <c r="B377" s="31">
        <v>911</v>
      </c>
      <c r="C377" s="24" t="s">
        <v>49</v>
      </c>
      <c r="D377" s="24" t="s">
        <v>14</v>
      </c>
      <c r="E377" s="24" t="s">
        <v>116</v>
      </c>
      <c r="F377" s="24" t="s">
        <v>68</v>
      </c>
      <c r="G377" s="25">
        <v>570</v>
      </c>
      <c r="H377" s="25">
        <v>570</v>
      </c>
      <c r="I377" s="25">
        <v>570</v>
      </c>
    </row>
    <row r="378" spans="1:17" ht="25.5" x14ac:dyDescent="0.2">
      <c r="A378" s="46" t="s">
        <v>234</v>
      </c>
      <c r="B378" s="227" t="s">
        <v>122</v>
      </c>
      <c r="C378" s="19" t="s">
        <v>49</v>
      </c>
      <c r="D378" s="19" t="s">
        <v>14</v>
      </c>
      <c r="E378" s="19" t="s">
        <v>123</v>
      </c>
      <c r="F378" s="19"/>
      <c r="G378" s="20">
        <f>G380+G379</f>
        <v>2005</v>
      </c>
      <c r="H378" s="20">
        <f>H380+H379</f>
        <v>2005</v>
      </c>
      <c r="I378" s="20">
        <f>I380+I379</f>
        <v>2005</v>
      </c>
      <c r="J378" s="103"/>
      <c r="K378" s="103"/>
      <c r="L378" s="103"/>
      <c r="M378" s="103"/>
      <c r="N378" s="103"/>
      <c r="O378" s="103"/>
      <c r="P378" s="103"/>
      <c r="Q378" s="103"/>
    </row>
    <row r="379" spans="1:17" ht="25.5" x14ac:dyDescent="0.2">
      <c r="A379" s="28" t="s">
        <v>74</v>
      </c>
      <c r="B379" s="23">
        <v>911</v>
      </c>
      <c r="C379" s="24" t="s">
        <v>49</v>
      </c>
      <c r="D379" s="24" t="s">
        <v>14</v>
      </c>
      <c r="E379" s="24" t="s">
        <v>123</v>
      </c>
      <c r="F379" s="27" t="s">
        <v>66</v>
      </c>
      <c r="G379" s="25">
        <v>325</v>
      </c>
      <c r="H379" s="25">
        <v>325</v>
      </c>
      <c r="I379" s="25">
        <v>325</v>
      </c>
      <c r="J379" s="103"/>
      <c r="K379" s="103"/>
      <c r="L379" s="103"/>
      <c r="M379" s="103"/>
      <c r="N379" s="103"/>
      <c r="O379" s="103"/>
      <c r="P379" s="103"/>
      <c r="Q379" s="103"/>
    </row>
    <row r="380" spans="1:17" ht="25.5" x14ac:dyDescent="0.2">
      <c r="A380" s="28" t="s">
        <v>130</v>
      </c>
      <c r="B380" s="28">
        <v>911</v>
      </c>
      <c r="C380" s="24" t="s">
        <v>49</v>
      </c>
      <c r="D380" s="24" t="s">
        <v>14</v>
      </c>
      <c r="E380" s="24" t="s">
        <v>123</v>
      </c>
      <c r="F380" s="24" t="s">
        <v>63</v>
      </c>
      <c r="G380" s="25">
        <f>1576+104</f>
        <v>1680</v>
      </c>
      <c r="H380" s="25">
        <f>1576+104</f>
        <v>1680</v>
      </c>
      <c r="I380" s="25">
        <f>1576+104</f>
        <v>1680</v>
      </c>
      <c r="J380" s="103"/>
      <c r="K380" s="103"/>
      <c r="L380" s="103"/>
      <c r="M380" s="103"/>
      <c r="N380" s="103"/>
      <c r="O380" s="103"/>
      <c r="P380" s="103"/>
      <c r="Q380" s="103"/>
    </row>
    <row r="381" spans="1:17" ht="78" customHeight="1" x14ac:dyDescent="0.2">
      <c r="A381" s="18" t="s">
        <v>393</v>
      </c>
      <c r="B381" s="22">
        <v>911</v>
      </c>
      <c r="C381" s="19" t="s">
        <v>49</v>
      </c>
      <c r="D381" s="19" t="s">
        <v>14</v>
      </c>
      <c r="E381" s="19" t="s">
        <v>118</v>
      </c>
      <c r="F381" s="19"/>
      <c r="G381" s="20">
        <f>G382</f>
        <v>325.89999999999998</v>
      </c>
      <c r="H381" s="20">
        <f>H382</f>
        <v>325.89999999999998</v>
      </c>
      <c r="I381" s="20">
        <f>I382</f>
        <v>325.89999999999998</v>
      </c>
      <c r="J381" s="103"/>
      <c r="K381" s="103"/>
      <c r="L381" s="103"/>
      <c r="M381" s="103"/>
      <c r="N381" s="103"/>
      <c r="O381" s="103"/>
      <c r="P381" s="103"/>
      <c r="Q381" s="103"/>
    </row>
    <row r="382" spans="1:17" s="26" customFormat="1" x14ac:dyDescent="0.2">
      <c r="A382" s="28" t="s">
        <v>67</v>
      </c>
      <c r="B382" s="31">
        <v>911</v>
      </c>
      <c r="C382" s="24" t="s">
        <v>49</v>
      </c>
      <c r="D382" s="24" t="s">
        <v>14</v>
      </c>
      <c r="E382" s="24" t="s">
        <v>118</v>
      </c>
      <c r="F382" s="24" t="s">
        <v>68</v>
      </c>
      <c r="G382" s="25">
        <f>326-0.1</f>
        <v>325.89999999999998</v>
      </c>
      <c r="H382" s="25">
        <f>326-0.1</f>
        <v>325.89999999999998</v>
      </c>
      <c r="I382" s="25">
        <v>325.89999999999998</v>
      </c>
      <c r="J382" s="104"/>
      <c r="K382" s="104"/>
      <c r="L382" s="104"/>
      <c r="M382" s="104"/>
      <c r="N382" s="104"/>
      <c r="O382" s="104"/>
      <c r="P382" s="104"/>
      <c r="Q382" s="104"/>
    </row>
    <row r="383" spans="1:17" s="21" customFormat="1" ht="51" x14ac:dyDescent="0.2">
      <c r="A383" s="18" t="s">
        <v>235</v>
      </c>
      <c r="B383" s="22">
        <v>911</v>
      </c>
      <c r="C383" s="19" t="s">
        <v>49</v>
      </c>
      <c r="D383" s="19" t="s">
        <v>14</v>
      </c>
      <c r="E383" s="19" t="s">
        <v>677</v>
      </c>
      <c r="F383" s="19"/>
      <c r="G383" s="20">
        <f>G384</f>
        <v>6860.5</v>
      </c>
      <c r="H383" s="20">
        <f>H384</f>
        <v>6860.5</v>
      </c>
      <c r="I383" s="20">
        <f>I384</f>
        <v>6860.5</v>
      </c>
    </row>
    <row r="384" spans="1:17" s="26" customFormat="1" ht="25.5" x14ac:dyDescent="0.2">
      <c r="A384" s="28" t="s">
        <v>130</v>
      </c>
      <c r="B384" s="31">
        <v>911</v>
      </c>
      <c r="C384" s="24" t="s">
        <v>49</v>
      </c>
      <c r="D384" s="24" t="s">
        <v>14</v>
      </c>
      <c r="E384" s="24" t="s">
        <v>677</v>
      </c>
      <c r="F384" s="24" t="s">
        <v>63</v>
      </c>
      <c r="G384" s="25">
        <v>6860.5</v>
      </c>
      <c r="H384" s="25">
        <v>6860.5</v>
      </c>
      <c r="I384" s="25">
        <v>6860.5</v>
      </c>
    </row>
    <row r="385" spans="1:24" s="68" customFormat="1" x14ac:dyDescent="0.2">
      <c r="A385" s="64" t="s">
        <v>54</v>
      </c>
      <c r="B385" s="65">
        <v>911</v>
      </c>
      <c r="C385" s="66" t="s">
        <v>49</v>
      </c>
      <c r="D385" s="66" t="s">
        <v>16</v>
      </c>
      <c r="E385" s="66"/>
      <c r="F385" s="66"/>
      <c r="G385" s="67">
        <f>G386+G388+G394+G398+G400+G392+G396</f>
        <v>47702.5</v>
      </c>
      <c r="H385" s="67">
        <f t="shared" ref="H385:I385" si="84">H386+H388+H394+H398+H400+H392+H396</f>
        <v>47807.5</v>
      </c>
      <c r="I385" s="67">
        <f t="shared" si="84"/>
        <v>47827.5</v>
      </c>
    </row>
    <row r="386" spans="1:24" s="21" customFormat="1" ht="38.25" x14ac:dyDescent="0.2">
      <c r="A386" s="18" t="s">
        <v>236</v>
      </c>
      <c r="B386" s="22">
        <v>911</v>
      </c>
      <c r="C386" s="19" t="s">
        <v>49</v>
      </c>
      <c r="D386" s="19" t="s">
        <v>16</v>
      </c>
      <c r="E386" s="19" t="s">
        <v>121</v>
      </c>
      <c r="F386" s="19"/>
      <c r="G386" s="20">
        <f>G387</f>
        <v>1200</v>
      </c>
      <c r="H386" s="20">
        <f>H387</f>
        <v>1310</v>
      </c>
      <c r="I386" s="20">
        <f>I387</f>
        <v>1330</v>
      </c>
    </row>
    <row r="387" spans="1:24" s="26" customFormat="1" x14ac:dyDescent="0.2">
      <c r="A387" s="28" t="s">
        <v>67</v>
      </c>
      <c r="B387" s="31">
        <v>911</v>
      </c>
      <c r="C387" s="24" t="s">
        <v>49</v>
      </c>
      <c r="D387" s="24" t="s">
        <v>16</v>
      </c>
      <c r="E387" s="24" t="s">
        <v>121</v>
      </c>
      <c r="F387" s="24" t="s">
        <v>68</v>
      </c>
      <c r="G387" s="25">
        <v>1200</v>
      </c>
      <c r="H387" s="25">
        <v>1310</v>
      </c>
      <c r="I387" s="25">
        <v>1330</v>
      </c>
    </row>
    <row r="388" spans="1:24" ht="38.25" customHeight="1" x14ac:dyDescent="0.2">
      <c r="A388" s="18" t="s">
        <v>237</v>
      </c>
      <c r="B388" s="22">
        <v>911</v>
      </c>
      <c r="C388" s="19" t="s">
        <v>49</v>
      </c>
      <c r="D388" s="19" t="s">
        <v>16</v>
      </c>
      <c r="E388" s="19" t="s">
        <v>119</v>
      </c>
      <c r="F388" s="19"/>
      <c r="G388" s="20">
        <f>G390+G391+G389</f>
        <v>2260.1</v>
      </c>
      <c r="H388" s="20">
        <f>H390+H391+H389</f>
        <v>2260.1000000000004</v>
      </c>
      <c r="I388" s="20">
        <f>I390+I391+I389</f>
        <v>2260.1000000000004</v>
      </c>
      <c r="J388" s="103"/>
      <c r="K388" s="103"/>
      <c r="L388" s="103"/>
      <c r="M388" s="103"/>
      <c r="N388" s="103"/>
      <c r="O388" s="103"/>
      <c r="P388" s="103"/>
      <c r="Q388" s="103"/>
    </row>
    <row r="389" spans="1:24" s="104" customFormat="1" ht="25.5" x14ac:dyDescent="0.2">
      <c r="A389" s="247" t="s">
        <v>74</v>
      </c>
      <c r="B389" s="249">
        <v>911</v>
      </c>
      <c r="C389" s="244" t="s">
        <v>49</v>
      </c>
      <c r="D389" s="244" t="s">
        <v>16</v>
      </c>
      <c r="E389" s="244" t="s">
        <v>119</v>
      </c>
      <c r="F389" s="250" t="s">
        <v>66</v>
      </c>
      <c r="G389" s="192">
        <f>1.8+15.66492</f>
        <v>17.464919999999999</v>
      </c>
      <c r="H389" s="192">
        <v>1.8</v>
      </c>
      <c r="I389" s="192">
        <v>1.8</v>
      </c>
    </row>
    <row r="390" spans="1:24" s="104" customFormat="1" x14ac:dyDescent="0.2">
      <c r="A390" s="242" t="s">
        <v>67</v>
      </c>
      <c r="B390" s="243">
        <v>911</v>
      </c>
      <c r="C390" s="244" t="s">
        <v>49</v>
      </c>
      <c r="D390" s="244" t="s">
        <v>16</v>
      </c>
      <c r="E390" s="244" t="s">
        <v>119</v>
      </c>
      <c r="F390" s="245">
        <v>300</v>
      </c>
      <c r="G390" s="192">
        <f>360+1434.22235</f>
        <v>1794.22235</v>
      </c>
      <c r="H390" s="192">
        <v>360</v>
      </c>
      <c r="I390" s="192">
        <v>360</v>
      </c>
    </row>
    <row r="391" spans="1:24" s="104" customFormat="1" ht="25.5" x14ac:dyDescent="0.2">
      <c r="A391" s="247" t="s">
        <v>130</v>
      </c>
      <c r="B391" s="243">
        <v>911</v>
      </c>
      <c r="C391" s="244" t="s">
        <v>49</v>
      </c>
      <c r="D391" s="244" t="s">
        <v>16</v>
      </c>
      <c r="E391" s="244" t="s">
        <v>119</v>
      </c>
      <c r="F391" s="244" t="s">
        <v>63</v>
      </c>
      <c r="G391" s="192">
        <f>1898.3-1449.88727</f>
        <v>448.41273000000001</v>
      </c>
      <c r="H391" s="192">
        <v>1898.3</v>
      </c>
      <c r="I391" s="192">
        <v>1898.3</v>
      </c>
    </row>
    <row r="392" spans="1:24" s="21" customFormat="1" ht="29.25" customHeight="1" x14ac:dyDescent="0.2">
      <c r="A392" s="54" t="s">
        <v>385</v>
      </c>
      <c r="B392" s="22">
        <v>911</v>
      </c>
      <c r="C392" s="19" t="s">
        <v>49</v>
      </c>
      <c r="D392" s="19" t="s">
        <v>16</v>
      </c>
      <c r="E392" s="19" t="s">
        <v>384</v>
      </c>
      <c r="F392" s="19"/>
      <c r="G392" s="20">
        <f>G393</f>
        <v>5</v>
      </c>
      <c r="H392" s="20">
        <f>H393</f>
        <v>0</v>
      </c>
      <c r="I392" s="20">
        <f>I393</f>
        <v>0</v>
      </c>
    </row>
    <row r="393" spans="1:24" s="26" customFormat="1" x14ac:dyDescent="0.2">
      <c r="A393" s="28" t="s">
        <v>67</v>
      </c>
      <c r="B393" s="31">
        <v>911</v>
      </c>
      <c r="C393" s="24" t="s">
        <v>49</v>
      </c>
      <c r="D393" s="24" t="s">
        <v>16</v>
      </c>
      <c r="E393" s="24" t="s">
        <v>384</v>
      </c>
      <c r="F393" s="24" t="s">
        <v>68</v>
      </c>
      <c r="G393" s="25">
        <v>5</v>
      </c>
      <c r="H393" s="25"/>
      <c r="I393" s="25"/>
    </row>
    <row r="394" spans="1:24" ht="112.5" customHeight="1" x14ac:dyDescent="0.2">
      <c r="A394" s="54" t="s">
        <v>388</v>
      </c>
      <c r="B394" s="22">
        <v>911</v>
      </c>
      <c r="C394" s="19" t="s">
        <v>49</v>
      </c>
      <c r="D394" s="19" t="s">
        <v>16</v>
      </c>
      <c r="E394" s="19" t="s">
        <v>120</v>
      </c>
      <c r="F394" s="19"/>
      <c r="G394" s="20">
        <f>G395</f>
        <v>39680</v>
      </c>
      <c r="H394" s="20">
        <f>H395</f>
        <v>39680</v>
      </c>
      <c r="I394" s="20">
        <f>I395</f>
        <v>39680</v>
      </c>
      <c r="J394" s="103"/>
      <c r="K394" s="103"/>
      <c r="L394" s="103"/>
      <c r="M394" s="103"/>
      <c r="N394" s="103"/>
      <c r="O394" s="103"/>
      <c r="P394" s="103"/>
      <c r="Q394" s="103"/>
      <c r="S394" s="262"/>
      <c r="T394" s="262"/>
      <c r="U394" s="262"/>
      <c r="V394" s="262"/>
      <c r="W394" s="262"/>
      <c r="X394" s="262"/>
    </row>
    <row r="395" spans="1:24" s="26" customFormat="1" x14ac:dyDescent="0.2">
      <c r="A395" s="28" t="s">
        <v>67</v>
      </c>
      <c r="B395" s="31">
        <v>911</v>
      </c>
      <c r="C395" s="24" t="s">
        <v>49</v>
      </c>
      <c r="D395" s="24" t="s">
        <v>16</v>
      </c>
      <c r="E395" s="24" t="s">
        <v>120</v>
      </c>
      <c r="F395" s="24" t="s">
        <v>68</v>
      </c>
      <c r="G395" s="25">
        <v>39680</v>
      </c>
      <c r="H395" s="25">
        <v>39680</v>
      </c>
      <c r="I395" s="25">
        <v>39680</v>
      </c>
      <c r="J395" s="104"/>
      <c r="K395" s="104"/>
      <c r="L395" s="104"/>
      <c r="M395" s="104"/>
      <c r="N395" s="104"/>
      <c r="O395" s="104"/>
      <c r="P395" s="104"/>
      <c r="Q395" s="104"/>
    </row>
    <row r="396" spans="1:24" ht="99" customHeight="1" x14ac:dyDescent="0.2">
      <c r="A396" s="54" t="s">
        <v>763</v>
      </c>
      <c r="B396" s="22">
        <v>911</v>
      </c>
      <c r="C396" s="19" t="s">
        <v>49</v>
      </c>
      <c r="D396" s="19" t="s">
        <v>16</v>
      </c>
      <c r="E396" s="19" t="s">
        <v>386</v>
      </c>
      <c r="F396" s="19"/>
      <c r="G396" s="20">
        <f>G397</f>
        <v>250</v>
      </c>
      <c r="H396" s="20">
        <f>H397</f>
        <v>250</v>
      </c>
      <c r="I396" s="20">
        <f>I397</f>
        <v>250</v>
      </c>
      <c r="J396" s="103"/>
      <c r="K396" s="103"/>
      <c r="L396" s="103"/>
      <c r="M396" s="103"/>
      <c r="N396" s="103"/>
      <c r="O396" s="103"/>
      <c r="P396" s="103"/>
      <c r="Q396" s="103"/>
    </row>
    <row r="397" spans="1:24" s="26" customFormat="1" x14ac:dyDescent="0.2">
      <c r="A397" s="28" t="s">
        <v>67</v>
      </c>
      <c r="B397" s="31">
        <v>911</v>
      </c>
      <c r="C397" s="24" t="s">
        <v>49</v>
      </c>
      <c r="D397" s="24" t="s">
        <v>16</v>
      </c>
      <c r="E397" s="24" t="s">
        <v>386</v>
      </c>
      <c r="F397" s="24" t="s">
        <v>68</v>
      </c>
      <c r="G397" s="25">
        <v>250</v>
      </c>
      <c r="H397" s="25">
        <v>250</v>
      </c>
      <c r="I397" s="25">
        <v>250</v>
      </c>
      <c r="J397" s="104"/>
      <c r="K397" s="104"/>
      <c r="L397" s="104"/>
      <c r="M397" s="104"/>
      <c r="N397" s="104"/>
      <c r="O397" s="104"/>
      <c r="P397" s="104"/>
      <c r="Q397" s="104"/>
    </row>
    <row r="398" spans="1:24" s="21" customFormat="1" ht="38.25" x14ac:dyDescent="0.2">
      <c r="A398" s="18" t="s">
        <v>371</v>
      </c>
      <c r="B398" s="22">
        <v>911</v>
      </c>
      <c r="C398" s="19" t="s">
        <v>49</v>
      </c>
      <c r="D398" s="19" t="s">
        <v>16</v>
      </c>
      <c r="E398" s="19" t="s">
        <v>372</v>
      </c>
      <c r="F398" s="19"/>
      <c r="G398" s="20">
        <f>G399</f>
        <v>2957.1</v>
      </c>
      <c r="H398" s="20">
        <f>H399</f>
        <v>2957.1</v>
      </c>
      <c r="I398" s="20">
        <f>I399</f>
        <v>2957.1</v>
      </c>
    </row>
    <row r="399" spans="1:24" s="26" customFormat="1" ht="25.5" x14ac:dyDescent="0.2">
      <c r="A399" s="81" t="s">
        <v>130</v>
      </c>
      <c r="B399" s="31">
        <v>911</v>
      </c>
      <c r="C399" s="24" t="s">
        <v>49</v>
      </c>
      <c r="D399" s="24" t="s">
        <v>16</v>
      </c>
      <c r="E399" s="24" t="s">
        <v>372</v>
      </c>
      <c r="F399" s="24" t="s">
        <v>63</v>
      </c>
      <c r="G399" s="25">
        <v>2957.1</v>
      </c>
      <c r="H399" s="25">
        <v>2957.1</v>
      </c>
      <c r="I399" s="25">
        <v>2957.1</v>
      </c>
    </row>
    <row r="400" spans="1:24" s="21" customFormat="1" ht="38.25" x14ac:dyDescent="0.2">
      <c r="A400" s="18" t="s">
        <v>370</v>
      </c>
      <c r="B400" s="22">
        <v>911</v>
      </c>
      <c r="C400" s="19" t="s">
        <v>49</v>
      </c>
      <c r="D400" s="19" t="s">
        <v>16</v>
      </c>
      <c r="E400" s="19" t="s">
        <v>369</v>
      </c>
      <c r="F400" s="19"/>
      <c r="G400" s="20">
        <f>G402+G401</f>
        <v>1350.3</v>
      </c>
      <c r="H400" s="20">
        <f t="shared" ref="H400:I400" si="85">H402+H401</f>
        <v>1350.3</v>
      </c>
      <c r="I400" s="20">
        <f t="shared" si="85"/>
        <v>1350.3</v>
      </c>
    </row>
    <row r="401" spans="1:22" s="26" customFormat="1" ht="25.5" x14ac:dyDescent="0.2">
      <c r="A401" s="81" t="s">
        <v>74</v>
      </c>
      <c r="B401" s="31">
        <v>911</v>
      </c>
      <c r="C401" s="24" t="s">
        <v>49</v>
      </c>
      <c r="D401" s="24" t="s">
        <v>16</v>
      </c>
      <c r="E401" s="24" t="s">
        <v>369</v>
      </c>
      <c r="F401" s="24" t="s">
        <v>66</v>
      </c>
      <c r="G401" s="25">
        <v>393.2</v>
      </c>
      <c r="H401" s="25">
        <v>393.2</v>
      </c>
      <c r="I401" s="25">
        <v>393.2</v>
      </c>
    </row>
    <row r="402" spans="1:22" s="26" customFormat="1" ht="25.5" x14ac:dyDescent="0.2">
      <c r="A402" s="81" t="s">
        <v>130</v>
      </c>
      <c r="B402" s="31">
        <v>911</v>
      </c>
      <c r="C402" s="24" t="s">
        <v>49</v>
      </c>
      <c r="D402" s="24" t="s">
        <v>16</v>
      </c>
      <c r="E402" s="24" t="s">
        <v>369</v>
      </c>
      <c r="F402" s="24" t="s">
        <v>63</v>
      </c>
      <c r="G402" s="25">
        <v>957.1</v>
      </c>
      <c r="H402" s="25">
        <v>957.1</v>
      </c>
      <c r="I402" s="25">
        <v>957.1</v>
      </c>
    </row>
    <row r="403" spans="1:22" s="26" customFormat="1" x14ac:dyDescent="0.2">
      <c r="A403" s="11" t="s">
        <v>55</v>
      </c>
      <c r="B403" s="14">
        <v>911</v>
      </c>
      <c r="C403" s="8" t="s">
        <v>49</v>
      </c>
      <c r="D403" s="8" t="s">
        <v>48</v>
      </c>
      <c r="E403" s="8"/>
      <c r="F403" s="24"/>
      <c r="G403" s="25">
        <f>G404</f>
        <v>0</v>
      </c>
      <c r="H403" s="25">
        <f t="shared" ref="H403:I404" si="86">H404</f>
        <v>0</v>
      </c>
      <c r="I403" s="25">
        <f t="shared" si="86"/>
        <v>0</v>
      </c>
      <c r="J403" s="104"/>
      <c r="K403" s="104"/>
      <c r="L403" s="104"/>
      <c r="M403" s="104"/>
      <c r="N403" s="104"/>
      <c r="O403" s="104"/>
      <c r="P403" s="104"/>
      <c r="Q403" s="104"/>
    </row>
    <row r="404" spans="1:22" s="26" customFormat="1" x14ac:dyDescent="0.2">
      <c r="A404" s="18" t="s">
        <v>294</v>
      </c>
      <c r="B404" s="22">
        <v>911</v>
      </c>
      <c r="C404" s="19" t="s">
        <v>49</v>
      </c>
      <c r="D404" s="19" t="s">
        <v>48</v>
      </c>
      <c r="E404" s="19" t="s">
        <v>295</v>
      </c>
      <c r="F404" s="24"/>
      <c r="G404" s="25">
        <f>G405</f>
        <v>0</v>
      </c>
      <c r="H404" s="25">
        <f t="shared" si="86"/>
        <v>0</v>
      </c>
      <c r="I404" s="25">
        <f t="shared" si="86"/>
        <v>0</v>
      </c>
      <c r="J404" s="104"/>
      <c r="K404" s="104"/>
      <c r="L404" s="104"/>
      <c r="M404" s="104"/>
      <c r="N404" s="104"/>
      <c r="O404" s="104"/>
      <c r="P404" s="104"/>
      <c r="Q404" s="104"/>
    </row>
    <row r="405" spans="1:22" s="26" customFormat="1" ht="25.5" x14ac:dyDescent="0.2">
      <c r="A405" s="28" t="s">
        <v>130</v>
      </c>
      <c r="B405" s="31">
        <v>911</v>
      </c>
      <c r="C405" s="24" t="s">
        <v>49</v>
      </c>
      <c r="D405" s="24" t="s">
        <v>48</v>
      </c>
      <c r="E405" s="24" t="s">
        <v>295</v>
      </c>
      <c r="F405" s="24" t="s">
        <v>63</v>
      </c>
      <c r="G405" s="25"/>
      <c r="H405" s="25"/>
      <c r="I405" s="25"/>
      <c r="J405" s="104"/>
      <c r="K405" s="104"/>
      <c r="L405" s="104"/>
      <c r="M405" s="104"/>
      <c r="N405" s="104"/>
      <c r="O405" s="104"/>
      <c r="P405" s="104"/>
      <c r="Q405" s="104"/>
    </row>
    <row r="406" spans="1:22" s="78" customFormat="1" x14ac:dyDescent="0.2">
      <c r="A406" s="89" t="s">
        <v>590</v>
      </c>
      <c r="B406" s="58">
        <v>911</v>
      </c>
      <c r="C406" s="59" t="s">
        <v>19</v>
      </c>
      <c r="D406" s="59"/>
      <c r="E406" s="59"/>
      <c r="F406" s="59"/>
      <c r="G406" s="56">
        <f>G407</f>
        <v>15640.6</v>
      </c>
      <c r="H406" s="56">
        <f t="shared" ref="H406:I407" si="87">H407</f>
        <v>13367.8</v>
      </c>
      <c r="I406" s="56">
        <f t="shared" si="87"/>
        <v>13367.8</v>
      </c>
      <c r="J406" s="104"/>
      <c r="K406" s="104"/>
      <c r="L406" s="104"/>
      <c r="M406" s="104"/>
      <c r="N406" s="104"/>
      <c r="O406" s="104"/>
      <c r="P406" s="104"/>
      <c r="Q406" s="104"/>
    </row>
    <row r="407" spans="1:22" s="78" customFormat="1" x14ac:dyDescent="0.2">
      <c r="A407" s="64" t="s">
        <v>0</v>
      </c>
      <c r="B407" s="65">
        <v>911</v>
      </c>
      <c r="C407" s="66" t="s">
        <v>19</v>
      </c>
      <c r="D407" s="66" t="s">
        <v>10</v>
      </c>
      <c r="E407" s="66"/>
      <c r="F407" s="66"/>
      <c r="G407" s="56">
        <f>G408</f>
        <v>15640.6</v>
      </c>
      <c r="H407" s="56">
        <f t="shared" si="87"/>
        <v>13367.8</v>
      </c>
      <c r="I407" s="56">
        <f t="shared" si="87"/>
        <v>13367.8</v>
      </c>
      <c r="J407" s="104"/>
      <c r="K407" s="104"/>
      <c r="L407" s="104"/>
      <c r="M407" s="104"/>
      <c r="N407" s="104"/>
      <c r="O407" s="104"/>
      <c r="P407" s="104"/>
      <c r="Q407" s="104"/>
    </row>
    <row r="408" spans="1:22" s="73" customFormat="1" ht="25.5" x14ac:dyDescent="0.2">
      <c r="A408" s="69" t="s">
        <v>323</v>
      </c>
      <c r="B408" s="70">
        <v>911</v>
      </c>
      <c r="C408" s="71" t="s">
        <v>19</v>
      </c>
      <c r="D408" s="71" t="s">
        <v>10</v>
      </c>
      <c r="E408" s="71" t="s">
        <v>647</v>
      </c>
      <c r="F408" s="71"/>
      <c r="G408" s="72">
        <f>G409</f>
        <v>15640.6</v>
      </c>
      <c r="H408" s="72">
        <f>H409</f>
        <v>13367.8</v>
      </c>
      <c r="I408" s="72">
        <f>I409</f>
        <v>13367.8</v>
      </c>
      <c r="J408" s="103"/>
      <c r="K408" s="103"/>
      <c r="L408" s="103"/>
      <c r="M408" s="103"/>
      <c r="N408" s="103"/>
      <c r="O408" s="103"/>
      <c r="P408" s="103"/>
      <c r="Q408" s="103"/>
    </row>
    <row r="409" spans="1:22" s="78" customFormat="1" ht="25.5" x14ac:dyDescent="0.2">
      <c r="A409" s="81" t="s">
        <v>130</v>
      </c>
      <c r="B409" s="75">
        <v>911</v>
      </c>
      <c r="C409" s="76" t="s">
        <v>19</v>
      </c>
      <c r="D409" s="76" t="s">
        <v>10</v>
      </c>
      <c r="E409" s="76" t="s">
        <v>647</v>
      </c>
      <c r="F409" s="77" t="s">
        <v>63</v>
      </c>
      <c r="G409" s="56">
        <v>15640.6</v>
      </c>
      <c r="H409" s="56">
        <v>13367.8</v>
      </c>
      <c r="I409" s="56">
        <v>13367.8</v>
      </c>
      <c r="J409" s="104"/>
      <c r="K409" s="104"/>
      <c r="L409" s="104"/>
      <c r="M409" s="104"/>
      <c r="N409" s="104"/>
      <c r="O409" s="104"/>
      <c r="P409" s="104"/>
      <c r="Q409" s="104"/>
    </row>
    <row r="410" spans="1:22" s="9" customFormat="1" ht="30.75" customHeight="1" x14ac:dyDescent="0.2">
      <c r="A410" s="39" t="s">
        <v>5</v>
      </c>
      <c r="B410" s="36">
        <v>913</v>
      </c>
      <c r="C410" s="40"/>
      <c r="D410" s="40"/>
      <c r="E410" s="40"/>
      <c r="F410" s="40"/>
      <c r="G410" s="38">
        <f>G425+G439+G468+G411</f>
        <v>145018.9</v>
      </c>
      <c r="H410" s="38">
        <f t="shared" ref="H410:Q410" si="88">H425+H439+H468+H411</f>
        <v>148552</v>
      </c>
      <c r="I410" s="38">
        <f t="shared" si="88"/>
        <v>146298.9</v>
      </c>
      <c r="J410" s="38">
        <f t="shared" si="88"/>
        <v>0</v>
      </c>
      <c r="K410" s="38">
        <f t="shared" si="88"/>
        <v>0</v>
      </c>
      <c r="L410" s="38">
        <f t="shared" si="88"/>
        <v>0</v>
      </c>
      <c r="M410" s="38">
        <f t="shared" si="88"/>
        <v>0</v>
      </c>
      <c r="N410" s="38">
        <f t="shared" si="88"/>
        <v>0</v>
      </c>
      <c r="O410" s="38">
        <f t="shared" si="88"/>
        <v>0</v>
      </c>
      <c r="P410" s="38">
        <f t="shared" si="88"/>
        <v>0</v>
      </c>
      <c r="Q410" s="38">
        <f t="shared" si="88"/>
        <v>0</v>
      </c>
      <c r="S410" s="233"/>
      <c r="V410" s="233"/>
    </row>
    <row r="411" spans="1:22" s="3" customFormat="1" x14ac:dyDescent="0.2">
      <c r="A411" s="13" t="s">
        <v>25</v>
      </c>
      <c r="B411" s="41">
        <v>913</v>
      </c>
      <c r="C411" s="1" t="s">
        <v>16</v>
      </c>
      <c r="D411" s="1"/>
      <c r="E411" s="1"/>
      <c r="F411" s="1"/>
      <c r="G411" s="2">
        <f>G412</f>
        <v>250</v>
      </c>
      <c r="H411" s="2">
        <f>H412</f>
        <v>0</v>
      </c>
      <c r="I411" s="2">
        <f>I412</f>
        <v>0</v>
      </c>
      <c r="J411" s="108"/>
      <c r="K411" s="108"/>
      <c r="L411" s="108"/>
      <c r="M411" s="108"/>
      <c r="N411" s="108"/>
      <c r="O411" s="108"/>
      <c r="P411" s="108"/>
      <c r="Q411" s="108"/>
    </row>
    <row r="412" spans="1:22" s="68" customFormat="1" x14ac:dyDescent="0.2">
      <c r="A412" s="64" t="s">
        <v>27</v>
      </c>
      <c r="B412" s="65">
        <v>913</v>
      </c>
      <c r="C412" s="66" t="s">
        <v>16</v>
      </c>
      <c r="D412" s="66" t="s">
        <v>21</v>
      </c>
      <c r="E412" s="66"/>
      <c r="F412" s="66"/>
      <c r="G412" s="67">
        <f>G413+G415+G417+G419+G421+G423</f>
        <v>250</v>
      </c>
      <c r="H412" s="67">
        <f t="shared" ref="H412:I412" si="89">H413+H415+H417+H419+H421+H423</f>
        <v>0</v>
      </c>
      <c r="I412" s="67">
        <f t="shared" si="89"/>
        <v>0</v>
      </c>
    </row>
    <row r="413" spans="1:22" ht="30.75" customHeight="1" x14ac:dyDescent="0.2">
      <c r="A413" s="18" t="s">
        <v>702</v>
      </c>
      <c r="B413" s="22">
        <v>913</v>
      </c>
      <c r="C413" s="19" t="s">
        <v>16</v>
      </c>
      <c r="D413" s="19" t="s">
        <v>21</v>
      </c>
      <c r="E413" s="19" t="s">
        <v>701</v>
      </c>
      <c r="F413" s="19"/>
      <c r="G413" s="20">
        <f>G414</f>
        <v>10</v>
      </c>
      <c r="H413" s="20">
        <f t="shared" ref="H413:I413" si="90">H414</f>
        <v>0</v>
      </c>
      <c r="I413" s="20">
        <f t="shared" si="90"/>
        <v>0</v>
      </c>
      <c r="J413" s="197"/>
      <c r="K413" s="197"/>
      <c r="L413" s="197"/>
      <c r="M413" s="197"/>
      <c r="N413" s="197"/>
      <c r="O413" s="197"/>
      <c r="P413" s="197"/>
      <c r="Q413" s="197"/>
    </row>
    <row r="414" spans="1:22" s="26" customFormat="1" ht="30.75" customHeight="1" x14ac:dyDescent="0.2">
      <c r="A414" s="28" t="s">
        <v>130</v>
      </c>
      <c r="B414" s="31">
        <v>913</v>
      </c>
      <c r="C414" s="24" t="s">
        <v>16</v>
      </c>
      <c r="D414" s="24" t="s">
        <v>21</v>
      </c>
      <c r="E414" s="24" t="s">
        <v>701</v>
      </c>
      <c r="F414" s="24" t="s">
        <v>63</v>
      </c>
      <c r="G414" s="25">
        <v>10</v>
      </c>
      <c r="H414" s="25">
        <v>0</v>
      </c>
      <c r="I414" s="25">
        <v>0</v>
      </c>
    </row>
    <row r="415" spans="1:22" ht="30.75" customHeight="1" x14ac:dyDescent="0.2">
      <c r="A415" s="18" t="s">
        <v>705</v>
      </c>
      <c r="B415" s="22">
        <v>913</v>
      </c>
      <c r="C415" s="19" t="s">
        <v>16</v>
      </c>
      <c r="D415" s="19" t="s">
        <v>21</v>
      </c>
      <c r="E415" s="19" t="s">
        <v>703</v>
      </c>
      <c r="F415" s="19"/>
      <c r="G415" s="20">
        <f>G416</f>
        <v>10</v>
      </c>
      <c r="H415" s="20">
        <f t="shared" ref="H415" si="91">H416</f>
        <v>0</v>
      </c>
      <c r="I415" s="20">
        <f t="shared" ref="I415" si="92">I416</f>
        <v>0</v>
      </c>
      <c r="J415" s="197"/>
      <c r="K415" s="197"/>
      <c r="L415" s="197"/>
      <c r="M415" s="197"/>
      <c r="N415" s="197"/>
      <c r="O415" s="197"/>
      <c r="P415" s="197"/>
      <c r="Q415" s="197"/>
    </row>
    <row r="416" spans="1:22" s="26" customFormat="1" ht="30.75" customHeight="1" x14ac:dyDescent="0.2">
      <c r="A416" s="28" t="s">
        <v>130</v>
      </c>
      <c r="B416" s="31">
        <v>913</v>
      </c>
      <c r="C416" s="24" t="s">
        <v>16</v>
      </c>
      <c r="D416" s="24" t="s">
        <v>21</v>
      </c>
      <c r="E416" s="24" t="s">
        <v>704</v>
      </c>
      <c r="F416" s="24" t="s">
        <v>63</v>
      </c>
      <c r="G416" s="25">
        <v>10</v>
      </c>
      <c r="H416" s="25">
        <v>0</v>
      </c>
      <c r="I416" s="25">
        <v>0</v>
      </c>
    </row>
    <row r="417" spans="1:17" ht="30.75" customHeight="1" x14ac:dyDescent="0.2">
      <c r="A417" s="18" t="s">
        <v>707</v>
      </c>
      <c r="B417" s="22">
        <v>913</v>
      </c>
      <c r="C417" s="19" t="s">
        <v>16</v>
      </c>
      <c r="D417" s="19" t="s">
        <v>21</v>
      </c>
      <c r="E417" s="19" t="s">
        <v>706</v>
      </c>
      <c r="F417" s="19"/>
      <c r="G417" s="20">
        <f>G418</f>
        <v>110</v>
      </c>
      <c r="H417" s="20">
        <f t="shared" ref="H417" si="93">H418</f>
        <v>0</v>
      </c>
      <c r="I417" s="20">
        <f t="shared" ref="I417" si="94">I418</f>
        <v>0</v>
      </c>
      <c r="J417" s="197"/>
      <c r="K417" s="197"/>
      <c r="L417" s="197"/>
      <c r="M417" s="197"/>
      <c r="N417" s="197"/>
      <c r="O417" s="197"/>
      <c r="P417" s="197"/>
      <c r="Q417" s="197"/>
    </row>
    <row r="418" spans="1:17" s="26" customFormat="1" ht="30.75" customHeight="1" x14ac:dyDescent="0.2">
      <c r="A418" s="28" t="s">
        <v>130</v>
      </c>
      <c r="B418" s="31">
        <v>913</v>
      </c>
      <c r="C418" s="24" t="s">
        <v>16</v>
      </c>
      <c r="D418" s="24" t="s">
        <v>21</v>
      </c>
      <c r="E418" s="24" t="s">
        <v>706</v>
      </c>
      <c r="F418" s="24" t="s">
        <v>63</v>
      </c>
      <c r="G418" s="25">
        <v>110</v>
      </c>
      <c r="H418" s="25">
        <v>0</v>
      </c>
      <c r="I418" s="25">
        <v>0</v>
      </c>
    </row>
    <row r="419" spans="1:17" ht="30.75" customHeight="1" x14ac:dyDescent="0.2">
      <c r="A419" s="18" t="s">
        <v>709</v>
      </c>
      <c r="B419" s="22">
        <v>913</v>
      </c>
      <c r="C419" s="19" t="s">
        <v>16</v>
      </c>
      <c r="D419" s="19" t="s">
        <v>21</v>
      </c>
      <c r="E419" s="19" t="s">
        <v>708</v>
      </c>
      <c r="F419" s="19"/>
      <c r="G419" s="20">
        <f>G420</f>
        <v>106</v>
      </c>
      <c r="H419" s="20">
        <f t="shared" ref="H419" si="95">H420</f>
        <v>0</v>
      </c>
      <c r="I419" s="20">
        <f t="shared" ref="I419" si="96">I420</f>
        <v>0</v>
      </c>
      <c r="J419" s="197"/>
      <c r="K419" s="197"/>
      <c r="L419" s="197"/>
      <c r="M419" s="197"/>
      <c r="N419" s="197"/>
      <c r="O419" s="197"/>
      <c r="P419" s="197"/>
      <c r="Q419" s="197"/>
    </row>
    <row r="420" spans="1:17" s="26" customFormat="1" ht="30.75" customHeight="1" x14ac:dyDescent="0.2">
      <c r="A420" s="28" t="s">
        <v>130</v>
      </c>
      <c r="B420" s="31">
        <v>913</v>
      </c>
      <c r="C420" s="24" t="s">
        <v>16</v>
      </c>
      <c r="D420" s="24" t="s">
        <v>21</v>
      </c>
      <c r="E420" s="24" t="s">
        <v>708</v>
      </c>
      <c r="F420" s="24" t="s">
        <v>63</v>
      </c>
      <c r="G420" s="25">
        <v>106</v>
      </c>
      <c r="H420" s="25">
        <v>0</v>
      </c>
      <c r="I420" s="25">
        <v>0</v>
      </c>
    </row>
    <row r="421" spans="1:17" ht="30.75" customHeight="1" x14ac:dyDescent="0.2">
      <c r="A421" s="18" t="s">
        <v>710</v>
      </c>
      <c r="B421" s="22">
        <v>913</v>
      </c>
      <c r="C421" s="19" t="s">
        <v>16</v>
      </c>
      <c r="D421" s="19" t="s">
        <v>21</v>
      </c>
      <c r="E421" s="19" t="s">
        <v>711</v>
      </c>
      <c r="F421" s="19"/>
      <c r="G421" s="20">
        <f>G422</f>
        <v>4</v>
      </c>
      <c r="H421" s="20">
        <f t="shared" ref="H421" si="97">H422</f>
        <v>0</v>
      </c>
      <c r="I421" s="20">
        <f t="shared" ref="I421" si="98">I422</f>
        <v>0</v>
      </c>
      <c r="J421" s="197"/>
      <c r="K421" s="197"/>
      <c r="L421" s="197"/>
      <c r="M421" s="197"/>
      <c r="N421" s="197"/>
      <c r="O421" s="197"/>
      <c r="P421" s="197"/>
      <c r="Q421" s="197"/>
    </row>
    <row r="422" spans="1:17" s="26" customFormat="1" ht="30.75" customHeight="1" x14ac:dyDescent="0.2">
      <c r="A422" s="28" t="s">
        <v>130</v>
      </c>
      <c r="B422" s="31">
        <v>913</v>
      </c>
      <c r="C422" s="24" t="s">
        <v>16</v>
      </c>
      <c r="D422" s="24" t="s">
        <v>21</v>
      </c>
      <c r="E422" s="24" t="s">
        <v>711</v>
      </c>
      <c r="F422" s="24" t="s">
        <v>63</v>
      </c>
      <c r="G422" s="25">
        <v>4</v>
      </c>
      <c r="H422" s="25">
        <v>0</v>
      </c>
      <c r="I422" s="25">
        <v>0</v>
      </c>
    </row>
    <row r="423" spans="1:17" ht="30.75" customHeight="1" x14ac:dyDescent="0.2">
      <c r="A423" s="18" t="s">
        <v>713</v>
      </c>
      <c r="B423" s="22">
        <v>913</v>
      </c>
      <c r="C423" s="19" t="s">
        <v>16</v>
      </c>
      <c r="D423" s="19" t="s">
        <v>21</v>
      </c>
      <c r="E423" s="19" t="s">
        <v>712</v>
      </c>
      <c r="F423" s="19"/>
      <c r="G423" s="20">
        <f>G424</f>
        <v>10</v>
      </c>
      <c r="H423" s="20">
        <f t="shared" ref="H423" si="99">H424</f>
        <v>0</v>
      </c>
      <c r="I423" s="20">
        <f t="shared" ref="I423" si="100">I424</f>
        <v>0</v>
      </c>
      <c r="J423" s="197"/>
      <c r="K423" s="197"/>
      <c r="L423" s="197"/>
      <c r="M423" s="197"/>
      <c r="N423" s="197"/>
      <c r="O423" s="197"/>
      <c r="P423" s="197"/>
      <c r="Q423" s="197"/>
    </row>
    <row r="424" spans="1:17" s="26" customFormat="1" ht="30.75" customHeight="1" x14ac:dyDescent="0.2">
      <c r="A424" s="28" t="s">
        <v>130</v>
      </c>
      <c r="B424" s="31">
        <v>913</v>
      </c>
      <c r="C424" s="24" t="s">
        <v>16</v>
      </c>
      <c r="D424" s="24" t="s">
        <v>21</v>
      </c>
      <c r="E424" s="24" t="s">
        <v>712</v>
      </c>
      <c r="F424" s="24" t="s">
        <v>63</v>
      </c>
      <c r="G424" s="25">
        <v>10</v>
      </c>
      <c r="H424" s="25">
        <v>0</v>
      </c>
      <c r="I424" s="25">
        <v>0</v>
      </c>
    </row>
    <row r="425" spans="1:17" s="90" customFormat="1" x14ac:dyDescent="0.2">
      <c r="A425" s="89" t="s">
        <v>35</v>
      </c>
      <c r="B425" s="58">
        <v>913</v>
      </c>
      <c r="C425" s="59" t="s">
        <v>17</v>
      </c>
      <c r="D425" s="59"/>
      <c r="E425" s="59"/>
      <c r="F425" s="59"/>
      <c r="G425" s="62">
        <f>G426+G434</f>
        <v>31367.399999999998</v>
      </c>
      <c r="H425" s="62">
        <f>H426+H434</f>
        <v>46667.299999999996</v>
      </c>
      <c r="I425" s="62">
        <f>I426+I434</f>
        <v>46422.400000000001</v>
      </c>
    </row>
    <row r="426" spans="1:17" s="68" customFormat="1" x14ac:dyDescent="0.2">
      <c r="A426" s="64" t="s">
        <v>301</v>
      </c>
      <c r="B426" s="65">
        <v>913</v>
      </c>
      <c r="C426" s="66" t="s">
        <v>17</v>
      </c>
      <c r="D426" s="66" t="s">
        <v>14</v>
      </c>
      <c r="E426" s="66"/>
      <c r="F426" s="66"/>
      <c r="G426" s="67">
        <f>G431+G429+G427</f>
        <v>31310.399999999998</v>
      </c>
      <c r="H426" s="67">
        <f t="shared" ref="H426:I426" si="101">H431+H429+H427</f>
        <v>46613.299999999996</v>
      </c>
      <c r="I426" s="67">
        <f t="shared" si="101"/>
        <v>46368.4</v>
      </c>
    </row>
    <row r="427" spans="1:17" s="12" customFormat="1" ht="25.5" x14ac:dyDescent="0.2">
      <c r="A427" s="17" t="s">
        <v>152</v>
      </c>
      <c r="B427" s="43">
        <v>913</v>
      </c>
      <c r="C427" s="19" t="s">
        <v>17</v>
      </c>
      <c r="D427" s="19" t="s">
        <v>14</v>
      </c>
      <c r="E427" s="19" t="s">
        <v>151</v>
      </c>
      <c r="F427" s="5"/>
      <c r="G427" s="6">
        <f>G428</f>
        <v>348.6</v>
      </c>
      <c r="H427" s="6">
        <f>H428</f>
        <v>110.6</v>
      </c>
      <c r="I427" s="6">
        <f>I428</f>
        <v>110.6</v>
      </c>
      <c r="J427" s="110"/>
      <c r="K427" s="110"/>
      <c r="L427" s="110"/>
      <c r="M427" s="110"/>
      <c r="N427" s="110"/>
      <c r="O427" s="110"/>
      <c r="P427" s="110"/>
      <c r="Q427" s="110"/>
    </row>
    <row r="428" spans="1:17" s="26" customFormat="1" ht="25.5" x14ac:dyDescent="0.2">
      <c r="A428" s="28" t="s">
        <v>130</v>
      </c>
      <c r="B428" s="31">
        <v>913</v>
      </c>
      <c r="C428" s="24" t="s">
        <v>17</v>
      </c>
      <c r="D428" s="24" t="s">
        <v>14</v>
      </c>
      <c r="E428" s="24" t="s">
        <v>151</v>
      </c>
      <c r="F428" s="24" t="s">
        <v>63</v>
      </c>
      <c r="G428" s="25">
        <v>348.6</v>
      </c>
      <c r="H428" s="25">
        <v>110.6</v>
      </c>
      <c r="I428" s="25">
        <v>110.6</v>
      </c>
      <c r="J428" s="104"/>
      <c r="K428" s="104"/>
      <c r="L428" s="104"/>
      <c r="M428" s="104"/>
      <c r="N428" s="104"/>
      <c r="O428" s="104"/>
      <c r="P428" s="104"/>
      <c r="Q428" s="104"/>
    </row>
    <row r="429" spans="1:17" s="21" customFormat="1" x14ac:dyDescent="0.2">
      <c r="A429" s="18" t="s">
        <v>160</v>
      </c>
      <c r="B429" s="22">
        <v>913</v>
      </c>
      <c r="C429" s="19" t="s">
        <v>17</v>
      </c>
      <c r="D429" s="19" t="s">
        <v>14</v>
      </c>
      <c r="E429" s="19" t="s">
        <v>159</v>
      </c>
      <c r="F429" s="19"/>
      <c r="G429" s="20">
        <f>G430</f>
        <v>0</v>
      </c>
      <c r="H429" s="20">
        <f t="shared" ref="H429:I429" si="102">H430</f>
        <v>16812.599999999999</v>
      </c>
      <c r="I429" s="20">
        <f t="shared" si="102"/>
        <v>16812.599999999999</v>
      </c>
      <c r="J429" s="103"/>
      <c r="K429" s="103"/>
      <c r="L429" s="103"/>
      <c r="M429" s="103"/>
      <c r="N429" s="103"/>
      <c r="O429" s="103"/>
      <c r="P429" s="103"/>
      <c r="Q429" s="103"/>
    </row>
    <row r="430" spans="1:17" s="26" customFormat="1" ht="23.25" customHeight="1" x14ac:dyDescent="0.2">
      <c r="A430" s="28" t="s">
        <v>80</v>
      </c>
      <c r="B430" s="31">
        <v>913</v>
      </c>
      <c r="C430" s="24" t="s">
        <v>17</v>
      </c>
      <c r="D430" s="24" t="s">
        <v>14</v>
      </c>
      <c r="E430" s="24" t="s">
        <v>159</v>
      </c>
      <c r="F430" s="24" t="s">
        <v>69</v>
      </c>
      <c r="G430" s="25">
        <v>0</v>
      </c>
      <c r="H430" s="25">
        <v>16812.599999999999</v>
      </c>
      <c r="I430" s="25">
        <v>16812.599999999999</v>
      </c>
      <c r="J430" s="104"/>
      <c r="K430" s="104"/>
      <c r="L430" s="104"/>
      <c r="M430" s="104"/>
      <c r="N430" s="104"/>
      <c r="O430" s="104"/>
      <c r="P430" s="104"/>
      <c r="Q430" s="104"/>
    </row>
    <row r="431" spans="1:17" s="73" customFormat="1" ht="63.75" x14ac:dyDescent="0.2">
      <c r="A431" s="69" t="s">
        <v>312</v>
      </c>
      <c r="B431" s="70">
        <v>913</v>
      </c>
      <c r="C431" s="71" t="s">
        <v>17</v>
      </c>
      <c r="D431" s="71" t="s">
        <v>14</v>
      </c>
      <c r="E431" s="71" t="s">
        <v>219</v>
      </c>
      <c r="F431" s="71"/>
      <c r="G431" s="72">
        <f>G433+G432</f>
        <v>30961.8</v>
      </c>
      <c r="H431" s="72">
        <f t="shared" ref="H431:I431" si="103">H433+H432</f>
        <v>29690.1</v>
      </c>
      <c r="I431" s="72">
        <f t="shared" si="103"/>
        <v>29445.200000000001</v>
      </c>
      <c r="J431" s="103"/>
      <c r="K431" s="103"/>
      <c r="L431" s="103"/>
      <c r="M431" s="103"/>
      <c r="N431" s="103"/>
      <c r="O431" s="103"/>
      <c r="P431" s="103"/>
      <c r="Q431" s="103"/>
    </row>
    <row r="432" spans="1:17" s="26" customFormat="1" x14ac:dyDescent="0.2">
      <c r="A432" s="28" t="s">
        <v>67</v>
      </c>
      <c r="B432" s="31">
        <v>913</v>
      </c>
      <c r="C432" s="24" t="s">
        <v>17</v>
      </c>
      <c r="D432" s="24" t="s">
        <v>14</v>
      </c>
      <c r="E432" s="24" t="s">
        <v>219</v>
      </c>
      <c r="F432" s="27" t="s">
        <v>68</v>
      </c>
      <c r="G432" s="25">
        <v>30</v>
      </c>
      <c r="H432" s="25"/>
      <c r="I432" s="25"/>
    </row>
    <row r="433" spans="1:17" s="104" customFormat="1" ht="25.5" x14ac:dyDescent="0.2">
      <c r="A433" s="247" t="s">
        <v>130</v>
      </c>
      <c r="B433" s="247">
        <v>913</v>
      </c>
      <c r="C433" s="244" t="s">
        <v>17</v>
      </c>
      <c r="D433" s="244" t="s">
        <v>14</v>
      </c>
      <c r="E433" s="244" t="s">
        <v>219</v>
      </c>
      <c r="F433" s="244" t="s">
        <v>63</v>
      </c>
      <c r="G433" s="192">
        <f>30443.1+540-51.3</f>
        <v>30931.8</v>
      </c>
      <c r="H433" s="192">
        <v>29690.1</v>
      </c>
      <c r="I433" s="192">
        <v>29445.200000000001</v>
      </c>
    </row>
    <row r="434" spans="1:17" s="68" customFormat="1" x14ac:dyDescent="0.2">
      <c r="A434" s="64" t="s">
        <v>39</v>
      </c>
      <c r="B434" s="65">
        <v>913</v>
      </c>
      <c r="C434" s="66" t="s">
        <v>17</v>
      </c>
      <c r="D434" s="66" t="s">
        <v>24</v>
      </c>
      <c r="E434" s="66"/>
      <c r="F434" s="66"/>
      <c r="G434" s="67">
        <f>G437+G435</f>
        <v>57</v>
      </c>
      <c r="H434" s="67">
        <f t="shared" ref="H434:I434" si="104">H437+H435</f>
        <v>54</v>
      </c>
      <c r="I434" s="67">
        <f t="shared" si="104"/>
        <v>54</v>
      </c>
    </row>
    <row r="435" spans="1:17" s="21" customFormat="1" ht="25.5" x14ac:dyDescent="0.2">
      <c r="A435" s="18" t="s">
        <v>175</v>
      </c>
      <c r="B435" s="18">
        <v>913</v>
      </c>
      <c r="C435" s="19" t="s">
        <v>17</v>
      </c>
      <c r="D435" s="19" t="s">
        <v>24</v>
      </c>
      <c r="E435" s="19" t="s">
        <v>126</v>
      </c>
      <c r="F435" s="19"/>
      <c r="G435" s="20">
        <f>G436</f>
        <v>54</v>
      </c>
      <c r="H435" s="20">
        <f>H436</f>
        <v>54</v>
      </c>
      <c r="I435" s="20">
        <f>I436</f>
        <v>54</v>
      </c>
    </row>
    <row r="436" spans="1:17" s="21" customFormat="1" ht="25.5" x14ac:dyDescent="0.2">
      <c r="A436" s="28" t="s">
        <v>130</v>
      </c>
      <c r="B436" s="28">
        <v>913</v>
      </c>
      <c r="C436" s="24" t="s">
        <v>17</v>
      </c>
      <c r="D436" s="24" t="s">
        <v>24</v>
      </c>
      <c r="E436" s="24" t="s">
        <v>126</v>
      </c>
      <c r="F436" s="24" t="s">
        <v>63</v>
      </c>
      <c r="G436" s="25">
        <v>54</v>
      </c>
      <c r="H436" s="25">
        <v>54</v>
      </c>
      <c r="I436" s="25">
        <v>54</v>
      </c>
    </row>
    <row r="437" spans="1:17" s="21" customFormat="1" ht="25.5" x14ac:dyDescent="0.2">
      <c r="A437" s="18" t="s">
        <v>313</v>
      </c>
      <c r="B437" s="22">
        <v>913</v>
      </c>
      <c r="C437" s="19" t="s">
        <v>17</v>
      </c>
      <c r="D437" s="19" t="s">
        <v>24</v>
      </c>
      <c r="E437" s="19" t="s">
        <v>176</v>
      </c>
      <c r="F437" s="19"/>
      <c r="G437" s="20">
        <f>G438</f>
        <v>3</v>
      </c>
      <c r="H437" s="20">
        <f>H438</f>
        <v>0</v>
      </c>
      <c r="I437" s="20">
        <f>I438</f>
        <v>0</v>
      </c>
    </row>
    <row r="438" spans="1:17" s="26" customFormat="1" ht="25.5" x14ac:dyDescent="0.2">
      <c r="A438" s="28" t="s">
        <v>130</v>
      </c>
      <c r="B438" s="31">
        <v>913</v>
      </c>
      <c r="C438" s="24" t="s">
        <v>17</v>
      </c>
      <c r="D438" s="24" t="s">
        <v>24</v>
      </c>
      <c r="E438" s="24" t="s">
        <v>176</v>
      </c>
      <c r="F438" s="24" t="s">
        <v>63</v>
      </c>
      <c r="G438" s="25">
        <v>3</v>
      </c>
      <c r="H438" s="25"/>
      <c r="I438" s="25"/>
    </row>
    <row r="439" spans="1:17" s="90" customFormat="1" ht="25.5" x14ac:dyDescent="0.2">
      <c r="A439" s="89" t="s">
        <v>40</v>
      </c>
      <c r="B439" s="58">
        <v>913</v>
      </c>
      <c r="C439" s="59" t="s">
        <v>41</v>
      </c>
      <c r="D439" s="59"/>
      <c r="E439" s="59"/>
      <c r="F439" s="59"/>
      <c r="G439" s="62">
        <f>G440+G459</f>
        <v>113169.5</v>
      </c>
      <c r="H439" s="62">
        <f>H440+H459</f>
        <v>101652.7</v>
      </c>
      <c r="I439" s="62">
        <f>I440+I459</f>
        <v>99644.5</v>
      </c>
    </row>
    <row r="440" spans="1:17" s="68" customFormat="1" x14ac:dyDescent="0.2">
      <c r="A440" s="64" t="s">
        <v>42</v>
      </c>
      <c r="B440" s="65">
        <v>913</v>
      </c>
      <c r="C440" s="66" t="s">
        <v>41</v>
      </c>
      <c r="D440" s="66" t="s">
        <v>10</v>
      </c>
      <c r="E440" s="66"/>
      <c r="F440" s="66"/>
      <c r="G440" s="67">
        <f>G451+G454+G456+G443+G447+G441+G449+G445</f>
        <v>91631.3</v>
      </c>
      <c r="H440" s="67">
        <f t="shared" ref="H440:I440" si="105">H451+H454+H456+H443+H447+H441+H449+H445</f>
        <v>80676.399999999994</v>
      </c>
      <c r="I440" s="67">
        <f t="shared" si="105"/>
        <v>78668.2</v>
      </c>
      <c r="J440" s="67" t="e">
        <f>J451+J454+J456+J443+J447+#REF!+J441</f>
        <v>#REF!</v>
      </c>
      <c r="K440" s="67" t="e">
        <f>K451+K454+K456+K443+K447+#REF!+K441</f>
        <v>#REF!</v>
      </c>
      <c r="L440" s="67" t="e">
        <f>L451+L454+L456+L443+L447+#REF!+L441</f>
        <v>#REF!</v>
      </c>
      <c r="M440" s="67" t="e">
        <f>M451+M454+M456+M443+M447+#REF!+M441</f>
        <v>#REF!</v>
      </c>
      <c r="N440" s="67" t="e">
        <f>N451+N454+N456+N443+N447+#REF!+N441</f>
        <v>#REF!</v>
      </c>
      <c r="O440" s="67" t="e">
        <f>O451+O454+O456+O443+O447+#REF!+O441</f>
        <v>#REF!</v>
      </c>
      <c r="P440" s="67" t="e">
        <f>P451+P454+P456+P443+P447+#REF!+P441</f>
        <v>#REF!</v>
      </c>
      <c r="Q440" s="67" t="e">
        <f>Q451+Q454+Q456+Q443+Q447+#REF!+Q441</f>
        <v>#REF!</v>
      </c>
    </row>
    <row r="441" spans="1:17" s="12" customFormat="1" ht="25.5" x14ac:dyDescent="0.2">
      <c r="A441" s="17" t="s">
        <v>152</v>
      </c>
      <c r="B441" s="43">
        <v>913</v>
      </c>
      <c r="C441" s="19" t="s">
        <v>41</v>
      </c>
      <c r="D441" s="19" t="s">
        <v>10</v>
      </c>
      <c r="E441" s="19" t="s">
        <v>151</v>
      </c>
      <c r="F441" s="5"/>
      <c r="G441" s="6">
        <f>G442</f>
        <v>2442.6</v>
      </c>
      <c r="H441" s="6">
        <f>H442</f>
        <v>520.20000000000005</v>
      </c>
      <c r="I441" s="6">
        <f>I442</f>
        <v>520.20000000000005</v>
      </c>
    </row>
    <row r="442" spans="1:17" s="104" customFormat="1" ht="25.5" x14ac:dyDescent="0.2">
      <c r="A442" s="247" t="s">
        <v>130</v>
      </c>
      <c r="B442" s="243">
        <v>913</v>
      </c>
      <c r="C442" s="244" t="s">
        <v>41</v>
      </c>
      <c r="D442" s="244" t="s">
        <v>10</v>
      </c>
      <c r="E442" s="244" t="s">
        <v>151</v>
      </c>
      <c r="F442" s="244" t="s">
        <v>63</v>
      </c>
      <c r="G442" s="192">
        <f>2422.2+20.4</f>
        <v>2442.6</v>
      </c>
      <c r="H442" s="192">
        <v>520.20000000000005</v>
      </c>
      <c r="I442" s="192">
        <v>520.20000000000005</v>
      </c>
    </row>
    <row r="443" spans="1:17" x14ac:dyDescent="0.2">
      <c r="A443" s="18" t="s">
        <v>162</v>
      </c>
      <c r="B443" s="22">
        <v>913</v>
      </c>
      <c r="C443" s="19" t="s">
        <v>41</v>
      </c>
      <c r="D443" s="19" t="s">
        <v>10</v>
      </c>
      <c r="E443" s="24" t="s">
        <v>161</v>
      </c>
      <c r="F443" s="19"/>
      <c r="G443" s="20">
        <f>G444</f>
        <v>4598</v>
      </c>
      <c r="H443" s="20">
        <f t="shared" ref="H443:I443" si="106">H444</f>
        <v>0</v>
      </c>
      <c r="I443" s="20">
        <f t="shared" si="106"/>
        <v>0</v>
      </c>
      <c r="J443" s="103"/>
      <c r="K443" s="103"/>
      <c r="L443" s="103"/>
      <c r="M443" s="103"/>
      <c r="N443" s="103"/>
      <c r="O443" s="103"/>
      <c r="P443" s="103"/>
      <c r="Q443" s="103"/>
    </row>
    <row r="444" spans="1:17" s="26" customFormat="1" ht="25.5" x14ac:dyDescent="0.2">
      <c r="A444" s="28" t="s">
        <v>74</v>
      </c>
      <c r="B444" s="22">
        <v>913</v>
      </c>
      <c r="C444" s="24" t="s">
        <v>41</v>
      </c>
      <c r="D444" s="24" t="s">
        <v>10</v>
      </c>
      <c r="E444" s="24" t="s">
        <v>161</v>
      </c>
      <c r="F444" s="24" t="s">
        <v>66</v>
      </c>
      <c r="G444" s="25">
        <v>4598</v>
      </c>
      <c r="H444" s="25"/>
      <c r="I444" s="25"/>
      <c r="J444" s="104"/>
      <c r="K444" s="104"/>
      <c r="L444" s="104"/>
      <c r="M444" s="104"/>
      <c r="N444" s="104"/>
      <c r="O444" s="104"/>
      <c r="P444" s="104"/>
      <c r="Q444" s="104"/>
    </row>
    <row r="445" spans="1:17" x14ac:dyDescent="0.2">
      <c r="A445" s="18" t="s">
        <v>632</v>
      </c>
      <c r="B445" s="22">
        <v>913</v>
      </c>
      <c r="C445" s="19" t="s">
        <v>41</v>
      </c>
      <c r="D445" s="19" t="s">
        <v>10</v>
      </c>
      <c r="E445" s="19" t="s">
        <v>633</v>
      </c>
      <c r="F445" s="19"/>
      <c r="G445" s="20">
        <f>G446</f>
        <v>0</v>
      </c>
      <c r="H445" s="20">
        <f t="shared" ref="H445:I445" si="107">H446</f>
        <v>0</v>
      </c>
      <c r="I445" s="20">
        <f t="shared" si="107"/>
        <v>0</v>
      </c>
      <c r="J445" s="103"/>
      <c r="K445" s="103"/>
      <c r="L445" s="103"/>
      <c r="M445" s="103"/>
      <c r="N445" s="103"/>
      <c r="O445" s="103"/>
      <c r="P445" s="103"/>
      <c r="Q445" s="103"/>
    </row>
    <row r="446" spans="1:17" ht="25.5" x14ac:dyDescent="0.2">
      <c r="A446" s="28" t="s">
        <v>130</v>
      </c>
      <c r="B446" s="28">
        <v>913</v>
      </c>
      <c r="C446" s="24" t="s">
        <v>41</v>
      </c>
      <c r="D446" s="24" t="s">
        <v>10</v>
      </c>
      <c r="E446" s="24" t="s">
        <v>633</v>
      </c>
      <c r="F446" s="24" t="s">
        <v>63</v>
      </c>
      <c r="G446" s="25"/>
      <c r="H446" s="25"/>
      <c r="I446" s="25"/>
      <c r="J446" s="103"/>
      <c r="K446" s="103"/>
      <c r="L446" s="103"/>
      <c r="M446" s="103"/>
      <c r="N446" s="103"/>
      <c r="O446" s="103"/>
      <c r="P446" s="103"/>
      <c r="Q446" s="103"/>
    </row>
    <row r="447" spans="1:17" ht="38.25" x14ac:dyDescent="0.2">
      <c r="A447" s="18" t="s">
        <v>335</v>
      </c>
      <c r="B447" s="18">
        <v>913</v>
      </c>
      <c r="C447" s="19" t="s">
        <v>41</v>
      </c>
      <c r="D447" s="19" t="s">
        <v>10</v>
      </c>
      <c r="E447" s="19" t="s">
        <v>336</v>
      </c>
      <c r="F447" s="19"/>
      <c r="G447" s="20">
        <f>G448</f>
        <v>4425</v>
      </c>
      <c r="H447" s="20">
        <f>H448</f>
        <v>4425</v>
      </c>
      <c r="I447" s="20">
        <f>I448</f>
        <v>4425</v>
      </c>
      <c r="J447" s="103"/>
      <c r="K447" s="103"/>
      <c r="L447" s="103"/>
      <c r="M447" s="103"/>
      <c r="N447" s="103"/>
      <c r="O447" s="103"/>
      <c r="P447" s="103"/>
      <c r="Q447" s="103"/>
    </row>
    <row r="448" spans="1:17" ht="25.5" x14ac:dyDescent="0.2">
      <c r="A448" s="28" t="s">
        <v>130</v>
      </c>
      <c r="B448" s="28">
        <v>913</v>
      </c>
      <c r="C448" s="24" t="s">
        <v>41</v>
      </c>
      <c r="D448" s="24" t="s">
        <v>10</v>
      </c>
      <c r="E448" s="24" t="s">
        <v>336</v>
      </c>
      <c r="F448" s="24" t="s">
        <v>63</v>
      </c>
      <c r="G448" s="25">
        <v>4425</v>
      </c>
      <c r="H448" s="25">
        <v>4425</v>
      </c>
      <c r="I448" s="25">
        <v>4425</v>
      </c>
      <c r="J448" s="103"/>
      <c r="K448" s="103"/>
      <c r="L448" s="103"/>
      <c r="M448" s="103"/>
      <c r="N448" s="103"/>
      <c r="O448" s="103"/>
      <c r="P448" s="103"/>
      <c r="Q448" s="103"/>
    </row>
    <row r="449" spans="1:17" ht="25.5" x14ac:dyDescent="0.2">
      <c r="A449" s="18" t="s">
        <v>343</v>
      </c>
      <c r="B449" s="18">
        <v>913</v>
      </c>
      <c r="C449" s="19" t="s">
        <v>41</v>
      </c>
      <c r="D449" s="19" t="s">
        <v>10</v>
      </c>
      <c r="E449" s="19" t="s">
        <v>342</v>
      </c>
      <c r="F449" s="19"/>
      <c r="G449" s="20">
        <f>G450</f>
        <v>0</v>
      </c>
      <c r="H449" s="20">
        <f>H450</f>
        <v>0</v>
      </c>
      <c r="I449" s="20">
        <f>I450</f>
        <v>0</v>
      </c>
      <c r="J449" s="103"/>
      <c r="K449" s="103"/>
      <c r="L449" s="103"/>
      <c r="M449" s="103"/>
      <c r="N449" s="103"/>
      <c r="O449" s="103"/>
      <c r="P449" s="103"/>
      <c r="Q449" s="103"/>
    </row>
    <row r="450" spans="1:17" ht="25.5" x14ac:dyDescent="0.2">
      <c r="A450" s="28" t="s">
        <v>130</v>
      </c>
      <c r="B450" s="28">
        <v>913</v>
      </c>
      <c r="C450" s="24" t="s">
        <v>41</v>
      </c>
      <c r="D450" s="24" t="s">
        <v>10</v>
      </c>
      <c r="E450" s="24" t="s">
        <v>342</v>
      </c>
      <c r="F450" s="24" t="s">
        <v>63</v>
      </c>
      <c r="G450" s="25"/>
      <c r="H450" s="25"/>
      <c r="I450" s="25"/>
      <c r="J450" s="103"/>
      <c r="K450" s="103"/>
      <c r="L450" s="103"/>
      <c r="M450" s="103"/>
      <c r="N450" s="103"/>
      <c r="O450" s="103"/>
      <c r="P450" s="103"/>
      <c r="Q450" s="103"/>
    </row>
    <row r="451" spans="1:17" x14ac:dyDescent="0.2">
      <c r="A451" s="18" t="s">
        <v>239</v>
      </c>
      <c r="B451" s="22">
        <v>913</v>
      </c>
      <c r="C451" s="19" t="s">
        <v>41</v>
      </c>
      <c r="D451" s="19" t="s">
        <v>10</v>
      </c>
      <c r="E451" s="19" t="s">
        <v>238</v>
      </c>
      <c r="F451" s="19"/>
      <c r="G451" s="20">
        <f>G453+G452</f>
        <v>56806.5</v>
      </c>
      <c r="H451" s="20">
        <f>H453+H452</f>
        <v>53505</v>
      </c>
      <c r="I451" s="20">
        <f>I453+I452</f>
        <v>51942.3</v>
      </c>
      <c r="J451" s="197"/>
      <c r="K451" s="197"/>
      <c r="L451" s="197"/>
      <c r="M451" s="197"/>
      <c r="N451" s="197"/>
      <c r="O451" s="197"/>
      <c r="P451" s="197"/>
      <c r="Q451" s="197"/>
    </row>
    <row r="452" spans="1:17" s="26" customFormat="1" x14ac:dyDescent="0.2">
      <c r="A452" s="28" t="s">
        <v>67</v>
      </c>
      <c r="B452" s="28">
        <v>913</v>
      </c>
      <c r="C452" s="24" t="s">
        <v>41</v>
      </c>
      <c r="D452" s="24" t="s">
        <v>10</v>
      </c>
      <c r="E452" s="24" t="s">
        <v>238</v>
      </c>
      <c r="F452" s="27" t="s">
        <v>68</v>
      </c>
      <c r="G452" s="25">
        <v>15</v>
      </c>
      <c r="H452" s="25"/>
      <c r="I452" s="25"/>
    </row>
    <row r="453" spans="1:17" s="104" customFormat="1" ht="25.5" x14ac:dyDescent="0.2">
      <c r="A453" s="247" t="s">
        <v>130</v>
      </c>
      <c r="B453" s="243">
        <v>913</v>
      </c>
      <c r="C453" s="244" t="s">
        <v>41</v>
      </c>
      <c r="D453" s="244" t="s">
        <v>10</v>
      </c>
      <c r="E453" s="244" t="s">
        <v>238</v>
      </c>
      <c r="F453" s="244" t="s">
        <v>63</v>
      </c>
      <c r="G453" s="192">
        <f>57282.4+-540+49.1</f>
        <v>56791.5</v>
      </c>
      <c r="H453" s="192">
        <v>53505</v>
      </c>
      <c r="I453" s="192">
        <v>51942.3</v>
      </c>
    </row>
    <row r="454" spans="1:17" x14ac:dyDescent="0.2">
      <c r="A454" s="18" t="s">
        <v>241</v>
      </c>
      <c r="B454" s="22">
        <v>913</v>
      </c>
      <c r="C454" s="19" t="s">
        <v>41</v>
      </c>
      <c r="D454" s="19" t="s">
        <v>10</v>
      </c>
      <c r="E454" s="19" t="s">
        <v>240</v>
      </c>
      <c r="F454" s="19"/>
      <c r="G454" s="20">
        <f>G455</f>
        <v>4159</v>
      </c>
      <c r="H454" s="20">
        <f>H455</f>
        <v>4059.4</v>
      </c>
      <c r="I454" s="20">
        <f>I455</f>
        <v>3992.5</v>
      </c>
      <c r="J454" s="103"/>
      <c r="K454" s="103"/>
      <c r="L454" s="103"/>
      <c r="M454" s="103"/>
      <c r="N454" s="103"/>
      <c r="O454" s="103"/>
      <c r="P454" s="103"/>
      <c r="Q454" s="103"/>
    </row>
    <row r="455" spans="1:17" s="104" customFormat="1" ht="25.5" x14ac:dyDescent="0.2">
      <c r="A455" s="247" t="s">
        <v>130</v>
      </c>
      <c r="B455" s="243">
        <v>913</v>
      </c>
      <c r="C455" s="244" t="s">
        <v>41</v>
      </c>
      <c r="D455" s="244" t="s">
        <v>10</v>
      </c>
      <c r="E455" s="244" t="s">
        <v>240</v>
      </c>
      <c r="F455" s="244" t="s">
        <v>63</v>
      </c>
      <c r="G455" s="192">
        <f>4209.6-50.6</f>
        <v>4159</v>
      </c>
      <c r="H455" s="192">
        <v>4059.4</v>
      </c>
      <c r="I455" s="192">
        <v>3992.5</v>
      </c>
    </row>
    <row r="456" spans="1:17" s="73" customFormat="1" x14ac:dyDescent="0.2">
      <c r="A456" s="69" t="s">
        <v>243</v>
      </c>
      <c r="B456" s="70">
        <v>913</v>
      </c>
      <c r="C456" s="71" t="s">
        <v>41</v>
      </c>
      <c r="D456" s="71" t="s">
        <v>10</v>
      </c>
      <c r="E456" s="71" t="s">
        <v>242</v>
      </c>
      <c r="F456" s="71"/>
      <c r="G456" s="72">
        <f>G458+G457</f>
        <v>19200.2</v>
      </c>
      <c r="H456" s="72">
        <f>H458+H457</f>
        <v>18166.8</v>
      </c>
      <c r="I456" s="72">
        <f>I458+I457</f>
        <v>17788.2</v>
      </c>
      <c r="J456" s="103"/>
      <c r="K456" s="103"/>
      <c r="L456" s="103"/>
      <c r="M456" s="103"/>
      <c r="N456" s="103"/>
      <c r="O456" s="103"/>
      <c r="P456" s="103"/>
      <c r="Q456" s="103"/>
    </row>
    <row r="457" spans="1:17" s="26" customFormat="1" x14ac:dyDescent="0.2">
      <c r="A457" s="28" t="s">
        <v>67</v>
      </c>
      <c r="B457" s="28">
        <v>913</v>
      </c>
      <c r="C457" s="24" t="s">
        <v>41</v>
      </c>
      <c r="D457" s="24" t="s">
        <v>10</v>
      </c>
      <c r="E457" s="24" t="s">
        <v>242</v>
      </c>
      <c r="F457" s="27" t="s">
        <v>68</v>
      </c>
      <c r="G457" s="25">
        <v>15</v>
      </c>
      <c r="H457" s="25"/>
      <c r="I457" s="25"/>
    </row>
    <row r="458" spans="1:17" s="104" customFormat="1" ht="25.5" x14ac:dyDescent="0.2">
      <c r="A458" s="247" t="s">
        <v>130</v>
      </c>
      <c r="B458" s="243">
        <v>913</v>
      </c>
      <c r="C458" s="244" t="s">
        <v>41</v>
      </c>
      <c r="D458" s="244" t="s">
        <v>10</v>
      </c>
      <c r="E458" s="244" t="s">
        <v>242</v>
      </c>
      <c r="F458" s="244" t="s">
        <v>63</v>
      </c>
      <c r="G458" s="192">
        <f>19185.8-0.6</f>
        <v>19185.2</v>
      </c>
      <c r="H458" s="192">
        <v>18166.8</v>
      </c>
      <c r="I458" s="192">
        <v>17788.2</v>
      </c>
    </row>
    <row r="459" spans="1:17" s="9" customFormat="1" ht="16.5" customHeight="1" x14ac:dyDescent="0.2">
      <c r="A459" s="11" t="s">
        <v>23</v>
      </c>
      <c r="B459" s="14">
        <v>913</v>
      </c>
      <c r="C459" s="8" t="s">
        <v>41</v>
      </c>
      <c r="D459" s="8" t="s">
        <v>16</v>
      </c>
      <c r="E459" s="8"/>
      <c r="F459" s="8"/>
      <c r="G459" s="4">
        <f>G460+G464</f>
        <v>21538.200000000004</v>
      </c>
      <c r="H459" s="4">
        <f>H460+H464</f>
        <v>20976.3</v>
      </c>
      <c r="I459" s="4">
        <f>I460+I464</f>
        <v>20976.3</v>
      </c>
      <c r="J459" s="109"/>
      <c r="K459" s="109"/>
      <c r="L459" s="109"/>
      <c r="M459" s="109"/>
      <c r="N459" s="109"/>
      <c r="O459" s="109"/>
      <c r="P459" s="109"/>
      <c r="Q459" s="109"/>
    </row>
    <row r="460" spans="1:17" x14ac:dyDescent="0.2">
      <c r="A460" s="18" t="s">
        <v>317</v>
      </c>
      <c r="B460" s="22">
        <v>913</v>
      </c>
      <c r="C460" s="19" t="s">
        <v>41</v>
      </c>
      <c r="D460" s="19" t="s">
        <v>16</v>
      </c>
      <c r="E460" s="19" t="s">
        <v>244</v>
      </c>
      <c r="F460" s="19"/>
      <c r="G460" s="20">
        <f>G461+G462+G463</f>
        <v>1290.9000000000001</v>
      </c>
      <c r="H460" s="20">
        <f>H461+H462+H463</f>
        <v>1222.5</v>
      </c>
      <c r="I460" s="20">
        <f>I461+I462+I463</f>
        <v>1222.5</v>
      </c>
      <c r="J460" s="103"/>
      <c r="K460" s="103"/>
      <c r="L460" s="103"/>
      <c r="M460" s="103"/>
      <c r="N460" s="103"/>
      <c r="O460" s="103"/>
      <c r="P460" s="103"/>
      <c r="Q460" s="103"/>
    </row>
    <row r="461" spans="1:17" s="104" customFormat="1" ht="51.75" customHeight="1" x14ac:dyDescent="0.2">
      <c r="A461" s="252" t="s">
        <v>64</v>
      </c>
      <c r="B461" s="243">
        <v>913</v>
      </c>
      <c r="C461" s="244" t="s">
        <v>41</v>
      </c>
      <c r="D461" s="244" t="s">
        <v>16</v>
      </c>
      <c r="E461" s="244" t="s">
        <v>244</v>
      </c>
      <c r="F461" s="250" t="s">
        <v>65</v>
      </c>
      <c r="G461" s="192">
        <f>1188.8+1.4</f>
        <v>1190.2</v>
      </c>
      <c r="H461" s="192">
        <v>1186.8</v>
      </c>
      <c r="I461" s="192">
        <v>1186.8</v>
      </c>
    </row>
    <row r="462" spans="1:17" s="104" customFormat="1" ht="25.5" x14ac:dyDescent="0.2">
      <c r="A462" s="247" t="s">
        <v>74</v>
      </c>
      <c r="B462" s="243">
        <v>913</v>
      </c>
      <c r="C462" s="244" t="s">
        <v>41</v>
      </c>
      <c r="D462" s="244" t="s">
        <v>16</v>
      </c>
      <c r="E462" s="244" t="s">
        <v>244</v>
      </c>
      <c r="F462" s="250" t="s">
        <v>66</v>
      </c>
      <c r="G462" s="192">
        <f>96.9-1.4</f>
        <v>95.5</v>
      </c>
      <c r="H462" s="192">
        <v>35.700000000000003</v>
      </c>
      <c r="I462" s="192">
        <v>35.700000000000003</v>
      </c>
    </row>
    <row r="463" spans="1:17" s="26" customFormat="1" x14ac:dyDescent="0.2">
      <c r="A463" s="28" t="s">
        <v>70</v>
      </c>
      <c r="B463" s="31">
        <v>913</v>
      </c>
      <c r="C463" s="24" t="s">
        <v>41</v>
      </c>
      <c r="D463" s="24" t="s">
        <v>16</v>
      </c>
      <c r="E463" s="24" t="s">
        <v>244</v>
      </c>
      <c r="F463" s="24" t="s">
        <v>71</v>
      </c>
      <c r="G463" s="25">
        <v>5.2</v>
      </c>
      <c r="H463" s="25"/>
      <c r="I463" s="25"/>
      <c r="J463" s="104"/>
      <c r="K463" s="104"/>
      <c r="L463" s="104"/>
      <c r="M463" s="104"/>
      <c r="N463" s="104"/>
      <c r="O463" s="104"/>
      <c r="P463" s="104"/>
      <c r="Q463" s="104"/>
    </row>
    <row r="464" spans="1:17" x14ac:dyDescent="0.2">
      <c r="A464" s="18" t="s">
        <v>317</v>
      </c>
      <c r="B464" s="22">
        <v>913</v>
      </c>
      <c r="C464" s="19" t="s">
        <v>41</v>
      </c>
      <c r="D464" s="19" t="s">
        <v>16</v>
      </c>
      <c r="E464" s="19" t="s">
        <v>373</v>
      </c>
      <c r="F464" s="19"/>
      <c r="G464" s="20">
        <f>G465+G466+G467</f>
        <v>20247.300000000003</v>
      </c>
      <c r="H464" s="20">
        <f t="shared" ref="H464:I464" si="108">H465+H466</f>
        <v>19753.8</v>
      </c>
      <c r="I464" s="20">
        <f t="shared" si="108"/>
        <v>19753.8</v>
      </c>
      <c r="J464" s="103"/>
      <c r="K464" s="103"/>
      <c r="L464" s="103"/>
      <c r="M464" s="103"/>
      <c r="N464" s="103"/>
      <c r="O464" s="103"/>
      <c r="P464" s="103"/>
      <c r="Q464" s="103"/>
    </row>
    <row r="465" spans="1:22" s="104" customFormat="1" ht="52.5" customHeight="1" x14ac:dyDescent="0.2">
      <c r="A465" s="252" t="s">
        <v>64</v>
      </c>
      <c r="B465" s="243">
        <v>913</v>
      </c>
      <c r="C465" s="244" t="s">
        <v>41</v>
      </c>
      <c r="D465" s="244" t="s">
        <v>16</v>
      </c>
      <c r="E465" s="244" t="s">
        <v>373</v>
      </c>
      <c r="F465" s="250" t="s">
        <v>65</v>
      </c>
      <c r="G465" s="192">
        <f>19694.7+1.4</f>
        <v>19696.100000000002</v>
      </c>
      <c r="H465" s="192">
        <v>19692.7</v>
      </c>
      <c r="I465" s="192">
        <v>19692.7</v>
      </c>
    </row>
    <row r="466" spans="1:22" s="104" customFormat="1" ht="25.5" x14ac:dyDescent="0.2">
      <c r="A466" s="247" t="s">
        <v>74</v>
      </c>
      <c r="B466" s="243">
        <v>913</v>
      </c>
      <c r="C466" s="244" t="s">
        <v>41</v>
      </c>
      <c r="D466" s="244" t="s">
        <v>16</v>
      </c>
      <c r="E466" s="244" t="s">
        <v>373</v>
      </c>
      <c r="F466" s="250" t="s">
        <v>66</v>
      </c>
      <c r="G466" s="192">
        <f>519.6-1.4+33</f>
        <v>551.20000000000005</v>
      </c>
      <c r="H466" s="192">
        <v>61.1</v>
      </c>
      <c r="I466" s="192">
        <v>61.1</v>
      </c>
    </row>
    <row r="467" spans="1:22" s="26" customFormat="1" x14ac:dyDescent="0.2">
      <c r="A467" s="28" t="s">
        <v>70</v>
      </c>
      <c r="B467" s="31">
        <v>913</v>
      </c>
      <c r="C467" s="24" t="s">
        <v>41</v>
      </c>
      <c r="D467" s="24" t="s">
        <v>16</v>
      </c>
      <c r="E467" s="24" t="s">
        <v>373</v>
      </c>
      <c r="F467" s="27" t="s">
        <v>71</v>
      </c>
      <c r="G467" s="25"/>
      <c r="H467" s="25"/>
      <c r="I467" s="25"/>
      <c r="J467" s="104"/>
      <c r="K467" s="104"/>
      <c r="L467" s="104"/>
      <c r="M467" s="104"/>
      <c r="N467" s="104"/>
      <c r="O467" s="104"/>
      <c r="P467" s="104"/>
      <c r="Q467" s="104"/>
    </row>
    <row r="468" spans="1:22" s="3" customFormat="1" x14ac:dyDescent="0.2">
      <c r="A468" s="13" t="s">
        <v>50</v>
      </c>
      <c r="B468" s="41">
        <v>913</v>
      </c>
      <c r="C468" s="1" t="s">
        <v>49</v>
      </c>
      <c r="D468" s="1"/>
      <c r="E468" s="1"/>
      <c r="F468" s="1"/>
      <c r="G468" s="2">
        <f>G469</f>
        <v>232</v>
      </c>
      <c r="H468" s="2">
        <f>H469</f>
        <v>232</v>
      </c>
      <c r="I468" s="2">
        <f>I469</f>
        <v>232</v>
      </c>
      <c r="S468" s="233"/>
      <c r="V468" s="233"/>
    </row>
    <row r="469" spans="1:22" s="9" customFormat="1" x14ac:dyDescent="0.2">
      <c r="A469" s="11" t="s">
        <v>53</v>
      </c>
      <c r="B469" s="14">
        <v>913</v>
      </c>
      <c r="C469" s="8" t="s">
        <v>49</v>
      </c>
      <c r="D469" s="8" t="s">
        <v>14</v>
      </c>
      <c r="E469" s="8"/>
      <c r="F469" s="8"/>
      <c r="G469" s="4">
        <f>SUM(G470)</f>
        <v>232</v>
      </c>
      <c r="H469" s="4">
        <f>SUM(H470)</f>
        <v>232</v>
      </c>
      <c r="I469" s="4">
        <f>SUM(I470)</f>
        <v>232</v>
      </c>
    </row>
    <row r="470" spans="1:22" s="21" customFormat="1" ht="25.5" customHeight="1" x14ac:dyDescent="0.2">
      <c r="A470" s="18" t="s">
        <v>325</v>
      </c>
      <c r="B470" s="22">
        <v>913</v>
      </c>
      <c r="C470" s="19">
        <v>10</v>
      </c>
      <c r="D470" s="19" t="s">
        <v>14</v>
      </c>
      <c r="E470" s="19" t="s">
        <v>82</v>
      </c>
      <c r="F470" s="19"/>
      <c r="G470" s="20">
        <f>G471</f>
        <v>232</v>
      </c>
      <c r="H470" s="20">
        <f>H471</f>
        <v>232</v>
      </c>
      <c r="I470" s="20">
        <f>I471</f>
        <v>232</v>
      </c>
    </row>
    <row r="471" spans="1:22" s="26" customFormat="1" x14ac:dyDescent="0.2">
      <c r="A471" s="53" t="s">
        <v>67</v>
      </c>
      <c r="B471" s="31">
        <v>913</v>
      </c>
      <c r="C471" s="24">
        <v>10</v>
      </c>
      <c r="D471" s="24" t="s">
        <v>14</v>
      </c>
      <c r="E471" s="24" t="s">
        <v>82</v>
      </c>
      <c r="F471" s="24" t="s">
        <v>68</v>
      </c>
      <c r="G471" s="25">
        <f>232</f>
        <v>232</v>
      </c>
      <c r="H471" s="25">
        <f>232</f>
        <v>232</v>
      </c>
      <c r="I471" s="25">
        <f>232</f>
        <v>232</v>
      </c>
    </row>
    <row r="472" spans="1:22" s="9" customFormat="1" ht="33" customHeight="1" x14ac:dyDescent="0.2">
      <c r="A472" s="39" t="s">
        <v>47</v>
      </c>
      <c r="B472" s="36">
        <v>915</v>
      </c>
      <c r="C472" s="40"/>
      <c r="D472" s="40"/>
      <c r="E472" s="40"/>
      <c r="F472" s="40"/>
      <c r="G472" s="38">
        <f>G484+G477+G473</f>
        <v>363192.03399999999</v>
      </c>
      <c r="H472" s="38">
        <f t="shared" ref="H472:I472" si="109">H484+H477+H473</f>
        <v>360189.58600000001</v>
      </c>
      <c r="I472" s="38">
        <f t="shared" si="109"/>
        <v>362441.9</v>
      </c>
      <c r="S472" s="233"/>
      <c r="V472" s="233"/>
    </row>
    <row r="473" spans="1:22" s="3" customFormat="1" x14ac:dyDescent="0.2">
      <c r="A473" s="13" t="s">
        <v>25</v>
      </c>
      <c r="B473" s="41">
        <v>915</v>
      </c>
      <c r="C473" s="1" t="s">
        <v>16</v>
      </c>
      <c r="D473" s="1"/>
      <c r="E473" s="1"/>
      <c r="F473" s="1"/>
      <c r="G473" s="2">
        <f>G474</f>
        <v>0</v>
      </c>
      <c r="H473" s="2">
        <f>H474</f>
        <v>0</v>
      </c>
      <c r="I473" s="2">
        <f>I474</f>
        <v>0</v>
      </c>
      <c r="J473" s="108"/>
      <c r="K473" s="108"/>
      <c r="L473" s="108"/>
      <c r="M473" s="108"/>
      <c r="N473" s="108"/>
      <c r="O473" s="108"/>
      <c r="P473" s="108"/>
      <c r="Q473" s="108"/>
    </row>
    <row r="474" spans="1:22" s="9" customFormat="1" x14ac:dyDescent="0.2">
      <c r="A474" s="11" t="s">
        <v>678</v>
      </c>
      <c r="B474" s="14">
        <v>915</v>
      </c>
      <c r="C474" s="8" t="s">
        <v>16</v>
      </c>
      <c r="D474" s="8" t="s">
        <v>10</v>
      </c>
      <c r="E474" s="8"/>
      <c r="F474" s="8"/>
      <c r="G474" s="4">
        <f>G475</f>
        <v>0</v>
      </c>
      <c r="H474" s="4">
        <f t="shared" ref="H474:I474" si="110">H475</f>
        <v>0</v>
      </c>
      <c r="I474" s="4">
        <f t="shared" si="110"/>
        <v>0</v>
      </c>
      <c r="J474" s="109"/>
      <c r="K474" s="109"/>
      <c r="L474" s="109"/>
      <c r="M474" s="109"/>
      <c r="N474" s="109"/>
      <c r="O474" s="109"/>
      <c r="P474" s="109"/>
      <c r="Q474" s="109"/>
    </row>
    <row r="475" spans="1:22" ht="38.25" x14ac:dyDescent="0.2">
      <c r="A475" s="18" t="s">
        <v>639</v>
      </c>
      <c r="B475" s="22">
        <v>915</v>
      </c>
      <c r="C475" s="19" t="s">
        <v>16</v>
      </c>
      <c r="D475" s="19" t="s">
        <v>10</v>
      </c>
      <c r="E475" s="19" t="s">
        <v>640</v>
      </c>
      <c r="F475" s="19"/>
      <c r="G475" s="20">
        <f>G476</f>
        <v>0</v>
      </c>
      <c r="H475" s="20">
        <f t="shared" ref="H475:I475" si="111">H476</f>
        <v>0</v>
      </c>
      <c r="I475" s="20">
        <f t="shared" si="111"/>
        <v>0</v>
      </c>
      <c r="J475" s="103"/>
      <c r="K475" s="103"/>
      <c r="L475" s="103"/>
      <c r="M475" s="103"/>
      <c r="N475" s="103"/>
      <c r="O475" s="103"/>
      <c r="P475" s="103"/>
      <c r="Q475" s="103"/>
    </row>
    <row r="476" spans="1:22" s="26" customFormat="1" ht="25.5" x14ac:dyDescent="0.2">
      <c r="A476" s="28" t="s">
        <v>74</v>
      </c>
      <c r="B476" s="31">
        <v>915</v>
      </c>
      <c r="C476" s="24" t="s">
        <v>16</v>
      </c>
      <c r="D476" s="24" t="s">
        <v>10</v>
      </c>
      <c r="E476" s="24" t="s">
        <v>640</v>
      </c>
      <c r="F476" s="24" t="s">
        <v>66</v>
      </c>
      <c r="G476" s="25"/>
      <c r="H476" s="25"/>
      <c r="I476" s="25"/>
      <c r="J476" s="104"/>
      <c r="K476" s="104"/>
      <c r="L476" s="104"/>
      <c r="M476" s="104"/>
      <c r="N476" s="104"/>
      <c r="O476" s="104"/>
      <c r="P476" s="104"/>
      <c r="Q476" s="104"/>
    </row>
    <row r="477" spans="1:22" s="3" customFormat="1" x14ac:dyDescent="0.2">
      <c r="A477" s="13" t="s">
        <v>35</v>
      </c>
      <c r="B477" s="41">
        <v>915</v>
      </c>
      <c r="C477" s="1" t="s">
        <v>17</v>
      </c>
      <c r="D477" s="1"/>
      <c r="E477" s="1"/>
      <c r="F477" s="1"/>
      <c r="G477" s="2">
        <f t="shared" ref="G477:I482" si="112">G478</f>
        <v>251.6</v>
      </c>
      <c r="H477" s="2">
        <f t="shared" si="112"/>
        <v>219.6</v>
      </c>
      <c r="I477" s="2">
        <f t="shared" si="112"/>
        <v>219.6</v>
      </c>
    </row>
    <row r="478" spans="1:22" s="21" customFormat="1" x14ac:dyDescent="0.2">
      <c r="A478" s="11" t="s">
        <v>38</v>
      </c>
      <c r="B478" s="11">
        <v>915</v>
      </c>
      <c r="C478" s="8" t="s">
        <v>17</v>
      </c>
      <c r="D478" s="8" t="s">
        <v>17</v>
      </c>
      <c r="E478" s="8"/>
      <c r="F478" s="8"/>
      <c r="G478" s="4">
        <f>G482+G479</f>
        <v>251.6</v>
      </c>
      <c r="H478" s="4">
        <f t="shared" ref="H478:I478" si="113">H482+H479</f>
        <v>219.6</v>
      </c>
      <c r="I478" s="4">
        <f t="shared" si="113"/>
        <v>219.6</v>
      </c>
    </row>
    <row r="479" spans="1:22" ht="25.5" x14ac:dyDescent="0.2">
      <c r="A479" s="18" t="s">
        <v>643</v>
      </c>
      <c r="B479" s="22">
        <v>915</v>
      </c>
      <c r="C479" s="19" t="s">
        <v>17</v>
      </c>
      <c r="D479" s="19" t="s">
        <v>17</v>
      </c>
      <c r="E479" s="19" t="s">
        <v>642</v>
      </c>
      <c r="F479" s="19"/>
      <c r="G479" s="20">
        <f>G481+G480</f>
        <v>32</v>
      </c>
      <c r="H479" s="20">
        <f t="shared" ref="H479:I479" si="114">H481+H480</f>
        <v>0</v>
      </c>
      <c r="I479" s="20">
        <f t="shared" si="114"/>
        <v>0</v>
      </c>
      <c r="J479" s="103"/>
      <c r="K479" s="103"/>
      <c r="L479" s="103"/>
      <c r="M479" s="103"/>
      <c r="N479" s="103"/>
      <c r="O479" s="103"/>
      <c r="P479" s="103"/>
      <c r="Q479" s="103"/>
    </row>
    <row r="480" spans="1:22" s="26" customFormat="1" ht="25.5" x14ac:dyDescent="0.2">
      <c r="A480" s="28" t="s">
        <v>74</v>
      </c>
      <c r="B480" s="31">
        <v>915</v>
      </c>
      <c r="C480" s="24" t="s">
        <v>17</v>
      </c>
      <c r="D480" s="24" t="s">
        <v>17</v>
      </c>
      <c r="E480" s="24" t="s">
        <v>642</v>
      </c>
      <c r="F480" s="27" t="s">
        <v>65</v>
      </c>
      <c r="G480" s="25">
        <v>19.33426</v>
      </c>
      <c r="H480" s="25"/>
      <c r="I480" s="25"/>
      <c r="J480" s="104"/>
      <c r="K480" s="104"/>
      <c r="L480" s="104"/>
      <c r="M480" s="104"/>
      <c r="N480" s="104"/>
      <c r="O480" s="104"/>
      <c r="P480" s="104"/>
      <c r="Q480" s="104"/>
    </row>
    <row r="481" spans="1:17" s="26" customFormat="1" ht="25.5" x14ac:dyDescent="0.2">
      <c r="A481" s="28" t="s">
        <v>74</v>
      </c>
      <c r="B481" s="31">
        <v>915</v>
      </c>
      <c r="C481" s="24" t="s">
        <v>17</v>
      </c>
      <c r="D481" s="24" t="s">
        <v>17</v>
      </c>
      <c r="E481" s="24" t="s">
        <v>642</v>
      </c>
      <c r="F481" s="27" t="s">
        <v>66</v>
      </c>
      <c r="G481" s="25">
        <v>12.66574</v>
      </c>
      <c r="H481" s="25"/>
      <c r="I481" s="25"/>
      <c r="J481" s="104"/>
      <c r="K481" s="104"/>
      <c r="L481" s="104"/>
      <c r="M481" s="104"/>
      <c r="N481" s="104"/>
      <c r="O481" s="104"/>
      <c r="P481" s="104"/>
      <c r="Q481" s="104"/>
    </row>
    <row r="482" spans="1:17" ht="25.5" x14ac:dyDescent="0.2">
      <c r="A482" s="18" t="s">
        <v>245</v>
      </c>
      <c r="B482" s="18">
        <v>915</v>
      </c>
      <c r="C482" s="19" t="s">
        <v>17</v>
      </c>
      <c r="D482" s="19" t="s">
        <v>17</v>
      </c>
      <c r="E482" s="19" t="s">
        <v>129</v>
      </c>
      <c r="F482" s="19"/>
      <c r="G482" s="20">
        <f t="shared" si="112"/>
        <v>219.6</v>
      </c>
      <c r="H482" s="20">
        <f t="shared" si="112"/>
        <v>219.6</v>
      </c>
      <c r="I482" s="20">
        <f t="shared" si="112"/>
        <v>219.6</v>
      </c>
      <c r="J482" s="103"/>
      <c r="K482" s="103"/>
      <c r="L482" s="103"/>
      <c r="M482" s="103"/>
      <c r="N482" s="103"/>
      <c r="O482" s="103"/>
      <c r="P482" s="103"/>
      <c r="Q482" s="103"/>
    </row>
    <row r="483" spans="1:17" ht="51" customHeight="1" x14ac:dyDescent="0.2">
      <c r="A483" s="23" t="s">
        <v>64</v>
      </c>
      <c r="B483" s="23">
        <v>915</v>
      </c>
      <c r="C483" s="24" t="s">
        <v>17</v>
      </c>
      <c r="D483" s="24" t="s">
        <v>17</v>
      </c>
      <c r="E483" s="24" t="s">
        <v>129</v>
      </c>
      <c r="F483" s="27" t="s">
        <v>65</v>
      </c>
      <c r="G483" s="25">
        <v>219.6</v>
      </c>
      <c r="H483" s="25">
        <v>219.6</v>
      </c>
      <c r="I483" s="25">
        <v>219.6</v>
      </c>
      <c r="J483" s="103"/>
      <c r="K483" s="103"/>
      <c r="L483" s="103"/>
      <c r="M483" s="103"/>
      <c r="N483" s="103"/>
      <c r="O483" s="103"/>
      <c r="P483" s="103"/>
      <c r="Q483" s="103"/>
    </row>
    <row r="484" spans="1:17" s="90" customFormat="1" x14ac:dyDescent="0.2">
      <c r="A484" s="89" t="s">
        <v>50</v>
      </c>
      <c r="B484" s="58">
        <v>915</v>
      </c>
      <c r="C484" s="59" t="s">
        <v>49</v>
      </c>
      <c r="D484" s="59"/>
      <c r="E484" s="59"/>
      <c r="F484" s="59"/>
      <c r="G484" s="62">
        <f>G485+G489+G501+G562+G578</f>
        <v>362940.43400000001</v>
      </c>
      <c r="H484" s="62">
        <f>H485+H489+H501+H562+H578</f>
        <v>359969.98600000003</v>
      </c>
      <c r="I484" s="62">
        <f>I485+I489+I501+I562+I578</f>
        <v>362222.30000000005</v>
      </c>
    </row>
    <row r="485" spans="1:17" s="68" customFormat="1" x14ac:dyDescent="0.2">
      <c r="A485" s="64" t="s">
        <v>51</v>
      </c>
      <c r="B485" s="65">
        <v>915</v>
      </c>
      <c r="C485" s="66" t="s">
        <v>49</v>
      </c>
      <c r="D485" s="66" t="s">
        <v>10</v>
      </c>
      <c r="E485" s="66"/>
      <c r="F485" s="66"/>
      <c r="G485" s="67">
        <f>G486</f>
        <v>9482</v>
      </c>
      <c r="H485" s="67">
        <f>H486</f>
        <v>9482</v>
      </c>
      <c r="I485" s="67">
        <f>I486</f>
        <v>9482</v>
      </c>
    </row>
    <row r="486" spans="1:17" s="73" customFormat="1" ht="75" customHeight="1" x14ac:dyDescent="0.2">
      <c r="A486" s="69" t="s">
        <v>246</v>
      </c>
      <c r="B486" s="70">
        <v>915</v>
      </c>
      <c r="C486" s="71" t="s">
        <v>49</v>
      </c>
      <c r="D486" s="71" t="s">
        <v>10</v>
      </c>
      <c r="E486" s="71" t="s">
        <v>247</v>
      </c>
      <c r="F486" s="71"/>
      <c r="G486" s="72">
        <f>G488+G487</f>
        <v>9482</v>
      </c>
      <c r="H486" s="72">
        <f>H488+H487</f>
        <v>9482</v>
      </c>
      <c r="I486" s="72">
        <f>I488+I487</f>
        <v>9482</v>
      </c>
    </row>
    <row r="487" spans="1:17" s="73" customFormat="1" ht="24.75" customHeight="1" x14ac:dyDescent="0.2">
      <c r="A487" s="81" t="s">
        <v>74</v>
      </c>
      <c r="B487" s="79">
        <v>915</v>
      </c>
      <c r="C487" s="76" t="s">
        <v>49</v>
      </c>
      <c r="D487" s="76" t="s">
        <v>10</v>
      </c>
      <c r="E487" s="76" t="s">
        <v>247</v>
      </c>
      <c r="F487" s="77" t="s">
        <v>66</v>
      </c>
      <c r="G487" s="56">
        <v>47.2</v>
      </c>
      <c r="H487" s="56">
        <v>47.2</v>
      </c>
      <c r="I487" s="56">
        <v>47.2</v>
      </c>
    </row>
    <row r="488" spans="1:17" s="26" customFormat="1" x14ac:dyDescent="0.2">
      <c r="A488" s="28" t="s">
        <v>67</v>
      </c>
      <c r="B488" s="31">
        <v>915</v>
      </c>
      <c r="C488" s="24" t="s">
        <v>49</v>
      </c>
      <c r="D488" s="24" t="s">
        <v>10</v>
      </c>
      <c r="E488" s="24" t="s">
        <v>247</v>
      </c>
      <c r="F488" s="24" t="s">
        <v>68</v>
      </c>
      <c r="G488" s="25">
        <v>9434.7999999999993</v>
      </c>
      <c r="H488" s="25">
        <v>9434.7999999999993</v>
      </c>
      <c r="I488" s="25">
        <v>9434.7999999999993</v>
      </c>
      <c r="J488" s="104"/>
      <c r="K488" s="104"/>
      <c r="L488" s="104"/>
      <c r="M488" s="104"/>
      <c r="N488" s="104"/>
      <c r="O488" s="104"/>
      <c r="P488" s="104"/>
      <c r="Q488" s="104"/>
    </row>
    <row r="489" spans="1:17" s="68" customFormat="1" x14ac:dyDescent="0.2">
      <c r="A489" s="64" t="s">
        <v>52</v>
      </c>
      <c r="B489" s="65">
        <v>915</v>
      </c>
      <c r="C489" s="66" t="s">
        <v>49</v>
      </c>
      <c r="D489" s="66" t="s">
        <v>12</v>
      </c>
      <c r="E489" s="66"/>
      <c r="F489" s="66"/>
      <c r="G489" s="67">
        <f>G490+G492+G499+G496</f>
        <v>186101.03399999999</v>
      </c>
      <c r="H489" s="67">
        <f>H490+H492+H499+H496</f>
        <v>185470.08599999998</v>
      </c>
      <c r="I489" s="67">
        <f>I490+I492+I499+I496</f>
        <v>185030.39999999999</v>
      </c>
    </row>
    <row r="490" spans="1:17" ht="89.25" x14ac:dyDescent="0.2">
      <c r="A490" s="18" t="s">
        <v>728</v>
      </c>
      <c r="B490" s="22">
        <v>915</v>
      </c>
      <c r="C490" s="19" t="s">
        <v>49</v>
      </c>
      <c r="D490" s="19" t="s">
        <v>12</v>
      </c>
      <c r="E490" s="19" t="s">
        <v>727</v>
      </c>
      <c r="F490" s="19"/>
      <c r="G490" s="20">
        <f>G491</f>
        <v>133452.79999999999</v>
      </c>
      <c r="H490" s="20">
        <f>H491</f>
        <v>133452.79999999999</v>
      </c>
      <c r="I490" s="20">
        <f>I491</f>
        <v>133452.79999999999</v>
      </c>
      <c r="J490" s="103"/>
      <c r="K490" s="103"/>
      <c r="L490" s="103"/>
      <c r="M490" s="103"/>
      <c r="N490" s="103"/>
      <c r="O490" s="103"/>
      <c r="P490" s="103"/>
      <c r="Q490" s="103"/>
    </row>
    <row r="491" spans="1:17" s="26" customFormat="1" ht="25.5" x14ac:dyDescent="0.2">
      <c r="A491" s="28" t="s">
        <v>130</v>
      </c>
      <c r="B491" s="31">
        <v>915</v>
      </c>
      <c r="C491" s="24" t="s">
        <v>49</v>
      </c>
      <c r="D491" s="24" t="s">
        <v>12</v>
      </c>
      <c r="E491" s="24" t="s">
        <v>727</v>
      </c>
      <c r="F491" s="24" t="s">
        <v>63</v>
      </c>
      <c r="G491" s="25">
        <f>130196.4+3256.4</f>
        <v>133452.79999999999</v>
      </c>
      <c r="H491" s="25">
        <f>130196.4+3256.4</f>
        <v>133452.79999999999</v>
      </c>
      <c r="I491" s="25">
        <f>130196.4+3256.4</f>
        <v>133452.79999999999</v>
      </c>
      <c r="J491" s="104"/>
      <c r="K491" s="104"/>
      <c r="L491" s="104"/>
      <c r="M491" s="104"/>
      <c r="N491" s="104"/>
      <c r="O491" s="104"/>
      <c r="P491" s="104"/>
      <c r="Q491" s="104"/>
    </row>
    <row r="492" spans="1:17" ht="62.25" customHeight="1" x14ac:dyDescent="0.2">
      <c r="A492" s="18" t="s">
        <v>248</v>
      </c>
      <c r="B492" s="22">
        <v>915</v>
      </c>
      <c r="C492" s="19" t="s">
        <v>49</v>
      </c>
      <c r="D492" s="19" t="s">
        <v>12</v>
      </c>
      <c r="E492" s="19" t="s">
        <v>95</v>
      </c>
      <c r="F492" s="19"/>
      <c r="G492" s="20">
        <f>G493+G495+G494</f>
        <v>51567.600000000006</v>
      </c>
      <c r="H492" s="20">
        <f t="shared" ref="H492:Q492" si="115">H493+H495+H494</f>
        <v>51567.600000000006</v>
      </c>
      <c r="I492" s="20">
        <f t="shared" si="115"/>
        <v>51567.600000000006</v>
      </c>
      <c r="J492" s="193">
        <f t="shared" si="115"/>
        <v>0</v>
      </c>
      <c r="K492" s="193">
        <f t="shared" si="115"/>
        <v>0</v>
      </c>
      <c r="L492" s="193">
        <f t="shared" si="115"/>
        <v>0</v>
      </c>
      <c r="M492" s="193">
        <f t="shared" si="115"/>
        <v>0</v>
      </c>
      <c r="N492" s="193">
        <f t="shared" si="115"/>
        <v>0</v>
      </c>
      <c r="O492" s="193">
        <f t="shared" si="115"/>
        <v>0</v>
      </c>
      <c r="P492" s="193">
        <f t="shared" si="115"/>
        <v>0</v>
      </c>
      <c r="Q492" s="193">
        <f t="shared" si="115"/>
        <v>0</v>
      </c>
    </row>
    <row r="493" spans="1:17" s="26" customFormat="1" ht="54" customHeight="1" x14ac:dyDescent="0.2">
      <c r="A493" s="23" t="s">
        <v>64</v>
      </c>
      <c r="B493" s="31">
        <v>915</v>
      </c>
      <c r="C493" s="24" t="s">
        <v>49</v>
      </c>
      <c r="D493" s="24" t="s">
        <v>12</v>
      </c>
      <c r="E493" s="24" t="s">
        <v>95</v>
      </c>
      <c r="F493" s="27" t="s">
        <v>65</v>
      </c>
      <c r="G493" s="25">
        <f>44230.3+164.2+49.8</f>
        <v>44444.3</v>
      </c>
      <c r="H493" s="25">
        <f>44230.3+164.2+49.8</f>
        <v>44444.3</v>
      </c>
      <c r="I493" s="25">
        <f>44230.3+164.2+49.8</f>
        <v>44444.3</v>
      </c>
      <c r="J493" s="104"/>
      <c r="K493" s="104"/>
      <c r="L493" s="104"/>
      <c r="M493" s="104"/>
      <c r="N493" s="104"/>
      <c r="O493" s="104"/>
      <c r="P493" s="104"/>
      <c r="Q493" s="104"/>
    </row>
    <row r="494" spans="1:17" s="26" customFormat="1" ht="25.5" x14ac:dyDescent="0.2">
      <c r="A494" s="28" t="s">
        <v>74</v>
      </c>
      <c r="B494" s="31">
        <v>915</v>
      </c>
      <c r="C494" s="24" t="s">
        <v>49</v>
      </c>
      <c r="D494" s="24" t="s">
        <v>12</v>
      </c>
      <c r="E494" s="24" t="s">
        <v>95</v>
      </c>
      <c r="F494" s="27" t="s">
        <v>66</v>
      </c>
      <c r="G494" s="25">
        <f>195.5+5809.8+500+323</f>
        <v>6828.3</v>
      </c>
      <c r="H494" s="25">
        <f>195.5+5809.8+500+323</f>
        <v>6828.3</v>
      </c>
      <c r="I494" s="25">
        <f>195.5+5809.8+500+323</f>
        <v>6828.3</v>
      </c>
      <c r="J494" s="104"/>
      <c r="K494" s="104"/>
      <c r="L494" s="104"/>
      <c r="M494" s="104"/>
      <c r="N494" s="104"/>
      <c r="O494" s="104"/>
      <c r="P494" s="104"/>
      <c r="Q494" s="104"/>
    </row>
    <row r="495" spans="1:17" s="78" customFormat="1" x14ac:dyDescent="0.2">
      <c r="A495" s="81" t="s">
        <v>70</v>
      </c>
      <c r="B495" s="80">
        <v>915</v>
      </c>
      <c r="C495" s="76" t="s">
        <v>49</v>
      </c>
      <c r="D495" s="76" t="s">
        <v>12</v>
      </c>
      <c r="E495" s="76" t="s">
        <v>95</v>
      </c>
      <c r="F495" s="76" t="s">
        <v>71</v>
      </c>
      <c r="G495" s="56">
        <v>295</v>
      </c>
      <c r="H495" s="56">
        <v>295</v>
      </c>
      <c r="I495" s="56">
        <v>295</v>
      </c>
    </row>
    <row r="496" spans="1:17" s="26" customFormat="1" ht="25.5" x14ac:dyDescent="0.2">
      <c r="A496" s="18" t="s">
        <v>249</v>
      </c>
      <c r="B496" s="22">
        <v>915</v>
      </c>
      <c r="C496" s="19" t="s">
        <v>49</v>
      </c>
      <c r="D496" s="19" t="s">
        <v>12</v>
      </c>
      <c r="E496" s="19" t="s">
        <v>308</v>
      </c>
      <c r="F496" s="19"/>
      <c r="G496" s="25">
        <f>G498+G497</f>
        <v>1070.634</v>
      </c>
      <c r="H496" s="25">
        <f t="shared" ref="H496:Q496" si="116">H498+H497</f>
        <v>439.68599999999998</v>
      </c>
      <c r="I496" s="25">
        <f t="shared" si="116"/>
        <v>0</v>
      </c>
      <c r="J496" s="192">
        <f t="shared" si="116"/>
        <v>0</v>
      </c>
      <c r="K496" s="192">
        <f t="shared" si="116"/>
        <v>0</v>
      </c>
      <c r="L496" s="192">
        <f t="shared" si="116"/>
        <v>0</v>
      </c>
      <c r="M496" s="192">
        <f t="shared" si="116"/>
        <v>0</v>
      </c>
      <c r="N496" s="192">
        <f t="shared" si="116"/>
        <v>0</v>
      </c>
      <c r="O496" s="192">
        <f t="shared" si="116"/>
        <v>0</v>
      </c>
      <c r="P496" s="192">
        <f t="shared" si="116"/>
        <v>0</v>
      </c>
      <c r="Q496" s="192">
        <f t="shared" si="116"/>
        <v>0</v>
      </c>
    </row>
    <row r="497" spans="1:17" s="26" customFormat="1" ht="63.75" x14ac:dyDescent="0.2">
      <c r="A497" s="23" t="s">
        <v>64</v>
      </c>
      <c r="B497" s="31">
        <v>915</v>
      </c>
      <c r="C497" s="24" t="s">
        <v>49</v>
      </c>
      <c r="D497" s="24" t="s">
        <v>12</v>
      </c>
      <c r="E497" s="24" t="s">
        <v>308</v>
      </c>
      <c r="F497" s="19" t="s">
        <v>65</v>
      </c>
      <c r="G497" s="25">
        <v>20.399999999999999</v>
      </c>
      <c r="H497" s="25">
        <v>0</v>
      </c>
      <c r="I497" s="25">
        <v>0</v>
      </c>
      <c r="J497" s="104"/>
      <c r="K497" s="104"/>
      <c r="L497" s="104"/>
      <c r="M497" s="104"/>
      <c r="N497" s="104"/>
      <c r="O497" s="104"/>
      <c r="P497" s="104"/>
      <c r="Q497" s="104"/>
    </row>
    <row r="498" spans="1:17" s="26" customFormat="1" ht="25.5" x14ac:dyDescent="0.2">
      <c r="A498" s="28" t="s">
        <v>74</v>
      </c>
      <c r="B498" s="31">
        <v>915</v>
      </c>
      <c r="C498" s="24" t="s">
        <v>49</v>
      </c>
      <c r="D498" s="24" t="s">
        <v>12</v>
      </c>
      <c r="E498" s="24" t="s">
        <v>308</v>
      </c>
      <c r="F498" s="27" t="s">
        <v>66</v>
      </c>
      <c r="G498" s="25">
        <f>24.3+1025.934</f>
        <v>1050.2339999999999</v>
      </c>
      <c r="H498" s="25">
        <v>439.68599999999998</v>
      </c>
      <c r="I498" s="25">
        <v>0</v>
      </c>
      <c r="J498" s="104"/>
      <c r="K498" s="104"/>
      <c r="L498" s="104"/>
      <c r="M498" s="104"/>
      <c r="N498" s="104"/>
      <c r="O498" s="104"/>
      <c r="P498" s="104"/>
      <c r="Q498" s="104"/>
    </row>
    <row r="499" spans="1:17" s="21" customFormat="1" ht="75" customHeight="1" x14ac:dyDescent="0.2">
      <c r="A499" s="18" t="s">
        <v>254</v>
      </c>
      <c r="B499" s="22">
        <v>915</v>
      </c>
      <c r="C499" s="19" t="s">
        <v>49</v>
      </c>
      <c r="D499" s="19" t="s">
        <v>12</v>
      </c>
      <c r="E499" s="19" t="s">
        <v>110</v>
      </c>
      <c r="F499" s="19"/>
      <c r="G499" s="20">
        <f>G500</f>
        <v>10</v>
      </c>
      <c r="H499" s="20">
        <f>H500</f>
        <v>10</v>
      </c>
      <c r="I499" s="20">
        <f>I500</f>
        <v>10</v>
      </c>
    </row>
    <row r="500" spans="1:17" s="78" customFormat="1" ht="50.25" customHeight="1" x14ac:dyDescent="0.2">
      <c r="A500" s="74" t="s">
        <v>64</v>
      </c>
      <c r="B500" s="80">
        <v>915</v>
      </c>
      <c r="C500" s="76" t="s">
        <v>49</v>
      </c>
      <c r="D500" s="76" t="s">
        <v>12</v>
      </c>
      <c r="E500" s="76" t="s">
        <v>110</v>
      </c>
      <c r="F500" s="76" t="s">
        <v>65</v>
      </c>
      <c r="G500" s="56">
        <v>10</v>
      </c>
      <c r="H500" s="56">
        <v>10</v>
      </c>
      <c r="I500" s="56">
        <v>10</v>
      </c>
    </row>
    <row r="501" spans="1:17" s="68" customFormat="1" x14ac:dyDescent="0.2">
      <c r="A501" s="64" t="s">
        <v>53</v>
      </c>
      <c r="B501" s="65">
        <v>915</v>
      </c>
      <c r="C501" s="66" t="s">
        <v>49</v>
      </c>
      <c r="D501" s="66" t="s">
        <v>14</v>
      </c>
      <c r="E501" s="66"/>
      <c r="F501" s="66"/>
      <c r="G501" s="67">
        <f>G511+G514+G517+G520+G523+G526+G529+G532+G535+G538+G541+G502+G505+G543+G546+G549+G552+G555+G558+G508</f>
        <v>7712.8</v>
      </c>
      <c r="H501" s="67">
        <f t="shared" ref="H501:I501" si="117">H511+H514+H517+H520+H523+H526+H529+H532+H535+H538+H541+H502+H505+H543+H546+H549+H552+H555+H558+H508</f>
        <v>7708</v>
      </c>
      <c r="I501" s="67">
        <f t="shared" si="117"/>
        <v>7708</v>
      </c>
    </row>
    <row r="502" spans="1:17" s="21" customFormat="1" ht="51" customHeight="1" x14ac:dyDescent="0.2">
      <c r="A502" s="18" t="s">
        <v>235</v>
      </c>
      <c r="B502" s="22">
        <v>915</v>
      </c>
      <c r="C502" s="19" t="s">
        <v>49</v>
      </c>
      <c r="D502" s="19" t="s">
        <v>14</v>
      </c>
      <c r="E502" s="19" t="s">
        <v>389</v>
      </c>
      <c r="F502" s="19"/>
      <c r="G502" s="20">
        <f>G504+G503</f>
        <v>42.5</v>
      </c>
      <c r="H502" s="20">
        <f>H504+H503</f>
        <v>42.5</v>
      </c>
      <c r="I502" s="20">
        <f>I504+I503</f>
        <v>42.5</v>
      </c>
    </row>
    <row r="503" spans="1:17" s="26" customFormat="1" ht="25.5" x14ac:dyDescent="0.2">
      <c r="A503" s="28" t="s">
        <v>74</v>
      </c>
      <c r="B503" s="23">
        <v>915</v>
      </c>
      <c r="C503" s="24" t="s">
        <v>49</v>
      </c>
      <c r="D503" s="24" t="s">
        <v>14</v>
      </c>
      <c r="E503" s="24" t="s">
        <v>389</v>
      </c>
      <c r="F503" s="27" t="s">
        <v>66</v>
      </c>
      <c r="G503" s="25"/>
      <c r="H503" s="25"/>
      <c r="I503" s="25"/>
    </row>
    <row r="504" spans="1:17" s="26" customFormat="1" x14ac:dyDescent="0.2">
      <c r="A504" s="28" t="s">
        <v>67</v>
      </c>
      <c r="B504" s="31">
        <v>915</v>
      </c>
      <c r="C504" s="24" t="s">
        <v>49</v>
      </c>
      <c r="D504" s="24" t="s">
        <v>14</v>
      </c>
      <c r="E504" s="24" t="s">
        <v>389</v>
      </c>
      <c r="F504" s="24" t="s">
        <v>68</v>
      </c>
      <c r="G504" s="25">
        <v>42.5</v>
      </c>
      <c r="H504" s="25">
        <v>42.5</v>
      </c>
      <c r="I504" s="25">
        <v>42.5</v>
      </c>
      <c r="J504" s="104"/>
      <c r="K504" s="104"/>
      <c r="L504" s="104"/>
      <c r="M504" s="104"/>
      <c r="N504" s="104"/>
      <c r="O504" s="104"/>
      <c r="P504" s="104"/>
      <c r="Q504" s="104"/>
    </row>
    <row r="505" spans="1:17" s="73" customFormat="1" ht="51" customHeight="1" x14ac:dyDescent="0.2">
      <c r="A505" s="69" t="s">
        <v>255</v>
      </c>
      <c r="B505" s="70">
        <v>915</v>
      </c>
      <c r="C505" s="71" t="s">
        <v>49</v>
      </c>
      <c r="D505" s="71" t="s">
        <v>14</v>
      </c>
      <c r="E505" s="71" t="s">
        <v>390</v>
      </c>
      <c r="F505" s="71"/>
      <c r="G505" s="72">
        <f>G507+G506</f>
        <v>0</v>
      </c>
      <c r="H505" s="72">
        <f>H507+H506</f>
        <v>0</v>
      </c>
      <c r="I505" s="72">
        <f>I507+I506</f>
        <v>0</v>
      </c>
    </row>
    <row r="506" spans="1:17" s="78" customFormat="1" ht="25.5" x14ac:dyDescent="0.2">
      <c r="A506" s="81" t="s">
        <v>74</v>
      </c>
      <c r="B506" s="79">
        <v>915</v>
      </c>
      <c r="C506" s="76" t="s">
        <v>49</v>
      </c>
      <c r="D506" s="76" t="s">
        <v>14</v>
      </c>
      <c r="E506" s="76" t="s">
        <v>390</v>
      </c>
      <c r="F506" s="77" t="s">
        <v>66</v>
      </c>
      <c r="G506" s="56"/>
      <c r="H506" s="56"/>
      <c r="I506" s="56"/>
    </row>
    <row r="507" spans="1:17" s="26" customFormat="1" x14ac:dyDescent="0.2">
      <c r="A507" s="28" t="s">
        <v>67</v>
      </c>
      <c r="B507" s="31">
        <v>915</v>
      </c>
      <c r="C507" s="24" t="s">
        <v>49</v>
      </c>
      <c r="D507" s="24" t="s">
        <v>14</v>
      </c>
      <c r="E507" s="24" t="s">
        <v>390</v>
      </c>
      <c r="F507" s="24" t="s">
        <v>68</v>
      </c>
      <c r="G507" s="25"/>
      <c r="H507" s="25"/>
      <c r="I507" s="25"/>
      <c r="J507" s="104"/>
      <c r="K507" s="104"/>
      <c r="L507" s="104"/>
      <c r="M507" s="104"/>
      <c r="N507" s="104"/>
      <c r="O507" s="104"/>
      <c r="P507" s="104"/>
      <c r="Q507" s="104"/>
    </row>
    <row r="508" spans="1:17" ht="40.5" customHeight="1" x14ac:dyDescent="0.2">
      <c r="A508" s="18" t="s">
        <v>250</v>
      </c>
      <c r="B508" s="18">
        <v>915</v>
      </c>
      <c r="C508" s="19" t="s">
        <v>49</v>
      </c>
      <c r="D508" s="19" t="s">
        <v>14</v>
      </c>
      <c r="E508" s="19" t="s">
        <v>109</v>
      </c>
      <c r="F508" s="19"/>
      <c r="G508" s="20">
        <f>G510+G509</f>
        <v>0</v>
      </c>
      <c r="H508" s="20">
        <f>H510+H509</f>
        <v>0</v>
      </c>
      <c r="I508" s="20">
        <f>I510+I509</f>
        <v>0</v>
      </c>
      <c r="J508" s="103"/>
      <c r="K508" s="103"/>
      <c r="L508" s="103"/>
      <c r="M508" s="103"/>
      <c r="N508" s="103"/>
      <c r="O508" s="103"/>
      <c r="P508" s="103"/>
      <c r="Q508" s="103"/>
    </row>
    <row r="509" spans="1:17" s="21" customFormat="1" ht="25.5" x14ac:dyDescent="0.2">
      <c r="A509" s="28" t="s">
        <v>74</v>
      </c>
      <c r="B509" s="23">
        <v>915</v>
      </c>
      <c r="C509" s="24" t="s">
        <v>49</v>
      </c>
      <c r="D509" s="24" t="s">
        <v>14</v>
      </c>
      <c r="E509" s="24" t="s">
        <v>109</v>
      </c>
      <c r="F509" s="27" t="s">
        <v>66</v>
      </c>
      <c r="G509" s="25"/>
      <c r="H509" s="25"/>
      <c r="I509" s="25"/>
    </row>
    <row r="510" spans="1:17" x14ac:dyDescent="0.2">
      <c r="A510" s="28" t="s">
        <v>67</v>
      </c>
      <c r="B510" s="28">
        <v>915</v>
      </c>
      <c r="C510" s="24" t="s">
        <v>49</v>
      </c>
      <c r="D510" s="24" t="s">
        <v>14</v>
      </c>
      <c r="E510" s="24" t="s">
        <v>109</v>
      </c>
      <c r="F510" s="24" t="s">
        <v>68</v>
      </c>
      <c r="G510" s="25"/>
      <c r="H510" s="25"/>
      <c r="I510" s="25"/>
      <c r="J510" s="103"/>
      <c r="K510" s="103"/>
      <c r="L510" s="103"/>
      <c r="M510" s="103"/>
      <c r="N510" s="103"/>
      <c r="O510" s="103"/>
      <c r="P510" s="103"/>
      <c r="Q510" s="103"/>
    </row>
    <row r="511" spans="1:17" s="73" customFormat="1" ht="38.25" x14ac:dyDescent="0.2">
      <c r="A511" s="69" t="s">
        <v>251</v>
      </c>
      <c r="B511" s="70">
        <v>915</v>
      </c>
      <c r="C511" s="71" t="s">
        <v>49</v>
      </c>
      <c r="D511" s="71" t="s">
        <v>14</v>
      </c>
      <c r="E511" s="71" t="s">
        <v>97</v>
      </c>
      <c r="F511" s="71"/>
      <c r="G511" s="72">
        <f>G513+G512</f>
        <v>0</v>
      </c>
      <c r="H511" s="72">
        <f>H513+H512</f>
        <v>0</v>
      </c>
      <c r="I511" s="72">
        <f>I513+I512</f>
        <v>0</v>
      </c>
      <c r="J511" s="103"/>
      <c r="K511" s="103"/>
      <c r="L511" s="103"/>
      <c r="M511" s="103"/>
      <c r="N511" s="103"/>
      <c r="O511" s="103"/>
      <c r="P511" s="103"/>
      <c r="Q511" s="103"/>
    </row>
    <row r="512" spans="1:17" s="26" customFormat="1" ht="25.5" x14ac:dyDescent="0.2">
      <c r="A512" s="28" t="s">
        <v>74</v>
      </c>
      <c r="B512" s="23">
        <v>915</v>
      </c>
      <c r="C512" s="24" t="s">
        <v>49</v>
      </c>
      <c r="D512" s="24" t="s">
        <v>14</v>
      </c>
      <c r="E512" s="24" t="s">
        <v>97</v>
      </c>
      <c r="F512" s="27" t="s">
        <v>66</v>
      </c>
      <c r="G512" s="25"/>
      <c r="H512" s="25"/>
      <c r="I512" s="25"/>
      <c r="J512" s="104"/>
      <c r="K512" s="104"/>
      <c r="L512" s="104"/>
      <c r="M512" s="104"/>
      <c r="N512" s="104"/>
      <c r="O512" s="104"/>
      <c r="P512" s="104"/>
      <c r="Q512" s="104"/>
    </row>
    <row r="513" spans="1:17" s="26" customFormat="1" x14ac:dyDescent="0.2">
      <c r="A513" s="28" t="s">
        <v>67</v>
      </c>
      <c r="B513" s="31">
        <v>915</v>
      </c>
      <c r="C513" s="24" t="s">
        <v>49</v>
      </c>
      <c r="D513" s="24" t="s">
        <v>14</v>
      </c>
      <c r="E513" s="24" t="s">
        <v>97</v>
      </c>
      <c r="F513" s="24" t="s">
        <v>68</v>
      </c>
      <c r="G513" s="25"/>
      <c r="H513" s="25"/>
      <c r="I513" s="25"/>
      <c r="J513" s="104"/>
      <c r="K513" s="104"/>
      <c r="L513" s="104"/>
      <c r="M513" s="104"/>
      <c r="N513" s="104"/>
      <c r="O513" s="104"/>
      <c r="P513" s="104"/>
      <c r="Q513" s="104"/>
    </row>
    <row r="514" spans="1:17" s="21" customFormat="1" ht="25.5" x14ac:dyDescent="0.2">
      <c r="A514" s="18" t="s">
        <v>252</v>
      </c>
      <c r="B514" s="22">
        <v>915</v>
      </c>
      <c r="C514" s="19" t="s">
        <v>49</v>
      </c>
      <c r="D514" s="19" t="s">
        <v>14</v>
      </c>
      <c r="E514" s="19" t="s">
        <v>99</v>
      </c>
      <c r="F514" s="19"/>
      <c r="G514" s="20">
        <f>G516+G515</f>
        <v>0</v>
      </c>
      <c r="H514" s="20">
        <f>H516+H515</f>
        <v>0</v>
      </c>
      <c r="I514" s="20">
        <f>I516+I515</f>
        <v>0</v>
      </c>
    </row>
    <row r="515" spans="1:17" s="26" customFormat="1" ht="25.5" x14ac:dyDescent="0.2">
      <c r="A515" s="28" t="s">
        <v>74</v>
      </c>
      <c r="B515" s="23">
        <v>915</v>
      </c>
      <c r="C515" s="24" t="s">
        <v>49</v>
      </c>
      <c r="D515" s="24" t="s">
        <v>14</v>
      </c>
      <c r="E515" s="24" t="s">
        <v>99</v>
      </c>
      <c r="F515" s="27" t="s">
        <v>66</v>
      </c>
      <c r="G515" s="25"/>
      <c r="H515" s="25"/>
      <c r="I515" s="25"/>
    </row>
    <row r="516" spans="1:17" s="26" customFormat="1" x14ac:dyDescent="0.2">
      <c r="A516" s="28" t="s">
        <v>67</v>
      </c>
      <c r="B516" s="31">
        <v>915</v>
      </c>
      <c r="C516" s="24" t="s">
        <v>49</v>
      </c>
      <c r="D516" s="24" t="s">
        <v>14</v>
      </c>
      <c r="E516" s="24" t="s">
        <v>99</v>
      </c>
      <c r="F516" s="24" t="s">
        <v>68</v>
      </c>
      <c r="G516" s="25"/>
      <c r="H516" s="25"/>
      <c r="I516" s="25"/>
      <c r="J516" s="104"/>
      <c r="K516" s="104"/>
      <c r="L516" s="104"/>
      <c r="M516" s="104"/>
      <c r="N516" s="104"/>
      <c r="O516" s="104"/>
      <c r="P516" s="104"/>
      <c r="Q516" s="104"/>
    </row>
    <row r="517" spans="1:17" ht="77.25" customHeight="1" x14ac:dyDescent="0.2">
      <c r="A517" s="18" t="s">
        <v>253</v>
      </c>
      <c r="B517" s="22">
        <v>915</v>
      </c>
      <c r="C517" s="19" t="s">
        <v>49</v>
      </c>
      <c r="D517" s="19" t="s">
        <v>14</v>
      </c>
      <c r="E517" s="19" t="s">
        <v>98</v>
      </c>
      <c r="F517" s="19"/>
      <c r="G517" s="20">
        <f>G518+G519</f>
        <v>4.8000000000000007</v>
      </c>
      <c r="H517" s="20">
        <f>H518+H519</f>
        <v>0</v>
      </c>
      <c r="I517" s="20">
        <f>I518+I519</f>
        <v>0</v>
      </c>
      <c r="J517" s="103"/>
      <c r="K517" s="103"/>
      <c r="L517" s="103"/>
      <c r="M517" s="103"/>
      <c r="N517" s="103"/>
      <c r="O517" s="103"/>
      <c r="P517" s="103"/>
      <c r="Q517" s="103"/>
    </row>
    <row r="518" spans="1:17" s="26" customFormat="1" ht="25.5" x14ac:dyDescent="0.2">
      <c r="A518" s="28" t="s">
        <v>74</v>
      </c>
      <c r="B518" s="23">
        <v>915</v>
      </c>
      <c r="C518" s="24" t="s">
        <v>49</v>
      </c>
      <c r="D518" s="24" t="s">
        <v>14</v>
      </c>
      <c r="E518" s="24" t="s">
        <v>98</v>
      </c>
      <c r="F518" s="27" t="s">
        <v>66</v>
      </c>
      <c r="G518" s="25">
        <f>0.1-0.00687</f>
        <v>9.3130000000000004E-2</v>
      </c>
      <c r="H518" s="25"/>
      <c r="I518" s="25"/>
      <c r="J518" s="104"/>
      <c r="K518" s="104"/>
      <c r="L518" s="104"/>
      <c r="M518" s="104"/>
      <c r="N518" s="104"/>
      <c r="O518" s="104"/>
      <c r="P518" s="104"/>
      <c r="Q518" s="104"/>
    </row>
    <row r="519" spans="1:17" s="26" customFormat="1" x14ac:dyDescent="0.2">
      <c r="A519" s="28" t="s">
        <v>67</v>
      </c>
      <c r="B519" s="31">
        <v>915</v>
      </c>
      <c r="C519" s="24" t="s">
        <v>49</v>
      </c>
      <c r="D519" s="24" t="s">
        <v>14</v>
      </c>
      <c r="E519" s="24" t="s">
        <v>98</v>
      </c>
      <c r="F519" s="24" t="s">
        <v>68</v>
      </c>
      <c r="G519" s="25">
        <f>4.7+0.00687</f>
        <v>4.7068700000000003</v>
      </c>
      <c r="H519" s="25"/>
      <c r="I519" s="25"/>
      <c r="J519" s="104"/>
      <c r="K519" s="104"/>
      <c r="L519" s="104"/>
      <c r="M519" s="104"/>
      <c r="N519" s="104"/>
      <c r="O519" s="104"/>
      <c r="P519" s="104"/>
      <c r="Q519" s="104"/>
    </row>
    <row r="520" spans="1:17" s="21" customFormat="1" ht="63.75" x14ac:dyDescent="0.2">
      <c r="A520" s="18" t="s">
        <v>168</v>
      </c>
      <c r="B520" s="22">
        <v>915</v>
      </c>
      <c r="C520" s="19" t="s">
        <v>49</v>
      </c>
      <c r="D520" s="19" t="s">
        <v>14</v>
      </c>
      <c r="E520" s="19" t="s">
        <v>89</v>
      </c>
      <c r="F520" s="19"/>
      <c r="G520" s="20">
        <f>G522+G521</f>
        <v>2070</v>
      </c>
      <c r="H520" s="20">
        <f>H522+H521</f>
        <v>2070</v>
      </c>
      <c r="I520" s="20">
        <f>I522+I521</f>
        <v>2070</v>
      </c>
    </row>
    <row r="521" spans="1:17" s="26" customFormat="1" ht="25.5" x14ac:dyDescent="0.2">
      <c r="A521" s="28" t="s">
        <v>74</v>
      </c>
      <c r="B521" s="23">
        <v>915</v>
      </c>
      <c r="C521" s="24" t="s">
        <v>49</v>
      </c>
      <c r="D521" s="24" t="s">
        <v>14</v>
      </c>
      <c r="E521" s="24" t="s">
        <v>89</v>
      </c>
      <c r="F521" s="27" t="s">
        <v>66</v>
      </c>
      <c r="G521" s="25"/>
      <c r="H521" s="25"/>
      <c r="I521" s="25"/>
    </row>
    <row r="522" spans="1:17" s="26" customFormat="1" x14ac:dyDescent="0.2">
      <c r="A522" s="28" t="s">
        <v>67</v>
      </c>
      <c r="B522" s="31">
        <v>915</v>
      </c>
      <c r="C522" s="24" t="s">
        <v>49</v>
      </c>
      <c r="D522" s="24" t="s">
        <v>14</v>
      </c>
      <c r="E522" s="24" t="s">
        <v>89</v>
      </c>
      <c r="F522" s="24" t="s">
        <v>68</v>
      </c>
      <c r="G522" s="25">
        <v>2070</v>
      </c>
      <c r="H522" s="25">
        <v>2070</v>
      </c>
      <c r="I522" s="25">
        <v>2070</v>
      </c>
      <c r="J522" s="104"/>
      <c r="K522" s="104"/>
      <c r="L522" s="104"/>
      <c r="M522" s="104"/>
      <c r="N522" s="104"/>
      <c r="O522" s="104"/>
      <c r="P522" s="104"/>
      <c r="Q522" s="104"/>
    </row>
    <row r="523" spans="1:17" s="21" customFormat="1" ht="140.25" x14ac:dyDescent="0.2">
      <c r="A523" s="18" t="s">
        <v>302</v>
      </c>
      <c r="B523" s="22">
        <v>915</v>
      </c>
      <c r="C523" s="19" t="s">
        <v>49</v>
      </c>
      <c r="D523" s="19" t="s">
        <v>14</v>
      </c>
      <c r="E523" s="19" t="s">
        <v>90</v>
      </c>
      <c r="F523" s="19"/>
      <c r="G523" s="20">
        <f>G525+G524</f>
        <v>36</v>
      </c>
      <c r="H523" s="20">
        <f>H525+H524</f>
        <v>36</v>
      </c>
      <c r="I523" s="20">
        <f>I525+I524</f>
        <v>36</v>
      </c>
    </row>
    <row r="524" spans="1:17" s="26" customFormat="1" ht="25.5" x14ac:dyDescent="0.2">
      <c r="A524" s="28" t="s">
        <v>74</v>
      </c>
      <c r="B524" s="31">
        <v>915</v>
      </c>
      <c r="C524" s="24" t="s">
        <v>49</v>
      </c>
      <c r="D524" s="24" t="s">
        <v>14</v>
      </c>
      <c r="E524" s="24" t="s">
        <v>90</v>
      </c>
      <c r="F524" s="27" t="s">
        <v>66</v>
      </c>
      <c r="G524" s="25"/>
      <c r="H524" s="25"/>
      <c r="I524" s="25"/>
    </row>
    <row r="525" spans="1:17" s="78" customFormat="1" x14ac:dyDescent="0.2">
      <c r="A525" s="81" t="s">
        <v>67</v>
      </c>
      <c r="B525" s="80">
        <v>915</v>
      </c>
      <c r="C525" s="76" t="s">
        <v>49</v>
      </c>
      <c r="D525" s="76" t="s">
        <v>14</v>
      </c>
      <c r="E525" s="76" t="s">
        <v>90</v>
      </c>
      <c r="F525" s="76" t="s">
        <v>68</v>
      </c>
      <c r="G525" s="56">
        <v>36</v>
      </c>
      <c r="H525" s="56">
        <v>36</v>
      </c>
      <c r="I525" s="56">
        <v>36</v>
      </c>
    </row>
    <row r="526" spans="1:17" s="21" customFormat="1" ht="76.5" customHeight="1" x14ac:dyDescent="0.2">
      <c r="A526" s="18" t="s">
        <v>391</v>
      </c>
      <c r="B526" s="22">
        <v>915</v>
      </c>
      <c r="C526" s="19" t="s">
        <v>49</v>
      </c>
      <c r="D526" s="19" t="s">
        <v>14</v>
      </c>
      <c r="E526" s="19" t="s">
        <v>91</v>
      </c>
      <c r="F526" s="19"/>
      <c r="G526" s="20">
        <f>G528+G527</f>
        <v>260</v>
      </c>
      <c r="H526" s="20">
        <f>H528+H527</f>
        <v>260</v>
      </c>
      <c r="I526" s="20">
        <f>I528+I527</f>
        <v>260</v>
      </c>
    </row>
    <row r="527" spans="1:17" s="26" customFormat="1" ht="25.5" x14ac:dyDescent="0.2">
      <c r="A527" s="28" t="s">
        <v>74</v>
      </c>
      <c r="B527" s="23">
        <v>915</v>
      </c>
      <c r="C527" s="24" t="s">
        <v>49</v>
      </c>
      <c r="D527" s="24" t="s">
        <v>14</v>
      </c>
      <c r="E527" s="24" t="s">
        <v>91</v>
      </c>
      <c r="F527" s="27" t="s">
        <v>66</v>
      </c>
      <c r="G527" s="25"/>
      <c r="H527" s="25"/>
      <c r="I527" s="25"/>
    </row>
    <row r="528" spans="1:17" s="78" customFormat="1" x14ac:dyDescent="0.2">
      <c r="A528" s="81" t="s">
        <v>67</v>
      </c>
      <c r="B528" s="80">
        <v>915</v>
      </c>
      <c r="C528" s="76" t="s">
        <v>49</v>
      </c>
      <c r="D528" s="76" t="s">
        <v>14</v>
      </c>
      <c r="E528" s="76" t="s">
        <v>91</v>
      </c>
      <c r="F528" s="76" t="s">
        <v>68</v>
      </c>
      <c r="G528" s="56">
        <v>260</v>
      </c>
      <c r="H528" s="56">
        <v>260</v>
      </c>
      <c r="I528" s="56">
        <v>260</v>
      </c>
    </row>
    <row r="529" spans="1:17" ht="63.75" x14ac:dyDescent="0.2">
      <c r="A529" s="18" t="s">
        <v>169</v>
      </c>
      <c r="B529" s="22">
        <v>915</v>
      </c>
      <c r="C529" s="19" t="s">
        <v>49</v>
      </c>
      <c r="D529" s="19" t="s">
        <v>14</v>
      </c>
      <c r="E529" s="19" t="s">
        <v>92</v>
      </c>
      <c r="F529" s="19"/>
      <c r="G529" s="20">
        <f>G531+G530</f>
        <v>29.1</v>
      </c>
      <c r="H529" s="20">
        <f>H531+H530</f>
        <v>29.1</v>
      </c>
      <c r="I529" s="20">
        <f>I531+I530</f>
        <v>29.1</v>
      </c>
      <c r="J529" s="103"/>
      <c r="K529" s="103"/>
      <c r="L529" s="103"/>
      <c r="M529" s="103"/>
      <c r="N529" s="103"/>
      <c r="O529" s="103"/>
      <c r="P529" s="103"/>
      <c r="Q529" s="103"/>
    </row>
    <row r="530" spans="1:17" s="26" customFormat="1" ht="25.5" x14ac:dyDescent="0.2">
      <c r="A530" s="28" t="s">
        <v>74</v>
      </c>
      <c r="B530" s="23">
        <v>915</v>
      </c>
      <c r="C530" s="24" t="s">
        <v>49</v>
      </c>
      <c r="D530" s="24" t="s">
        <v>14</v>
      </c>
      <c r="E530" s="24" t="s">
        <v>92</v>
      </c>
      <c r="F530" s="27" t="s">
        <v>66</v>
      </c>
      <c r="G530" s="25"/>
      <c r="H530" s="25"/>
      <c r="I530" s="25"/>
      <c r="J530" s="104"/>
      <c r="K530" s="104"/>
      <c r="L530" s="104"/>
      <c r="M530" s="104"/>
      <c r="N530" s="104"/>
      <c r="O530" s="104"/>
      <c r="P530" s="104"/>
      <c r="Q530" s="104"/>
    </row>
    <row r="531" spans="1:17" s="26" customFormat="1" x14ac:dyDescent="0.2">
      <c r="A531" s="28" t="s">
        <v>67</v>
      </c>
      <c r="B531" s="31">
        <v>915</v>
      </c>
      <c r="C531" s="24" t="s">
        <v>49</v>
      </c>
      <c r="D531" s="24" t="s">
        <v>14</v>
      </c>
      <c r="E531" s="24" t="s">
        <v>92</v>
      </c>
      <c r="F531" s="24" t="s">
        <v>68</v>
      </c>
      <c r="G531" s="25">
        <v>29.1</v>
      </c>
      <c r="H531" s="25">
        <v>29.1</v>
      </c>
      <c r="I531" s="25">
        <v>29.1</v>
      </c>
      <c r="J531" s="104"/>
      <c r="K531" s="104"/>
      <c r="L531" s="104"/>
      <c r="M531" s="104"/>
      <c r="N531" s="104"/>
      <c r="O531" s="104"/>
      <c r="P531" s="104"/>
      <c r="Q531" s="104"/>
    </row>
    <row r="532" spans="1:17" s="21" customFormat="1" ht="63.75" x14ac:dyDescent="0.2">
      <c r="A532" s="18" t="s">
        <v>303</v>
      </c>
      <c r="B532" s="48">
        <v>915</v>
      </c>
      <c r="C532" s="19" t="s">
        <v>49</v>
      </c>
      <c r="D532" s="19" t="s">
        <v>14</v>
      </c>
      <c r="E532" s="19" t="s">
        <v>103</v>
      </c>
      <c r="F532" s="19"/>
      <c r="G532" s="20">
        <f>G534+G533</f>
        <v>0</v>
      </c>
      <c r="H532" s="20">
        <f>H534+H533</f>
        <v>0</v>
      </c>
      <c r="I532" s="20">
        <f>I534+I533</f>
        <v>0</v>
      </c>
    </row>
    <row r="533" spans="1:17" s="26" customFormat="1" ht="25.5" x14ac:dyDescent="0.2">
      <c r="A533" s="28" t="s">
        <v>74</v>
      </c>
      <c r="B533" s="23">
        <v>915</v>
      </c>
      <c r="C533" s="24" t="s">
        <v>49</v>
      </c>
      <c r="D533" s="24" t="s">
        <v>14</v>
      </c>
      <c r="E533" s="24" t="s">
        <v>103</v>
      </c>
      <c r="F533" s="27" t="s">
        <v>66</v>
      </c>
      <c r="G533" s="25"/>
      <c r="H533" s="25"/>
      <c r="I533" s="25"/>
    </row>
    <row r="534" spans="1:17" s="26" customFormat="1" x14ac:dyDescent="0.2">
      <c r="A534" s="28" t="s">
        <v>67</v>
      </c>
      <c r="B534" s="31">
        <v>915</v>
      </c>
      <c r="C534" s="24" t="s">
        <v>49</v>
      </c>
      <c r="D534" s="24" t="s">
        <v>14</v>
      </c>
      <c r="E534" s="24" t="s">
        <v>103</v>
      </c>
      <c r="F534" s="24" t="s">
        <v>68</v>
      </c>
      <c r="G534" s="25"/>
      <c r="H534" s="25"/>
      <c r="I534" s="25"/>
    </row>
    <row r="535" spans="1:17" s="21" customFormat="1" ht="51" x14ac:dyDescent="0.2">
      <c r="A535" s="18" t="s">
        <v>170</v>
      </c>
      <c r="B535" s="22">
        <v>915</v>
      </c>
      <c r="C535" s="19" t="s">
        <v>49</v>
      </c>
      <c r="D535" s="19" t="s">
        <v>14</v>
      </c>
      <c r="E535" s="19" t="s">
        <v>93</v>
      </c>
      <c r="F535" s="19"/>
      <c r="G535" s="20">
        <f>G537+G536</f>
        <v>60</v>
      </c>
      <c r="H535" s="20">
        <f>H537+H536</f>
        <v>60</v>
      </c>
      <c r="I535" s="20">
        <f>I537+I536</f>
        <v>60</v>
      </c>
    </row>
    <row r="536" spans="1:17" s="26" customFormat="1" ht="25.5" x14ac:dyDescent="0.2">
      <c r="A536" s="28" t="s">
        <v>74</v>
      </c>
      <c r="B536" s="23">
        <v>915</v>
      </c>
      <c r="C536" s="24" t="s">
        <v>49</v>
      </c>
      <c r="D536" s="24" t="s">
        <v>14</v>
      </c>
      <c r="E536" s="24" t="s">
        <v>93</v>
      </c>
      <c r="F536" s="27" t="s">
        <v>66</v>
      </c>
      <c r="G536" s="25"/>
      <c r="H536" s="25"/>
      <c r="I536" s="25"/>
    </row>
    <row r="537" spans="1:17" s="26" customFormat="1" x14ac:dyDescent="0.2">
      <c r="A537" s="28" t="s">
        <v>67</v>
      </c>
      <c r="B537" s="31">
        <v>915</v>
      </c>
      <c r="C537" s="24" t="s">
        <v>49</v>
      </c>
      <c r="D537" s="24" t="s">
        <v>14</v>
      </c>
      <c r="E537" s="24" t="s">
        <v>93</v>
      </c>
      <c r="F537" s="24" t="s">
        <v>68</v>
      </c>
      <c r="G537" s="25">
        <v>60</v>
      </c>
      <c r="H537" s="25">
        <v>60</v>
      </c>
      <c r="I537" s="25">
        <v>60</v>
      </c>
      <c r="J537" s="104"/>
      <c r="K537" s="104"/>
      <c r="L537" s="104"/>
      <c r="M537" s="104"/>
      <c r="N537" s="104"/>
      <c r="O537" s="104"/>
      <c r="P537" s="104"/>
      <c r="Q537" s="104"/>
    </row>
    <row r="538" spans="1:17" ht="102" x14ac:dyDescent="0.2">
      <c r="A538" s="18" t="s">
        <v>750</v>
      </c>
      <c r="B538" s="22">
        <v>915</v>
      </c>
      <c r="C538" s="19" t="s">
        <v>49</v>
      </c>
      <c r="D538" s="19" t="s">
        <v>14</v>
      </c>
      <c r="E538" s="19" t="s">
        <v>730</v>
      </c>
      <c r="F538" s="19"/>
      <c r="G538" s="20">
        <f>G540+G539</f>
        <v>2523.4</v>
      </c>
      <c r="H538" s="20">
        <f>H540+H539</f>
        <v>2523.4</v>
      </c>
      <c r="I538" s="20">
        <f>I540+I539</f>
        <v>2523.4</v>
      </c>
      <c r="J538" s="103"/>
      <c r="K538" s="103"/>
      <c r="L538" s="103"/>
      <c r="M538" s="103"/>
      <c r="N538" s="103"/>
      <c r="O538" s="103"/>
      <c r="P538" s="103"/>
      <c r="Q538" s="103"/>
    </row>
    <row r="539" spans="1:17" s="26" customFormat="1" ht="25.5" x14ac:dyDescent="0.2">
      <c r="A539" s="28" t="s">
        <v>74</v>
      </c>
      <c r="B539" s="23">
        <v>915</v>
      </c>
      <c r="C539" s="24" t="s">
        <v>49</v>
      </c>
      <c r="D539" s="24" t="s">
        <v>14</v>
      </c>
      <c r="E539" s="24" t="s">
        <v>730</v>
      </c>
      <c r="F539" s="27" t="s">
        <v>66</v>
      </c>
      <c r="G539" s="25">
        <f>28+5.1</f>
        <v>33.1</v>
      </c>
      <c r="H539" s="25">
        <f>28+5.1</f>
        <v>33.1</v>
      </c>
      <c r="I539" s="25">
        <f>28+5.1</f>
        <v>33.1</v>
      </c>
      <c r="J539" s="104"/>
      <c r="K539" s="104"/>
      <c r="L539" s="104"/>
      <c r="M539" s="104"/>
      <c r="N539" s="104"/>
      <c r="O539" s="104"/>
      <c r="P539" s="104"/>
      <c r="Q539" s="104"/>
    </row>
    <row r="540" spans="1:17" s="26" customFormat="1" x14ac:dyDescent="0.2">
      <c r="A540" s="28" t="s">
        <v>67</v>
      </c>
      <c r="B540" s="31">
        <v>915</v>
      </c>
      <c r="C540" s="24" t="s">
        <v>49</v>
      </c>
      <c r="D540" s="24" t="s">
        <v>14</v>
      </c>
      <c r="E540" s="24" t="s">
        <v>730</v>
      </c>
      <c r="F540" s="24" t="s">
        <v>68</v>
      </c>
      <c r="G540" s="25">
        <v>2490.3000000000002</v>
      </c>
      <c r="H540" s="25">
        <v>2490.3000000000002</v>
      </c>
      <c r="I540" s="25">
        <v>2490.3000000000002</v>
      </c>
      <c r="J540" s="104"/>
      <c r="K540" s="104"/>
      <c r="L540" s="104"/>
      <c r="M540" s="104"/>
      <c r="N540" s="104"/>
      <c r="O540" s="104"/>
      <c r="P540" s="104"/>
      <c r="Q540" s="104"/>
    </row>
    <row r="541" spans="1:17" ht="127.5" x14ac:dyDescent="0.2">
      <c r="A541" s="18" t="s">
        <v>304</v>
      </c>
      <c r="B541" s="22">
        <v>915</v>
      </c>
      <c r="C541" s="19" t="s">
        <v>49</v>
      </c>
      <c r="D541" s="19" t="s">
        <v>14</v>
      </c>
      <c r="E541" s="19" t="s">
        <v>104</v>
      </c>
      <c r="F541" s="19"/>
      <c r="G541" s="20">
        <f>G542</f>
        <v>0</v>
      </c>
      <c r="H541" s="20">
        <f>H542</f>
        <v>0</v>
      </c>
      <c r="I541" s="20">
        <f>I542</f>
        <v>0</v>
      </c>
      <c r="J541" s="103"/>
      <c r="K541" s="103"/>
      <c r="L541" s="103"/>
      <c r="M541" s="103"/>
      <c r="N541" s="103"/>
      <c r="O541" s="103"/>
      <c r="P541" s="103"/>
      <c r="Q541" s="103"/>
    </row>
    <row r="542" spans="1:17" s="26" customFormat="1" x14ac:dyDescent="0.2">
      <c r="A542" s="28" t="s">
        <v>67</v>
      </c>
      <c r="B542" s="31">
        <v>915</v>
      </c>
      <c r="C542" s="24" t="s">
        <v>49</v>
      </c>
      <c r="D542" s="24" t="s">
        <v>14</v>
      </c>
      <c r="E542" s="24" t="s">
        <v>104</v>
      </c>
      <c r="F542" s="24" t="s">
        <v>68</v>
      </c>
      <c r="G542" s="25"/>
      <c r="H542" s="25"/>
      <c r="I542" s="25"/>
      <c r="J542" s="104"/>
      <c r="K542" s="104"/>
      <c r="L542" s="104"/>
      <c r="M542" s="104"/>
      <c r="N542" s="104"/>
      <c r="O542" s="104"/>
      <c r="P542" s="104"/>
      <c r="Q542" s="104"/>
    </row>
    <row r="543" spans="1:17" ht="51" x14ac:dyDescent="0.2">
      <c r="A543" s="18" t="s">
        <v>305</v>
      </c>
      <c r="B543" s="22">
        <v>915</v>
      </c>
      <c r="C543" s="19" t="s">
        <v>49</v>
      </c>
      <c r="D543" s="19" t="s">
        <v>14</v>
      </c>
      <c r="E543" s="19" t="s">
        <v>107</v>
      </c>
      <c r="F543" s="19"/>
      <c r="G543" s="20">
        <f>G545+G544</f>
        <v>0</v>
      </c>
      <c r="H543" s="20">
        <f>H545+H544</f>
        <v>0</v>
      </c>
      <c r="I543" s="20">
        <f>I545+I544</f>
        <v>0</v>
      </c>
      <c r="J543" s="103"/>
      <c r="K543" s="103"/>
      <c r="L543" s="103"/>
      <c r="M543" s="103"/>
      <c r="N543" s="103"/>
      <c r="O543" s="103"/>
      <c r="P543" s="103"/>
      <c r="Q543" s="103"/>
    </row>
    <row r="544" spans="1:17" s="26" customFormat="1" ht="25.5" x14ac:dyDescent="0.2">
      <c r="A544" s="28" t="s">
        <v>74</v>
      </c>
      <c r="B544" s="23">
        <v>915</v>
      </c>
      <c r="C544" s="24" t="s">
        <v>49</v>
      </c>
      <c r="D544" s="24" t="s">
        <v>14</v>
      </c>
      <c r="E544" s="24" t="s">
        <v>107</v>
      </c>
      <c r="F544" s="27" t="s">
        <v>66</v>
      </c>
      <c r="G544" s="25"/>
      <c r="H544" s="25"/>
      <c r="I544" s="25"/>
    </row>
    <row r="545" spans="1:17" s="26" customFormat="1" x14ac:dyDescent="0.2">
      <c r="A545" s="28" t="s">
        <v>67</v>
      </c>
      <c r="B545" s="31">
        <v>915</v>
      </c>
      <c r="C545" s="24" t="s">
        <v>49</v>
      </c>
      <c r="D545" s="24" t="s">
        <v>14</v>
      </c>
      <c r="E545" s="24" t="s">
        <v>107</v>
      </c>
      <c r="F545" s="24" t="s">
        <v>68</v>
      </c>
      <c r="G545" s="25"/>
      <c r="H545" s="25"/>
      <c r="I545" s="25"/>
      <c r="J545" s="104"/>
      <c r="K545" s="104"/>
      <c r="L545" s="104"/>
      <c r="M545" s="104"/>
      <c r="N545" s="104"/>
      <c r="O545" s="104"/>
      <c r="P545" s="104"/>
      <c r="Q545" s="104"/>
    </row>
    <row r="546" spans="1:17" s="21" customFormat="1" ht="51" x14ac:dyDescent="0.2">
      <c r="A546" s="18" t="s">
        <v>256</v>
      </c>
      <c r="B546" s="22">
        <v>915</v>
      </c>
      <c r="C546" s="19" t="s">
        <v>49</v>
      </c>
      <c r="D546" s="19" t="s">
        <v>14</v>
      </c>
      <c r="E546" s="19" t="s">
        <v>102</v>
      </c>
      <c r="F546" s="19"/>
      <c r="G546" s="20">
        <f>G548+G547</f>
        <v>0</v>
      </c>
      <c r="H546" s="20">
        <f>H548+H547</f>
        <v>0</v>
      </c>
      <c r="I546" s="20">
        <f>I548+I547</f>
        <v>0</v>
      </c>
    </row>
    <row r="547" spans="1:17" s="26" customFormat="1" ht="25.5" x14ac:dyDescent="0.2">
      <c r="A547" s="28" t="s">
        <v>74</v>
      </c>
      <c r="B547" s="23">
        <v>915</v>
      </c>
      <c r="C547" s="24" t="s">
        <v>49</v>
      </c>
      <c r="D547" s="24" t="s">
        <v>14</v>
      </c>
      <c r="E547" s="24" t="s">
        <v>102</v>
      </c>
      <c r="F547" s="27" t="s">
        <v>66</v>
      </c>
      <c r="G547" s="25"/>
      <c r="H547" s="25"/>
      <c r="I547" s="25"/>
    </row>
    <row r="548" spans="1:17" s="26" customFormat="1" x14ac:dyDescent="0.2">
      <c r="A548" s="28" t="s">
        <v>67</v>
      </c>
      <c r="B548" s="31">
        <v>915</v>
      </c>
      <c r="C548" s="24" t="s">
        <v>49</v>
      </c>
      <c r="D548" s="24" t="s">
        <v>14</v>
      </c>
      <c r="E548" s="24" t="s">
        <v>102</v>
      </c>
      <c r="F548" s="24" t="s">
        <v>68</v>
      </c>
      <c r="G548" s="25"/>
      <c r="H548" s="25"/>
      <c r="I548" s="25"/>
    </row>
    <row r="549" spans="1:17" ht="76.5" x14ac:dyDescent="0.2">
      <c r="A549" s="18" t="s">
        <v>310</v>
      </c>
      <c r="B549" s="22">
        <v>915</v>
      </c>
      <c r="C549" s="19" t="s">
        <v>49</v>
      </c>
      <c r="D549" s="19" t="s">
        <v>14</v>
      </c>
      <c r="E549" s="19" t="s">
        <v>105</v>
      </c>
      <c r="F549" s="19"/>
      <c r="G549" s="20">
        <f>G551+G550</f>
        <v>1216</v>
      </c>
      <c r="H549" s="20">
        <f>H551+H550</f>
        <v>1216</v>
      </c>
      <c r="I549" s="20">
        <f>I551+I550</f>
        <v>1216</v>
      </c>
      <c r="J549" s="103"/>
      <c r="K549" s="103"/>
      <c r="L549" s="103"/>
      <c r="M549" s="103"/>
      <c r="N549" s="103"/>
      <c r="O549" s="103"/>
      <c r="P549" s="103"/>
      <c r="Q549" s="103"/>
    </row>
    <row r="550" spans="1:17" s="26" customFormat="1" ht="25.5" x14ac:dyDescent="0.2">
      <c r="A550" s="28" t="s">
        <v>74</v>
      </c>
      <c r="B550" s="23">
        <v>915</v>
      </c>
      <c r="C550" s="24" t="s">
        <v>49</v>
      </c>
      <c r="D550" s="24" t="s">
        <v>14</v>
      </c>
      <c r="E550" s="24" t="s">
        <v>105</v>
      </c>
      <c r="F550" s="27" t="s">
        <v>66</v>
      </c>
      <c r="G550" s="25">
        <v>6</v>
      </c>
      <c r="H550" s="25">
        <v>6</v>
      </c>
      <c r="I550" s="25">
        <v>6</v>
      </c>
    </row>
    <row r="551" spans="1:17" s="26" customFormat="1" x14ac:dyDescent="0.2">
      <c r="A551" s="28" t="s">
        <v>67</v>
      </c>
      <c r="B551" s="31">
        <v>915</v>
      </c>
      <c r="C551" s="24" t="s">
        <v>49</v>
      </c>
      <c r="D551" s="24" t="s">
        <v>14</v>
      </c>
      <c r="E551" s="24" t="s">
        <v>105</v>
      </c>
      <c r="F551" s="24" t="s">
        <v>68</v>
      </c>
      <c r="G551" s="25">
        <v>1210</v>
      </c>
      <c r="H551" s="25">
        <v>1210</v>
      </c>
      <c r="I551" s="25">
        <v>1210</v>
      </c>
      <c r="J551" s="104"/>
      <c r="K551" s="104"/>
      <c r="L551" s="104"/>
      <c r="M551" s="104"/>
      <c r="N551" s="104"/>
      <c r="O551" s="104"/>
      <c r="P551" s="104"/>
      <c r="Q551" s="104"/>
    </row>
    <row r="552" spans="1:17" ht="51" x14ac:dyDescent="0.2">
      <c r="A552" s="18" t="s">
        <v>257</v>
      </c>
      <c r="B552" s="22">
        <v>915</v>
      </c>
      <c r="C552" s="19" t="s">
        <v>49</v>
      </c>
      <c r="D552" s="19" t="s">
        <v>14</v>
      </c>
      <c r="E552" s="19" t="s">
        <v>106</v>
      </c>
      <c r="F552" s="19"/>
      <c r="G552" s="20">
        <f>G554+G553</f>
        <v>0</v>
      </c>
      <c r="H552" s="20">
        <f>H554+H553</f>
        <v>0</v>
      </c>
      <c r="I552" s="20">
        <f>I554+I553</f>
        <v>0</v>
      </c>
      <c r="J552" s="103"/>
      <c r="K552" s="103"/>
      <c r="L552" s="103"/>
      <c r="M552" s="103"/>
      <c r="N552" s="103"/>
      <c r="O552" s="103"/>
      <c r="P552" s="103"/>
      <c r="Q552" s="103"/>
    </row>
    <row r="553" spans="1:17" s="26" customFormat="1" ht="25.5" x14ac:dyDescent="0.2">
      <c r="A553" s="28" t="s">
        <v>74</v>
      </c>
      <c r="B553" s="23">
        <v>915</v>
      </c>
      <c r="C553" s="24" t="s">
        <v>49</v>
      </c>
      <c r="D553" s="24" t="s">
        <v>14</v>
      </c>
      <c r="E553" s="24" t="s">
        <v>106</v>
      </c>
      <c r="F553" s="27" t="s">
        <v>66</v>
      </c>
      <c r="G553" s="25"/>
      <c r="H553" s="25"/>
      <c r="I553" s="25"/>
      <c r="J553" s="104"/>
      <c r="K553" s="104"/>
      <c r="L553" s="104"/>
      <c r="M553" s="104"/>
      <c r="N553" s="104"/>
      <c r="O553" s="104"/>
      <c r="P553" s="104"/>
      <c r="Q553" s="104"/>
    </row>
    <row r="554" spans="1:17" s="26" customFormat="1" x14ac:dyDescent="0.2">
      <c r="A554" s="28" t="s">
        <v>67</v>
      </c>
      <c r="B554" s="31">
        <v>915</v>
      </c>
      <c r="C554" s="24" t="s">
        <v>49</v>
      </c>
      <c r="D554" s="24" t="s">
        <v>14</v>
      </c>
      <c r="E554" s="24" t="s">
        <v>106</v>
      </c>
      <c r="F554" s="24" t="s">
        <v>68</v>
      </c>
      <c r="G554" s="25"/>
      <c r="H554" s="25"/>
      <c r="I554" s="25"/>
      <c r="J554" s="104"/>
      <c r="K554" s="104"/>
      <c r="L554" s="104"/>
      <c r="M554" s="104"/>
      <c r="N554" s="104"/>
      <c r="O554" s="104"/>
      <c r="P554" s="104"/>
      <c r="Q554" s="104"/>
    </row>
    <row r="555" spans="1:17" s="21" customFormat="1" ht="102" customHeight="1" x14ac:dyDescent="0.2">
      <c r="A555" s="18" t="s">
        <v>392</v>
      </c>
      <c r="B555" s="22">
        <v>915</v>
      </c>
      <c r="C555" s="19" t="s">
        <v>49</v>
      </c>
      <c r="D555" s="19" t="s">
        <v>14</v>
      </c>
      <c r="E555" s="19" t="s">
        <v>108</v>
      </c>
      <c r="F555" s="19"/>
      <c r="G555" s="20">
        <f>G557+G556</f>
        <v>0</v>
      </c>
      <c r="H555" s="20">
        <f>H557+H556</f>
        <v>0</v>
      </c>
      <c r="I555" s="20">
        <f>I557+I556</f>
        <v>0</v>
      </c>
    </row>
    <row r="556" spans="1:17" s="26" customFormat="1" ht="25.5" x14ac:dyDescent="0.2">
      <c r="A556" s="28" t="s">
        <v>74</v>
      </c>
      <c r="B556" s="23">
        <v>915</v>
      </c>
      <c r="C556" s="24" t="s">
        <v>49</v>
      </c>
      <c r="D556" s="24" t="s">
        <v>14</v>
      </c>
      <c r="E556" s="24" t="s">
        <v>108</v>
      </c>
      <c r="F556" s="27" t="s">
        <v>66</v>
      </c>
      <c r="G556" s="25"/>
      <c r="H556" s="25"/>
      <c r="I556" s="25"/>
    </row>
    <row r="557" spans="1:17" s="26" customFormat="1" x14ac:dyDescent="0.2">
      <c r="A557" s="28" t="s">
        <v>67</v>
      </c>
      <c r="B557" s="31">
        <v>915</v>
      </c>
      <c r="C557" s="24" t="s">
        <v>49</v>
      </c>
      <c r="D557" s="24" t="s">
        <v>14</v>
      </c>
      <c r="E557" s="24" t="s">
        <v>108</v>
      </c>
      <c r="F557" s="24" t="s">
        <v>68</v>
      </c>
      <c r="G557" s="25"/>
      <c r="H557" s="25"/>
      <c r="I557" s="25"/>
      <c r="J557" s="104"/>
      <c r="K557" s="104"/>
      <c r="L557" s="104"/>
      <c r="M557" s="104"/>
      <c r="N557" s="104"/>
      <c r="O557" s="104"/>
      <c r="P557" s="104"/>
      <c r="Q557" s="104"/>
    </row>
    <row r="558" spans="1:17" ht="76.5" x14ac:dyDescent="0.2">
      <c r="A558" s="18" t="s">
        <v>751</v>
      </c>
      <c r="B558" s="22">
        <v>915</v>
      </c>
      <c r="C558" s="19" t="s">
        <v>49</v>
      </c>
      <c r="D558" s="19" t="s">
        <v>14</v>
      </c>
      <c r="E558" s="19" t="s">
        <v>88</v>
      </c>
      <c r="F558" s="19"/>
      <c r="G558" s="20">
        <f>G560+G559+G561</f>
        <v>1471</v>
      </c>
      <c r="H558" s="20">
        <f t="shared" ref="H558:I558" si="118">H560+H559+H561</f>
        <v>1471</v>
      </c>
      <c r="I558" s="20">
        <f t="shared" si="118"/>
        <v>1471</v>
      </c>
      <c r="J558" s="103"/>
      <c r="K558" s="103"/>
      <c r="L558" s="103"/>
      <c r="M558" s="103"/>
      <c r="N558" s="103"/>
      <c r="O558" s="103"/>
      <c r="P558" s="103"/>
      <c r="Q558" s="103"/>
    </row>
    <row r="559" spans="1:17" s="78" customFormat="1" ht="25.5" x14ac:dyDescent="0.2">
      <c r="A559" s="81" t="s">
        <v>74</v>
      </c>
      <c r="B559" s="79">
        <v>915</v>
      </c>
      <c r="C559" s="76" t="s">
        <v>49</v>
      </c>
      <c r="D559" s="76" t="s">
        <v>14</v>
      </c>
      <c r="E559" s="76" t="s">
        <v>88</v>
      </c>
      <c r="F559" s="77" t="s">
        <v>66</v>
      </c>
      <c r="G559" s="56">
        <v>25</v>
      </c>
      <c r="H559" s="56">
        <v>25</v>
      </c>
      <c r="I559" s="56">
        <v>25</v>
      </c>
    </row>
    <row r="560" spans="1:17" s="26" customFormat="1" x14ac:dyDescent="0.2">
      <c r="A560" s="28" t="s">
        <v>67</v>
      </c>
      <c r="B560" s="31">
        <v>915</v>
      </c>
      <c r="C560" s="24" t="s">
        <v>49</v>
      </c>
      <c r="D560" s="24" t="s">
        <v>14</v>
      </c>
      <c r="E560" s="24" t="s">
        <v>88</v>
      </c>
      <c r="F560" s="24" t="s">
        <v>68</v>
      </c>
      <c r="G560" s="25">
        <v>1276</v>
      </c>
      <c r="H560" s="25">
        <v>1276</v>
      </c>
      <c r="I560" s="25">
        <v>1276</v>
      </c>
      <c r="J560" s="104"/>
      <c r="K560" s="104"/>
      <c r="L560" s="104"/>
      <c r="M560" s="104"/>
      <c r="N560" s="104"/>
      <c r="O560" s="104"/>
      <c r="P560" s="104"/>
      <c r="Q560" s="104"/>
    </row>
    <row r="561" spans="1:17" s="26" customFormat="1" x14ac:dyDescent="0.2">
      <c r="A561" s="28" t="s">
        <v>70</v>
      </c>
      <c r="B561" s="31">
        <v>915</v>
      </c>
      <c r="C561" s="24" t="s">
        <v>49</v>
      </c>
      <c r="D561" s="24" t="s">
        <v>14</v>
      </c>
      <c r="E561" s="19" t="s">
        <v>88</v>
      </c>
      <c r="F561" s="24" t="s">
        <v>71</v>
      </c>
      <c r="G561" s="25">
        <v>170</v>
      </c>
      <c r="H561" s="25">
        <v>170</v>
      </c>
      <c r="I561" s="25">
        <v>170</v>
      </c>
      <c r="J561" s="104"/>
      <c r="K561" s="104"/>
      <c r="L561" s="104"/>
      <c r="M561" s="104"/>
      <c r="N561" s="104"/>
      <c r="O561" s="104"/>
      <c r="P561" s="104"/>
      <c r="Q561" s="104"/>
    </row>
    <row r="562" spans="1:17" s="68" customFormat="1" x14ac:dyDescent="0.2">
      <c r="A562" s="64" t="s">
        <v>54</v>
      </c>
      <c r="B562" s="65">
        <v>915</v>
      </c>
      <c r="C562" s="66" t="s">
        <v>49</v>
      </c>
      <c r="D562" s="66" t="s">
        <v>16</v>
      </c>
      <c r="E562" s="66"/>
      <c r="F562" s="66"/>
      <c r="G562" s="67">
        <f>G563+G566+G575+G570+G573+G568</f>
        <v>122293</v>
      </c>
      <c r="H562" s="67">
        <f t="shared" ref="H562:I562" si="119">H563+H566+H575+H570+H573+H568</f>
        <v>125994</v>
      </c>
      <c r="I562" s="67">
        <f t="shared" si="119"/>
        <v>130234</v>
      </c>
    </row>
    <row r="563" spans="1:17" ht="25.5" x14ac:dyDescent="0.2">
      <c r="A563" s="18" t="s">
        <v>381</v>
      </c>
      <c r="B563" s="22">
        <v>915</v>
      </c>
      <c r="C563" s="19" t="s">
        <v>49</v>
      </c>
      <c r="D563" s="19" t="s">
        <v>16</v>
      </c>
      <c r="E563" s="19" t="s">
        <v>378</v>
      </c>
      <c r="F563" s="19"/>
      <c r="G563" s="20">
        <f>G565+G564</f>
        <v>73264</v>
      </c>
      <c r="H563" s="20">
        <f t="shared" ref="H563:I563" si="120">H565+H564</f>
        <v>75462</v>
      </c>
      <c r="I563" s="20">
        <f t="shared" si="120"/>
        <v>77723</v>
      </c>
      <c r="J563" s="103"/>
      <c r="K563" s="103"/>
      <c r="L563" s="103"/>
      <c r="M563" s="103"/>
      <c r="N563" s="103"/>
      <c r="O563" s="103"/>
      <c r="P563" s="103"/>
      <c r="Q563" s="103"/>
    </row>
    <row r="564" spans="1:17" s="26" customFormat="1" ht="25.5" x14ac:dyDescent="0.2">
      <c r="A564" s="28" t="s">
        <v>74</v>
      </c>
      <c r="B564" s="31">
        <v>915</v>
      </c>
      <c r="C564" s="24" t="s">
        <v>49</v>
      </c>
      <c r="D564" s="24" t="s">
        <v>16</v>
      </c>
      <c r="E564" s="24" t="s">
        <v>378</v>
      </c>
      <c r="F564" s="24" t="s">
        <v>66</v>
      </c>
      <c r="G564" s="25"/>
      <c r="H564" s="25"/>
      <c r="I564" s="25"/>
      <c r="J564" s="104"/>
      <c r="K564" s="104"/>
      <c r="L564" s="104"/>
      <c r="M564" s="104"/>
      <c r="N564" s="104"/>
      <c r="O564" s="104"/>
      <c r="P564" s="104"/>
      <c r="Q564" s="104"/>
    </row>
    <row r="565" spans="1:17" s="26" customFormat="1" x14ac:dyDescent="0.2">
      <c r="A565" s="28" t="s">
        <v>67</v>
      </c>
      <c r="B565" s="31">
        <v>915</v>
      </c>
      <c r="C565" s="24" t="s">
        <v>49</v>
      </c>
      <c r="D565" s="24" t="s">
        <v>16</v>
      </c>
      <c r="E565" s="24" t="s">
        <v>378</v>
      </c>
      <c r="F565" s="24" t="s">
        <v>68</v>
      </c>
      <c r="G565" s="25">
        <v>73264</v>
      </c>
      <c r="H565" s="25">
        <v>75462</v>
      </c>
      <c r="I565" s="25">
        <v>77723</v>
      </c>
      <c r="J565" s="104"/>
      <c r="K565" s="104"/>
      <c r="L565" s="104"/>
      <c r="M565" s="104"/>
      <c r="N565" s="104"/>
      <c r="O565" s="104"/>
      <c r="P565" s="104"/>
      <c r="Q565" s="104"/>
    </row>
    <row r="566" spans="1:17" ht="51" x14ac:dyDescent="0.2">
      <c r="A566" s="52" t="s">
        <v>379</v>
      </c>
      <c r="B566" s="48">
        <v>915</v>
      </c>
      <c r="C566" s="19" t="s">
        <v>49</v>
      </c>
      <c r="D566" s="19" t="s">
        <v>16</v>
      </c>
      <c r="E566" s="19" t="s">
        <v>377</v>
      </c>
      <c r="F566" s="19"/>
      <c r="G566" s="20">
        <f>G567</f>
        <v>0</v>
      </c>
      <c r="H566" s="20">
        <f t="shared" ref="H566:I566" si="121">H567</f>
        <v>0</v>
      </c>
      <c r="I566" s="20">
        <f t="shared" si="121"/>
        <v>0</v>
      </c>
      <c r="J566" s="103"/>
      <c r="K566" s="103"/>
      <c r="L566" s="103"/>
      <c r="M566" s="103"/>
      <c r="N566" s="103"/>
      <c r="O566" s="103"/>
      <c r="P566" s="103"/>
      <c r="Q566" s="103"/>
    </row>
    <row r="567" spans="1:17" x14ac:dyDescent="0.2">
      <c r="A567" s="28" t="s">
        <v>67</v>
      </c>
      <c r="B567" s="22">
        <v>915</v>
      </c>
      <c r="C567" s="24" t="s">
        <v>49</v>
      </c>
      <c r="D567" s="24" t="s">
        <v>16</v>
      </c>
      <c r="E567" s="19" t="s">
        <v>377</v>
      </c>
      <c r="F567" s="24" t="s">
        <v>68</v>
      </c>
      <c r="G567" s="25"/>
      <c r="H567" s="25"/>
      <c r="I567" s="25"/>
      <c r="J567" s="103"/>
      <c r="K567" s="103"/>
      <c r="L567" s="103"/>
      <c r="M567" s="103"/>
      <c r="N567" s="103"/>
      <c r="O567" s="103"/>
      <c r="P567" s="103"/>
      <c r="Q567" s="103"/>
    </row>
    <row r="568" spans="1:17" ht="89.25" x14ac:dyDescent="0.2">
      <c r="A568" s="18" t="s">
        <v>258</v>
      </c>
      <c r="B568" s="22">
        <v>915</v>
      </c>
      <c r="C568" s="19" t="s">
        <v>49</v>
      </c>
      <c r="D568" s="19" t="s">
        <v>16</v>
      </c>
      <c r="E568" s="19" t="s">
        <v>96</v>
      </c>
      <c r="F568" s="19"/>
      <c r="G568" s="20">
        <f>G569</f>
        <v>615</v>
      </c>
      <c r="H568" s="20">
        <f>H569</f>
        <v>634</v>
      </c>
      <c r="I568" s="20">
        <f>I569</f>
        <v>659</v>
      </c>
      <c r="J568" s="103"/>
      <c r="K568" s="103"/>
      <c r="L568" s="103"/>
      <c r="M568" s="103"/>
      <c r="N568" s="103"/>
      <c r="O568" s="103"/>
      <c r="P568" s="103"/>
      <c r="Q568" s="103"/>
    </row>
    <row r="569" spans="1:17" s="26" customFormat="1" x14ac:dyDescent="0.2">
      <c r="A569" s="28" t="s">
        <v>67</v>
      </c>
      <c r="B569" s="31">
        <v>915</v>
      </c>
      <c r="C569" s="24" t="s">
        <v>49</v>
      </c>
      <c r="D569" s="24" t="s">
        <v>16</v>
      </c>
      <c r="E569" s="24" t="s">
        <v>96</v>
      </c>
      <c r="F569" s="24" t="s">
        <v>68</v>
      </c>
      <c r="G569" s="25">
        <v>615</v>
      </c>
      <c r="H569" s="25">
        <v>634</v>
      </c>
      <c r="I569" s="25">
        <v>659</v>
      </c>
      <c r="J569" s="104"/>
      <c r="K569" s="104"/>
      <c r="L569" s="104"/>
      <c r="M569" s="104"/>
      <c r="N569" s="104"/>
      <c r="O569" s="104"/>
      <c r="P569" s="104"/>
      <c r="Q569" s="104"/>
    </row>
    <row r="570" spans="1:17" ht="102" x14ac:dyDescent="0.2">
      <c r="A570" s="18" t="s">
        <v>259</v>
      </c>
      <c r="B570" s="22">
        <v>915</v>
      </c>
      <c r="C570" s="19" t="s">
        <v>49</v>
      </c>
      <c r="D570" s="19" t="s">
        <v>16</v>
      </c>
      <c r="E570" s="19" t="s">
        <v>100</v>
      </c>
      <c r="F570" s="19"/>
      <c r="G570" s="20">
        <f>G572+G571</f>
        <v>48414</v>
      </c>
      <c r="H570" s="20">
        <f>H572+H571</f>
        <v>49898</v>
      </c>
      <c r="I570" s="20">
        <f>I572+I571</f>
        <v>51852</v>
      </c>
      <c r="J570" s="103"/>
      <c r="K570" s="103"/>
      <c r="L570" s="103"/>
      <c r="M570" s="103"/>
      <c r="N570" s="103"/>
      <c r="O570" s="103"/>
      <c r="P570" s="103"/>
      <c r="Q570" s="103"/>
    </row>
    <row r="571" spans="1:17" s="26" customFormat="1" ht="25.5" x14ac:dyDescent="0.2">
      <c r="A571" s="28" t="s">
        <v>74</v>
      </c>
      <c r="B571" s="23">
        <v>915</v>
      </c>
      <c r="C571" s="24" t="s">
        <v>49</v>
      </c>
      <c r="D571" s="24" t="s">
        <v>16</v>
      </c>
      <c r="E571" s="19" t="s">
        <v>100</v>
      </c>
      <c r="F571" s="27" t="s">
        <v>66</v>
      </c>
      <c r="G571" s="25"/>
      <c r="H571" s="25"/>
      <c r="I571" s="25"/>
    </row>
    <row r="572" spans="1:17" s="26" customFormat="1" x14ac:dyDescent="0.2">
      <c r="A572" s="28" t="s">
        <v>67</v>
      </c>
      <c r="B572" s="31">
        <v>915</v>
      </c>
      <c r="C572" s="24" t="s">
        <v>49</v>
      </c>
      <c r="D572" s="24" t="s">
        <v>16</v>
      </c>
      <c r="E572" s="19" t="s">
        <v>100</v>
      </c>
      <c r="F572" s="24" t="s">
        <v>68</v>
      </c>
      <c r="G572" s="25">
        <v>48414</v>
      </c>
      <c r="H572" s="25">
        <v>49898</v>
      </c>
      <c r="I572" s="25">
        <v>51852</v>
      </c>
      <c r="J572" s="104"/>
      <c r="K572" s="104"/>
      <c r="L572" s="104"/>
      <c r="M572" s="104"/>
      <c r="N572" s="104"/>
      <c r="O572" s="104"/>
      <c r="P572" s="104"/>
      <c r="Q572" s="104"/>
    </row>
    <row r="573" spans="1:17" s="21" customFormat="1" ht="38.25" x14ac:dyDescent="0.2">
      <c r="A573" s="52" t="s">
        <v>307</v>
      </c>
      <c r="B573" s="48">
        <v>915</v>
      </c>
      <c r="C573" s="19" t="s">
        <v>49</v>
      </c>
      <c r="D573" s="19" t="s">
        <v>16</v>
      </c>
      <c r="E573" s="19" t="s">
        <v>339</v>
      </c>
      <c r="F573" s="19"/>
      <c r="G573" s="20">
        <f>G574</f>
        <v>0</v>
      </c>
      <c r="H573" s="20">
        <f t="shared" ref="H573:I573" si="122">H574</f>
        <v>0</v>
      </c>
      <c r="I573" s="20">
        <f t="shared" si="122"/>
        <v>0</v>
      </c>
    </row>
    <row r="574" spans="1:17" s="26" customFormat="1" ht="25.5" x14ac:dyDescent="0.2">
      <c r="A574" s="28" t="s">
        <v>74</v>
      </c>
      <c r="B574" s="23">
        <v>915</v>
      </c>
      <c r="C574" s="24" t="s">
        <v>49</v>
      </c>
      <c r="D574" s="24" t="s">
        <v>16</v>
      </c>
      <c r="E574" s="24" t="s">
        <v>339</v>
      </c>
      <c r="F574" s="27" t="s">
        <v>66</v>
      </c>
      <c r="G574" s="25"/>
      <c r="H574" s="25"/>
      <c r="I574" s="25"/>
    </row>
    <row r="575" spans="1:17" s="21" customFormat="1" ht="39" customHeight="1" x14ac:dyDescent="0.2">
      <c r="A575" s="18" t="s">
        <v>306</v>
      </c>
      <c r="B575" s="22">
        <v>915</v>
      </c>
      <c r="C575" s="19" t="s">
        <v>49</v>
      </c>
      <c r="D575" s="19" t="s">
        <v>16</v>
      </c>
      <c r="E575" s="19" t="s">
        <v>101</v>
      </c>
      <c r="F575" s="19"/>
      <c r="G575" s="20">
        <f>G577+G576</f>
        <v>0</v>
      </c>
      <c r="H575" s="20">
        <f>H577+H576</f>
        <v>0</v>
      </c>
      <c r="I575" s="20">
        <f>I577+I576</f>
        <v>0</v>
      </c>
    </row>
    <row r="576" spans="1:17" s="26" customFormat="1" ht="25.5" x14ac:dyDescent="0.2">
      <c r="A576" s="28" t="s">
        <v>74</v>
      </c>
      <c r="B576" s="23">
        <v>915</v>
      </c>
      <c r="C576" s="24" t="s">
        <v>49</v>
      </c>
      <c r="D576" s="24" t="s">
        <v>16</v>
      </c>
      <c r="E576" s="24" t="s">
        <v>101</v>
      </c>
      <c r="F576" s="27" t="s">
        <v>66</v>
      </c>
      <c r="G576" s="25"/>
      <c r="H576" s="25"/>
      <c r="I576" s="25"/>
    </row>
    <row r="577" spans="1:17" s="26" customFormat="1" x14ac:dyDescent="0.2">
      <c r="A577" s="28" t="s">
        <v>67</v>
      </c>
      <c r="B577" s="31">
        <v>915</v>
      </c>
      <c r="C577" s="24" t="s">
        <v>49</v>
      </c>
      <c r="D577" s="24" t="s">
        <v>16</v>
      </c>
      <c r="E577" s="24" t="s">
        <v>101</v>
      </c>
      <c r="F577" s="24" t="s">
        <v>68</v>
      </c>
      <c r="G577" s="25"/>
      <c r="H577" s="25"/>
      <c r="I577" s="25"/>
    </row>
    <row r="578" spans="1:17" s="9" customFormat="1" x14ac:dyDescent="0.2">
      <c r="A578" s="11" t="s">
        <v>55</v>
      </c>
      <c r="B578" s="14">
        <v>915</v>
      </c>
      <c r="C578" s="8" t="s">
        <v>49</v>
      </c>
      <c r="D578" s="8" t="s">
        <v>48</v>
      </c>
      <c r="E578" s="8"/>
      <c r="F578" s="8"/>
      <c r="G578" s="4">
        <f>G579+G582+G588+G586+G598+G584+G594+G592</f>
        <v>37351.600000000006</v>
      </c>
      <c r="H578" s="4">
        <f t="shared" ref="H578:I578" si="123">H579+H582+H588+H586+H598+H584+H594+H592</f>
        <v>31315.9</v>
      </c>
      <c r="I578" s="4">
        <f t="shared" si="123"/>
        <v>29767.9</v>
      </c>
      <c r="J578" s="4" t="e">
        <f>J579+J582+J588+J586+J598+J584+J594+#REF!</f>
        <v>#REF!</v>
      </c>
      <c r="K578" s="4" t="e">
        <f>K579+K582+K588+K586+K598+K584+K594+#REF!</f>
        <v>#REF!</v>
      </c>
      <c r="L578" s="4" t="e">
        <f>L579+L582+L588+L586+L598+L584+L594+#REF!</f>
        <v>#REF!</v>
      </c>
      <c r="M578" s="4" t="e">
        <f>M579+M582+M588+M586+M598+M584+M594+#REF!</f>
        <v>#REF!</v>
      </c>
      <c r="N578" s="4" t="e">
        <f>N579+N582+N588+N586+N598+N584+N594+#REF!</f>
        <v>#REF!</v>
      </c>
      <c r="O578" s="4" t="e">
        <f>O579+O582+O588+O586+O598+O584+O594+#REF!</f>
        <v>#REF!</v>
      </c>
      <c r="P578" s="4" t="e">
        <f>P579+P582+P588+P586+P598+P584+P594+#REF!</f>
        <v>#REF!</v>
      </c>
      <c r="Q578" s="4" t="e">
        <f>Q579+Q582+Q588+Q586+Q598+Q584+Q594+#REF!</f>
        <v>#REF!</v>
      </c>
    </row>
    <row r="579" spans="1:17" x14ac:dyDescent="0.2">
      <c r="A579" s="18" t="s">
        <v>260</v>
      </c>
      <c r="B579" s="22">
        <v>915</v>
      </c>
      <c r="C579" s="19" t="s">
        <v>49</v>
      </c>
      <c r="D579" s="19" t="s">
        <v>48</v>
      </c>
      <c r="E579" s="19" t="s">
        <v>261</v>
      </c>
      <c r="F579" s="19"/>
      <c r="G579" s="20">
        <f>G580+G581</f>
        <v>2259.1999999999998</v>
      </c>
      <c r="H579" s="20">
        <f>H580+H581</f>
        <v>0</v>
      </c>
      <c r="I579" s="20">
        <f>I580+I581</f>
        <v>0</v>
      </c>
      <c r="J579" s="197"/>
      <c r="K579" s="197"/>
      <c r="L579" s="197"/>
      <c r="M579" s="197"/>
      <c r="N579" s="197"/>
      <c r="O579" s="197"/>
      <c r="P579" s="197"/>
      <c r="Q579" s="197"/>
    </row>
    <row r="580" spans="1:17" s="104" customFormat="1" ht="25.5" x14ac:dyDescent="0.2">
      <c r="A580" s="247" t="s">
        <v>74</v>
      </c>
      <c r="B580" s="243">
        <v>915</v>
      </c>
      <c r="C580" s="244" t="s">
        <v>49</v>
      </c>
      <c r="D580" s="244" t="s">
        <v>48</v>
      </c>
      <c r="E580" s="244" t="s">
        <v>261</v>
      </c>
      <c r="F580" s="244" t="s">
        <v>66</v>
      </c>
      <c r="G580" s="192">
        <f>2241.6-469+1.6-300</f>
        <v>1474.1999999999998</v>
      </c>
      <c r="H580" s="192"/>
      <c r="I580" s="192"/>
    </row>
    <row r="581" spans="1:17" s="73" customFormat="1" x14ac:dyDescent="0.2">
      <c r="A581" s="81" t="s">
        <v>67</v>
      </c>
      <c r="B581" s="79">
        <v>915</v>
      </c>
      <c r="C581" s="76" t="s">
        <v>49</v>
      </c>
      <c r="D581" s="76" t="s">
        <v>48</v>
      </c>
      <c r="E581" s="76" t="s">
        <v>261</v>
      </c>
      <c r="F581" s="77" t="s">
        <v>68</v>
      </c>
      <c r="G581" s="56">
        <f>469+316</f>
        <v>785</v>
      </c>
      <c r="H581" s="56"/>
      <c r="I581" s="56"/>
    </row>
    <row r="582" spans="1:17" s="21" customFormat="1" x14ac:dyDescent="0.2">
      <c r="A582" s="18" t="s">
        <v>262</v>
      </c>
      <c r="B582" s="22">
        <v>915</v>
      </c>
      <c r="C582" s="19" t="s">
        <v>49</v>
      </c>
      <c r="D582" s="19" t="s">
        <v>48</v>
      </c>
      <c r="E582" s="19" t="s">
        <v>263</v>
      </c>
      <c r="F582" s="19"/>
      <c r="G582" s="20">
        <f>G583</f>
        <v>968.2</v>
      </c>
      <c r="H582" s="20">
        <f>H583</f>
        <v>0</v>
      </c>
      <c r="I582" s="20">
        <f>I583</f>
        <v>0</v>
      </c>
      <c r="J582" s="103"/>
      <c r="K582" s="103"/>
      <c r="L582" s="103"/>
      <c r="M582" s="103"/>
      <c r="N582" s="103"/>
      <c r="O582" s="103"/>
      <c r="P582" s="103"/>
      <c r="Q582" s="103"/>
    </row>
    <row r="583" spans="1:17" s="26" customFormat="1" ht="25.5" x14ac:dyDescent="0.2">
      <c r="A583" s="28" t="s">
        <v>130</v>
      </c>
      <c r="B583" s="31">
        <v>915</v>
      </c>
      <c r="C583" s="24" t="s">
        <v>49</v>
      </c>
      <c r="D583" s="24" t="s">
        <v>48</v>
      </c>
      <c r="E583" s="24" t="s">
        <v>263</v>
      </c>
      <c r="F583" s="24" t="s">
        <v>63</v>
      </c>
      <c r="G583" s="25">
        <v>968.2</v>
      </c>
      <c r="H583" s="56"/>
      <c r="I583" s="56"/>
      <c r="J583" s="104"/>
      <c r="K583" s="104"/>
      <c r="L583" s="104"/>
      <c r="M583" s="104"/>
      <c r="N583" s="104"/>
      <c r="O583" s="104"/>
      <c r="P583" s="104"/>
      <c r="Q583" s="104"/>
    </row>
    <row r="584" spans="1:17" s="103" customFormat="1" x14ac:dyDescent="0.2">
      <c r="A584" s="239" t="s">
        <v>294</v>
      </c>
      <c r="B584" s="240">
        <v>915</v>
      </c>
      <c r="C584" s="241" t="s">
        <v>49</v>
      </c>
      <c r="D584" s="241" t="s">
        <v>48</v>
      </c>
      <c r="E584" s="241" t="s">
        <v>295</v>
      </c>
      <c r="F584" s="241"/>
      <c r="G584" s="193">
        <f>G585</f>
        <v>300</v>
      </c>
      <c r="H584" s="193">
        <f>H585</f>
        <v>0</v>
      </c>
      <c r="I584" s="193">
        <f>I585</f>
        <v>0</v>
      </c>
    </row>
    <row r="585" spans="1:17" s="104" customFormat="1" x14ac:dyDescent="0.2">
      <c r="A585" s="247" t="s">
        <v>70</v>
      </c>
      <c r="B585" s="243">
        <v>915</v>
      </c>
      <c r="C585" s="244" t="s">
        <v>49</v>
      </c>
      <c r="D585" s="244" t="s">
        <v>48</v>
      </c>
      <c r="E585" s="244" t="s">
        <v>295</v>
      </c>
      <c r="F585" s="244" t="s">
        <v>71</v>
      </c>
      <c r="G585" s="192">
        <v>300</v>
      </c>
      <c r="H585" s="192"/>
      <c r="I585" s="192"/>
    </row>
    <row r="586" spans="1:17" s="73" customFormat="1" ht="25.5" x14ac:dyDescent="0.2">
      <c r="A586" s="69" t="s">
        <v>752</v>
      </c>
      <c r="B586" s="70">
        <v>915</v>
      </c>
      <c r="C586" s="71" t="s">
        <v>49</v>
      </c>
      <c r="D586" s="71" t="s">
        <v>48</v>
      </c>
      <c r="E586" s="71" t="s">
        <v>364</v>
      </c>
      <c r="F586" s="71"/>
      <c r="G586" s="72">
        <f>G587</f>
        <v>10</v>
      </c>
      <c r="H586" s="72">
        <f>H587</f>
        <v>0</v>
      </c>
      <c r="I586" s="72">
        <f>I587</f>
        <v>0</v>
      </c>
    </row>
    <row r="587" spans="1:17" s="78" customFormat="1" ht="25.5" x14ac:dyDescent="0.2">
      <c r="A587" s="28" t="s">
        <v>74</v>
      </c>
      <c r="B587" s="80">
        <v>915</v>
      </c>
      <c r="C587" s="76" t="s">
        <v>49</v>
      </c>
      <c r="D587" s="76" t="s">
        <v>48</v>
      </c>
      <c r="E587" s="76" t="s">
        <v>364</v>
      </c>
      <c r="F587" s="76" t="s">
        <v>66</v>
      </c>
      <c r="G587" s="56">
        <v>10</v>
      </c>
      <c r="H587" s="56"/>
      <c r="I587" s="56"/>
    </row>
    <row r="588" spans="1:17" ht="38.25" x14ac:dyDescent="0.2">
      <c r="A588" s="18" t="s">
        <v>264</v>
      </c>
      <c r="B588" s="22">
        <v>915</v>
      </c>
      <c r="C588" s="19" t="s">
        <v>49</v>
      </c>
      <c r="D588" s="19" t="s">
        <v>48</v>
      </c>
      <c r="E588" s="19" t="s">
        <v>94</v>
      </c>
      <c r="F588" s="19"/>
      <c r="G588" s="20">
        <f>G589+G590+G591</f>
        <v>28219.9</v>
      </c>
      <c r="H588" s="20">
        <f>H589+H590+H591</f>
        <v>28219.9</v>
      </c>
      <c r="I588" s="20">
        <f>I589+I590+I591</f>
        <v>28219.9</v>
      </c>
      <c r="J588" s="103"/>
      <c r="K588" s="103"/>
      <c r="L588" s="103"/>
      <c r="M588" s="103"/>
      <c r="N588" s="103"/>
      <c r="O588" s="103"/>
      <c r="P588" s="103"/>
      <c r="Q588" s="103"/>
    </row>
    <row r="589" spans="1:17" s="26" customFormat="1" ht="51.75" customHeight="1" x14ac:dyDescent="0.2">
      <c r="A589" s="23" t="s">
        <v>64</v>
      </c>
      <c r="B589" s="31">
        <v>915</v>
      </c>
      <c r="C589" s="24" t="s">
        <v>49</v>
      </c>
      <c r="D589" s="24" t="s">
        <v>48</v>
      </c>
      <c r="E589" s="24" t="s">
        <v>94</v>
      </c>
      <c r="F589" s="27" t="s">
        <v>65</v>
      </c>
      <c r="G589" s="25">
        <v>26948.9</v>
      </c>
      <c r="H589" s="25">
        <v>26948.9</v>
      </c>
      <c r="I589" s="25">
        <v>26948.9</v>
      </c>
      <c r="J589" s="104"/>
      <c r="K589" s="104"/>
      <c r="L589" s="104"/>
      <c r="M589" s="104"/>
      <c r="N589" s="104"/>
      <c r="O589" s="104"/>
      <c r="P589" s="104"/>
      <c r="Q589" s="104"/>
    </row>
    <row r="590" spans="1:17" s="26" customFormat="1" ht="25.5" x14ac:dyDescent="0.2">
      <c r="A590" s="28" t="s">
        <v>74</v>
      </c>
      <c r="B590" s="31">
        <v>915</v>
      </c>
      <c r="C590" s="24" t="s">
        <v>49</v>
      </c>
      <c r="D590" s="24" t="s">
        <v>48</v>
      </c>
      <c r="E590" s="24" t="s">
        <v>94</v>
      </c>
      <c r="F590" s="27" t="s">
        <v>66</v>
      </c>
      <c r="G590" s="25">
        <v>1263.4000000000001</v>
      </c>
      <c r="H590" s="25">
        <v>1263.4000000000001</v>
      </c>
      <c r="I590" s="25">
        <v>1263.4000000000001</v>
      </c>
      <c r="J590" s="104"/>
      <c r="K590" s="104"/>
      <c r="L590" s="104"/>
      <c r="M590" s="104"/>
      <c r="N590" s="104"/>
      <c r="O590" s="104"/>
      <c r="P590" s="104"/>
      <c r="Q590" s="104"/>
    </row>
    <row r="591" spans="1:17" s="78" customFormat="1" x14ac:dyDescent="0.2">
      <c r="A591" s="81" t="s">
        <v>70</v>
      </c>
      <c r="B591" s="80">
        <v>915</v>
      </c>
      <c r="C591" s="76" t="s">
        <v>49</v>
      </c>
      <c r="D591" s="76" t="s">
        <v>48</v>
      </c>
      <c r="E591" s="76" t="s">
        <v>94</v>
      </c>
      <c r="F591" s="76" t="s">
        <v>71</v>
      </c>
      <c r="G591" s="56">
        <v>7.6</v>
      </c>
      <c r="H591" s="56">
        <v>7.6</v>
      </c>
      <c r="I591" s="56">
        <v>7.6</v>
      </c>
    </row>
    <row r="592" spans="1:17" ht="25.5" x14ac:dyDescent="0.2">
      <c r="A592" s="18" t="s">
        <v>596</v>
      </c>
      <c r="B592" s="22">
        <v>915</v>
      </c>
      <c r="C592" s="19" t="s">
        <v>49</v>
      </c>
      <c r="D592" s="19" t="s">
        <v>48</v>
      </c>
      <c r="E592" s="19" t="s">
        <v>597</v>
      </c>
      <c r="F592" s="19"/>
      <c r="G592" s="20">
        <f>G593</f>
        <v>3096</v>
      </c>
      <c r="H592" s="20">
        <f t="shared" ref="H592:I592" si="124">H593</f>
        <v>3096</v>
      </c>
      <c r="I592" s="20">
        <f t="shared" si="124"/>
        <v>1548</v>
      </c>
      <c r="J592" s="103"/>
      <c r="K592" s="103"/>
      <c r="L592" s="103"/>
      <c r="M592" s="103"/>
      <c r="N592" s="103"/>
      <c r="O592" s="103"/>
      <c r="P592" s="103"/>
      <c r="Q592" s="103"/>
    </row>
    <row r="593" spans="1:22" s="9" customFormat="1" ht="25.5" x14ac:dyDescent="0.2">
      <c r="A593" s="28" t="s">
        <v>130</v>
      </c>
      <c r="B593" s="22">
        <v>915</v>
      </c>
      <c r="C593" s="19" t="s">
        <v>49</v>
      </c>
      <c r="D593" s="19" t="s">
        <v>48</v>
      </c>
      <c r="E593" s="19" t="s">
        <v>597</v>
      </c>
      <c r="F593" s="19" t="s">
        <v>63</v>
      </c>
      <c r="G593" s="20">
        <v>3096</v>
      </c>
      <c r="H593" s="20">
        <v>3096</v>
      </c>
      <c r="I593" s="20">
        <v>1548</v>
      </c>
      <c r="J593" s="109"/>
      <c r="K593" s="109"/>
      <c r="L593" s="109"/>
      <c r="M593" s="109"/>
      <c r="N593" s="109"/>
      <c r="O593" s="109"/>
      <c r="P593" s="109"/>
      <c r="Q593" s="109"/>
    </row>
    <row r="594" spans="1:22" x14ac:dyDescent="0.2">
      <c r="A594" s="18" t="s">
        <v>165</v>
      </c>
      <c r="B594" s="18">
        <v>915</v>
      </c>
      <c r="C594" s="19" t="s">
        <v>49</v>
      </c>
      <c r="D594" s="19" t="s">
        <v>48</v>
      </c>
      <c r="E594" s="16" t="s">
        <v>166</v>
      </c>
      <c r="F594" s="19"/>
      <c r="G594" s="4">
        <f>G595+G596+G597</f>
        <v>2468.3000000000002</v>
      </c>
      <c r="H594" s="4">
        <f t="shared" ref="H594:I594" si="125">H595+H596+H597</f>
        <v>0</v>
      </c>
      <c r="I594" s="4">
        <f t="shared" si="125"/>
        <v>0</v>
      </c>
      <c r="J594" s="103"/>
      <c r="K594" s="103"/>
      <c r="L594" s="103"/>
      <c r="M594" s="103"/>
      <c r="N594" s="103"/>
      <c r="O594" s="103"/>
      <c r="P594" s="103"/>
      <c r="Q594" s="103"/>
    </row>
    <row r="595" spans="1:22" ht="25.5" x14ac:dyDescent="0.2">
      <c r="A595" s="28" t="s">
        <v>74</v>
      </c>
      <c r="B595" s="18">
        <v>915</v>
      </c>
      <c r="C595" s="24" t="s">
        <v>49</v>
      </c>
      <c r="D595" s="24" t="s">
        <v>48</v>
      </c>
      <c r="E595" s="24" t="s">
        <v>166</v>
      </c>
      <c r="F595" s="24" t="s">
        <v>66</v>
      </c>
      <c r="G595" s="20">
        <f>3+75.3</f>
        <v>78.3</v>
      </c>
      <c r="H595" s="25"/>
      <c r="I595" s="25"/>
      <c r="J595" s="103"/>
      <c r="K595" s="103"/>
      <c r="L595" s="103"/>
      <c r="M595" s="103"/>
      <c r="N595" s="103"/>
      <c r="O595" s="103"/>
      <c r="P595" s="103"/>
      <c r="Q595" s="103"/>
    </row>
    <row r="596" spans="1:22" ht="14.25" customHeight="1" x14ac:dyDescent="0.2">
      <c r="A596" s="28" t="s">
        <v>67</v>
      </c>
      <c r="B596" s="18">
        <v>915</v>
      </c>
      <c r="C596" s="24" t="s">
        <v>49</v>
      </c>
      <c r="D596" s="24" t="s">
        <v>48</v>
      </c>
      <c r="E596" s="24" t="s">
        <v>166</v>
      </c>
      <c r="F596" s="24" t="s">
        <v>68</v>
      </c>
      <c r="G596" s="20">
        <f>689.7+0.3</f>
        <v>690</v>
      </c>
      <c r="H596" s="25"/>
      <c r="I596" s="25"/>
      <c r="J596" s="103"/>
      <c r="K596" s="103"/>
      <c r="L596" s="103"/>
      <c r="M596" s="103"/>
      <c r="N596" s="103"/>
      <c r="O596" s="103"/>
      <c r="P596" s="103"/>
      <c r="Q596" s="103"/>
    </row>
    <row r="597" spans="1:22" ht="28.5" customHeight="1" x14ac:dyDescent="0.2">
      <c r="A597" s="28" t="s">
        <v>80</v>
      </c>
      <c r="B597" s="18">
        <v>915</v>
      </c>
      <c r="C597" s="24" t="s">
        <v>49</v>
      </c>
      <c r="D597" s="24" t="s">
        <v>48</v>
      </c>
      <c r="E597" s="24" t="s">
        <v>166</v>
      </c>
      <c r="F597" s="24" t="s">
        <v>69</v>
      </c>
      <c r="G597" s="20">
        <v>1700</v>
      </c>
      <c r="H597" s="25"/>
      <c r="I597" s="25"/>
      <c r="J597" s="103"/>
      <c r="K597" s="103"/>
      <c r="L597" s="103"/>
      <c r="M597" s="103"/>
      <c r="N597" s="103"/>
      <c r="O597" s="103"/>
      <c r="P597" s="103"/>
      <c r="Q597" s="103"/>
    </row>
    <row r="598" spans="1:22" s="73" customFormat="1" x14ac:dyDescent="0.2">
      <c r="A598" s="69" t="s">
        <v>376</v>
      </c>
      <c r="B598" s="69">
        <v>915</v>
      </c>
      <c r="C598" s="71" t="s">
        <v>49</v>
      </c>
      <c r="D598" s="71" t="s">
        <v>48</v>
      </c>
      <c r="E598" s="100" t="s">
        <v>375</v>
      </c>
      <c r="F598" s="71"/>
      <c r="G598" s="67">
        <f>G599</f>
        <v>30</v>
      </c>
      <c r="H598" s="67">
        <f t="shared" ref="H598:I598" si="126">H599</f>
        <v>0</v>
      </c>
      <c r="I598" s="67">
        <f t="shared" si="126"/>
        <v>0</v>
      </c>
    </row>
    <row r="599" spans="1:22" s="21" customFormat="1" ht="25.5" x14ac:dyDescent="0.2">
      <c r="A599" s="28" t="s">
        <v>74</v>
      </c>
      <c r="B599" s="18">
        <v>915</v>
      </c>
      <c r="C599" s="24" t="s">
        <v>49</v>
      </c>
      <c r="D599" s="24" t="s">
        <v>48</v>
      </c>
      <c r="E599" s="24" t="s">
        <v>375</v>
      </c>
      <c r="F599" s="24" t="s">
        <v>66</v>
      </c>
      <c r="G599" s="20">
        <v>30</v>
      </c>
      <c r="H599" s="56"/>
      <c r="I599" s="56"/>
    </row>
    <row r="600" spans="1:22" s="9" customFormat="1" ht="36" customHeight="1" x14ac:dyDescent="0.2">
      <c r="A600" s="39" t="s">
        <v>46</v>
      </c>
      <c r="B600" s="36">
        <v>919</v>
      </c>
      <c r="C600" s="40"/>
      <c r="D600" s="40"/>
      <c r="E600" s="40"/>
      <c r="F600" s="40"/>
      <c r="G600" s="38">
        <f>G611+G628+G689+G607+G601</f>
        <v>453147.70275</v>
      </c>
      <c r="H600" s="38">
        <f>H611+H628+H689+H607+H601</f>
        <v>194651.4</v>
      </c>
      <c r="I600" s="38">
        <f>I611+I628+I689+I607+I601</f>
        <v>168778.1</v>
      </c>
      <c r="J600" s="38">
        <f t="shared" ref="J600:Q600" si="127">J611+J628+J689+J607</f>
        <v>0</v>
      </c>
      <c r="K600" s="38">
        <f t="shared" si="127"/>
        <v>0</v>
      </c>
      <c r="L600" s="38">
        <f t="shared" si="127"/>
        <v>0</v>
      </c>
      <c r="M600" s="38">
        <f t="shared" si="127"/>
        <v>0</v>
      </c>
      <c r="N600" s="38">
        <f t="shared" si="127"/>
        <v>0</v>
      </c>
      <c r="O600" s="38">
        <f t="shared" si="127"/>
        <v>0</v>
      </c>
      <c r="P600" s="38">
        <f t="shared" si="127"/>
        <v>0</v>
      </c>
      <c r="Q600" s="38">
        <f t="shared" si="127"/>
        <v>0</v>
      </c>
      <c r="S600" s="233"/>
      <c r="V600" s="233"/>
    </row>
    <row r="601" spans="1:22" s="9" customFormat="1" x14ac:dyDescent="0.2">
      <c r="A601" s="13" t="s">
        <v>58</v>
      </c>
      <c r="B601" s="41">
        <v>919</v>
      </c>
      <c r="C601" s="1" t="s">
        <v>10</v>
      </c>
      <c r="D601" s="1"/>
      <c r="E601" s="1"/>
      <c r="F601" s="1"/>
      <c r="G601" s="4">
        <f>G602</f>
        <v>50</v>
      </c>
      <c r="H601" s="4">
        <f t="shared" ref="H601:I605" si="128">H602</f>
        <v>0</v>
      </c>
      <c r="I601" s="4">
        <f t="shared" si="128"/>
        <v>0</v>
      </c>
      <c r="J601" s="194"/>
      <c r="K601" s="194"/>
      <c r="L601" s="194"/>
      <c r="M601" s="194"/>
      <c r="N601" s="194"/>
      <c r="O601" s="194"/>
      <c r="P601" s="194"/>
      <c r="Q601" s="194"/>
    </row>
    <row r="602" spans="1:22" s="9" customFormat="1" x14ac:dyDescent="0.2">
      <c r="A602" s="11" t="s">
        <v>22</v>
      </c>
      <c r="B602" s="14">
        <v>919</v>
      </c>
      <c r="C602" s="8" t="s">
        <v>10</v>
      </c>
      <c r="D602" s="8" t="s">
        <v>59</v>
      </c>
      <c r="E602" s="8"/>
      <c r="F602" s="8"/>
      <c r="G602" s="4">
        <f>G605+G603</f>
        <v>50</v>
      </c>
      <c r="H602" s="4">
        <f>H605</f>
        <v>0</v>
      </c>
      <c r="I602" s="4">
        <f>I605</f>
        <v>0</v>
      </c>
      <c r="J602" s="194"/>
      <c r="K602" s="194"/>
      <c r="L602" s="194"/>
      <c r="M602" s="194"/>
      <c r="N602" s="194"/>
      <c r="O602" s="194"/>
      <c r="P602" s="194"/>
      <c r="Q602" s="194"/>
    </row>
    <row r="603" spans="1:22" s="68" customFormat="1" x14ac:dyDescent="0.2">
      <c r="A603" s="69" t="s">
        <v>190</v>
      </c>
      <c r="B603" s="70">
        <v>919</v>
      </c>
      <c r="C603" s="71" t="s">
        <v>10</v>
      </c>
      <c r="D603" s="71" t="s">
        <v>59</v>
      </c>
      <c r="E603" s="84" t="s">
        <v>191</v>
      </c>
      <c r="F603" s="84"/>
      <c r="G603" s="72">
        <f>G604</f>
        <v>0</v>
      </c>
      <c r="H603" s="72">
        <f t="shared" si="128"/>
        <v>0</v>
      </c>
      <c r="I603" s="72">
        <f t="shared" si="128"/>
        <v>0</v>
      </c>
      <c r="J603" s="200"/>
      <c r="K603" s="200"/>
      <c r="L603" s="200"/>
      <c r="M603" s="200"/>
      <c r="N603" s="200"/>
      <c r="O603" s="200"/>
      <c r="P603" s="200"/>
      <c r="Q603" s="200"/>
    </row>
    <row r="604" spans="1:22" s="68" customFormat="1" ht="25.5" x14ac:dyDescent="0.2">
      <c r="A604" s="81" t="s">
        <v>130</v>
      </c>
      <c r="B604" s="75">
        <v>919</v>
      </c>
      <c r="C604" s="76" t="s">
        <v>10</v>
      </c>
      <c r="D604" s="76" t="s">
        <v>59</v>
      </c>
      <c r="E604" s="76" t="s">
        <v>191</v>
      </c>
      <c r="F604" s="77" t="s">
        <v>63</v>
      </c>
      <c r="G604" s="72"/>
      <c r="H604" s="72"/>
      <c r="I604" s="72"/>
      <c r="J604" s="200"/>
      <c r="K604" s="200"/>
      <c r="L604" s="200"/>
      <c r="M604" s="200"/>
      <c r="N604" s="200"/>
      <c r="O604" s="200"/>
      <c r="P604" s="200"/>
      <c r="Q604" s="200"/>
    </row>
    <row r="605" spans="1:22" s="68" customFormat="1" ht="38.25" x14ac:dyDescent="0.2">
      <c r="A605" s="69" t="s">
        <v>749</v>
      </c>
      <c r="B605" s="70">
        <v>919</v>
      </c>
      <c r="C605" s="71" t="s">
        <v>10</v>
      </c>
      <c r="D605" s="71" t="s">
        <v>59</v>
      </c>
      <c r="E605" s="84" t="s">
        <v>696</v>
      </c>
      <c r="F605" s="84"/>
      <c r="G605" s="72">
        <f>G606</f>
        <v>50</v>
      </c>
      <c r="H605" s="72">
        <f t="shared" si="128"/>
        <v>0</v>
      </c>
      <c r="I605" s="72">
        <f t="shared" si="128"/>
        <v>0</v>
      </c>
      <c r="J605" s="200"/>
      <c r="K605" s="200"/>
      <c r="L605" s="200"/>
      <c r="M605" s="200"/>
      <c r="N605" s="200"/>
      <c r="O605" s="200"/>
      <c r="P605" s="200"/>
      <c r="Q605" s="200"/>
    </row>
    <row r="606" spans="1:22" s="68" customFormat="1" ht="25.5" x14ac:dyDescent="0.2">
      <c r="A606" s="28" t="s">
        <v>74</v>
      </c>
      <c r="B606" s="75">
        <v>919</v>
      </c>
      <c r="C606" s="76" t="s">
        <v>10</v>
      </c>
      <c r="D606" s="76" t="s">
        <v>59</v>
      </c>
      <c r="E606" s="76" t="s">
        <v>696</v>
      </c>
      <c r="F606" s="77" t="s">
        <v>66</v>
      </c>
      <c r="G606" s="72">
        <v>50</v>
      </c>
      <c r="H606" s="72"/>
      <c r="I606" s="72"/>
      <c r="J606" s="200"/>
      <c r="K606" s="200"/>
      <c r="L606" s="200"/>
      <c r="M606" s="200"/>
      <c r="N606" s="200"/>
      <c r="O606" s="200"/>
      <c r="P606" s="200"/>
      <c r="Q606" s="200"/>
    </row>
    <row r="607" spans="1:22" s="3" customFormat="1" ht="25.5" x14ac:dyDescent="0.2">
      <c r="A607" s="13" t="s">
        <v>4</v>
      </c>
      <c r="B607" s="41">
        <v>919</v>
      </c>
      <c r="C607" s="1" t="s">
        <v>14</v>
      </c>
      <c r="D607" s="1"/>
      <c r="E607" s="1"/>
      <c r="F607" s="1"/>
      <c r="G607" s="2">
        <f t="shared" ref="G607:I609" si="129">G608</f>
        <v>0</v>
      </c>
      <c r="H607" s="2">
        <f t="shared" si="129"/>
        <v>0</v>
      </c>
      <c r="I607" s="2">
        <f t="shared" si="129"/>
        <v>0</v>
      </c>
    </row>
    <row r="608" spans="1:22" s="9" customFormat="1" ht="38.25" x14ac:dyDescent="0.2">
      <c r="A608" s="11" t="s">
        <v>78</v>
      </c>
      <c r="B608" s="14">
        <v>919</v>
      </c>
      <c r="C608" s="8" t="s">
        <v>14</v>
      </c>
      <c r="D608" s="8" t="s">
        <v>24</v>
      </c>
      <c r="E608" s="8"/>
      <c r="F608" s="8"/>
      <c r="G608" s="4">
        <f t="shared" si="129"/>
        <v>0</v>
      </c>
      <c r="H608" s="4">
        <f t="shared" si="129"/>
        <v>0</v>
      </c>
      <c r="I608" s="4">
        <f t="shared" si="129"/>
        <v>0</v>
      </c>
      <c r="J608" s="109"/>
      <c r="K608" s="109"/>
      <c r="L608" s="109"/>
      <c r="M608" s="109"/>
      <c r="N608" s="109"/>
      <c r="O608" s="109"/>
      <c r="P608" s="109"/>
      <c r="Q608" s="109"/>
    </row>
    <row r="609" spans="1:17" s="78" customFormat="1" x14ac:dyDescent="0.2">
      <c r="A609" s="203" t="s">
        <v>149</v>
      </c>
      <c r="B609" s="203">
        <v>919</v>
      </c>
      <c r="C609" s="71" t="s">
        <v>14</v>
      </c>
      <c r="D609" s="71" t="s">
        <v>24</v>
      </c>
      <c r="E609" s="71" t="s">
        <v>150</v>
      </c>
      <c r="F609" s="71"/>
      <c r="G609" s="72">
        <f t="shared" si="129"/>
        <v>0</v>
      </c>
      <c r="H609" s="72">
        <f t="shared" si="129"/>
        <v>0</v>
      </c>
      <c r="I609" s="72">
        <f t="shared" si="129"/>
        <v>0</v>
      </c>
      <c r="J609" s="104"/>
      <c r="K609" s="104"/>
      <c r="L609" s="104"/>
      <c r="M609" s="104"/>
      <c r="N609" s="104"/>
      <c r="O609" s="104"/>
      <c r="P609" s="104"/>
      <c r="Q609" s="104"/>
    </row>
    <row r="610" spans="1:17" s="78" customFormat="1" ht="25.5" x14ac:dyDescent="0.2">
      <c r="A610" s="81" t="s">
        <v>130</v>
      </c>
      <c r="B610" s="79">
        <v>919</v>
      </c>
      <c r="C610" s="76" t="s">
        <v>14</v>
      </c>
      <c r="D610" s="76" t="s">
        <v>24</v>
      </c>
      <c r="E610" s="76" t="s">
        <v>150</v>
      </c>
      <c r="F610" s="77" t="s">
        <v>63</v>
      </c>
      <c r="G610" s="56"/>
      <c r="H610" s="56"/>
      <c r="I610" s="56"/>
      <c r="J610" s="104"/>
      <c r="K610" s="104"/>
      <c r="L610" s="104"/>
      <c r="M610" s="104"/>
      <c r="N610" s="104"/>
      <c r="O610" s="104"/>
      <c r="P610" s="104"/>
      <c r="Q610" s="104"/>
    </row>
    <row r="611" spans="1:17" s="3" customFormat="1" x14ac:dyDescent="0.2">
      <c r="A611" s="13" t="s">
        <v>25</v>
      </c>
      <c r="B611" s="41">
        <v>919</v>
      </c>
      <c r="C611" s="1" t="s">
        <v>16</v>
      </c>
      <c r="D611" s="1"/>
      <c r="E611" s="1"/>
      <c r="F611" s="1"/>
      <c r="G611" s="2">
        <f>G612+G615</f>
        <v>141625.51516000001</v>
      </c>
      <c r="H611" s="2">
        <f>H612+H615</f>
        <v>153594.9</v>
      </c>
      <c r="I611" s="2">
        <f>I612+I615</f>
        <v>133041.60000000001</v>
      </c>
    </row>
    <row r="612" spans="1:17" s="9" customFormat="1" x14ac:dyDescent="0.2">
      <c r="A612" s="11" t="s">
        <v>26</v>
      </c>
      <c r="B612" s="14">
        <v>919</v>
      </c>
      <c r="C612" s="8" t="s">
        <v>16</v>
      </c>
      <c r="D612" s="8" t="s">
        <v>12</v>
      </c>
      <c r="E612" s="8"/>
      <c r="F612" s="8"/>
      <c r="G612" s="4">
        <f t="shared" ref="G612:I613" si="130">G613</f>
        <v>0</v>
      </c>
      <c r="H612" s="4">
        <f t="shared" si="130"/>
        <v>0</v>
      </c>
      <c r="I612" s="4">
        <f t="shared" si="130"/>
        <v>0</v>
      </c>
    </row>
    <row r="613" spans="1:17" s="73" customFormat="1" ht="51" x14ac:dyDescent="0.2">
      <c r="A613" s="69" t="s">
        <v>374</v>
      </c>
      <c r="B613" s="70">
        <v>919</v>
      </c>
      <c r="C613" s="71" t="s">
        <v>16</v>
      </c>
      <c r="D613" s="71" t="s">
        <v>12</v>
      </c>
      <c r="E613" s="71" t="s">
        <v>269</v>
      </c>
      <c r="F613" s="71"/>
      <c r="G613" s="72">
        <f t="shared" si="130"/>
        <v>0</v>
      </c>
      <c r="H613" s="72">
        <f t="shared" si="130"/>
        <v>0</v>
      </c>
      <c r="I613" s="72">
        <f t="shared" si="130"/>
        <v>0</v>
      </c>
      <c r="J613" s="103"/>
      <c r="K613" s="103"/>
      <c r="L613" s="103"/>
      <c r="M613" s="103"/>
      <c r="N613" s="103"/>
      <c r="O613" s="103"/>
      <c r="P613" s="103"/>
      <c r="Q613" s="103"/>
    </row>
    <row r="614" spans="1:17" s="78" customFormat="1" x14ac:dyDescent="0.2">
      <c r="A614" s="81" t="s">
        <v>70</v>
      </c>
      <c r="B614" s="80">
        <v>919</v>
      </c>
      <c r="C614" s="76" t="s">
        <v>16</v>
      </c>
      <c r="D614" s="76" t="s">
        <v>12</v>
      </c>
      <c r="E614" s="76" t="s">
        <v>269</v>
      </c>
      <c r="F614" s="76" t="s">
        <v>71</v>
      </c>
      <c r="G614" s="56"/>
      <c r="H614" s="56"/>
      <c r="I614" s="56"/>
      <c r="J614" s="104"/>
      <c r="K614" s="104"/>
      <c r="L614" s="104"/>
      <c r="M614" s="104"/>
      <c r="N614" s="104"/>
      <c r="O614" s="104"/>
      <c r="P614" s="104"/>
      <c r="Q614" s="104"/>
    </row>
    <row r="615" spans="1:17" s="68" customFormat="1" x14ac:dyDescent="0.2">
      <c r="A615" s="64" t="s">
        <v>77</v>
      </c>
      <c r="B615" s="65">
        <v>919</v>
      </c>
      <c r="C615" s="66" t="s">
        <v>16</v>
      </c>
      <c r="D615" s="66" t="s">
        <v>24</v>
      </c>
      <c r="E615" s="66"/>
      <c r="F615" s="66"/>
      <c r="G615" s="67">
        <f>+G620+G622+G618+G616+G624+G626</f>
        <v>141625.51516000001</v>
      </c>
      <c r="H615" s="67">
        <f t="shared" ref="H615:I615" si="131">+H620+H622+H618+H616+H624+H626</f>
        <v>153594.9</v>
      </c>
      <c r="I615" s="67">
        <f t="shared" si="131"/>
        <v>133041.60000000001</v>
      </c>
      <c r="J615" s="67">
        <f t="shared" ref="J615:Q615" si="132">+J620+J622+J618+J616</f>
        <v>0</v>
      </c>
      <c r="K615" s="67">
        <f t="shared" si="132"/>
        <v>0</v>
      </c>
      <c r="L615" s="67">
        <f t="shared" si="132"/>
        <v>0</v>
      </c>
      <c r="M615" s="67">
        <f t="shared" si="132"/>
        <v>0</v>
      </c>
      <c r="N615" s="67">
        <f t="shared" si="132"/>
        <v>0</v>
      </c>
      <c r="O615" s="67">
        <f t="shared" si="132"/>
        <v>0</v>
      </c>
      <c r="P615" s="67">
        <f t="shared" si="132"/>
        <v>0</v>
      </c>
      <c r="Q615" s="67">
        <f t="shared" si="132"/>
        <v>0</v>
      </c>
    </row>
    <row r="616" spans="1:17" ht="63.75" customHeight="1" x14ac:dyDescent="0.2">
      <c r="A616" s="18" t="s">
        <v>344</v>
      </c>
      <c r="B616" s="22">
        <v>919</v>
      </c>
      <c r="C616" s="19" t="s">
        <v>16</v>
      </c>
      <c r="D616" s="19" t="s">
        <v>24</v>
      </c>
      <c r="E616" s="19" t="s">
        <v>345</v>
      </c>
      <c r="F616" s="19"/>
      <c r="G616" s="20">
        <f>G617</f>
        <v>30000</v>
      </c>
      <c r="H616" s="20">
        <f>H617</f>
        <v>30000</v>
      </c>
      <c r="I616" s="20">
        <f>I617</f>
        <v>35000</v>
      </c>
      <c r="J616" s="103"/>
      <c r="K616" s="103"/>
      <c r="L616" s="103"/>
      <c r="M616" s="103"/>
      <c r="N616" s="103"/>
      <c r="O616" s="103"/>
      <c r="P616" s="103"/>
      <c r="Q616" s="103"/>
    </row>
    <row r="617" spans="1:17" s="26" customFormat="1" ht="25.5" x14ac:dyDescent="0.2">
      <c r="A617" s="28" t="s">
        <v>130</v>
      </c>
      <c r="B617" s="31">
        <v>919</v>
      </c>
      <c r="C617" s="24" t="s">
        <v>16</v>
      </c>
      <c r="D617" s="24" t="s">
        <v>24</v>
      </c>
      <c r="E617" s="24" t="s">
        <v>345</v>
      </c>
      <c r="F617" s="24" t="s">
        <v>63</v>
      </c>
      <c r="G617" s="25">
        <v>30000</v>
      </c>
      <c r="H617" s="25">
        <v>30000</v>
      </c>
      <c r="I617" s="25">
        <f>34651+349</f>
        <v>35000</v>
      </c>
      <c r="J617" s="104"/>
      <c r="K617" s="104"/>
      <c r="L617" s="104"/>
      <c r="M617" s="104"/>
      <c r="N617" s="104"/>
      <c r="O617" s="104"/>
      <c r="P617" s="104"/>
      <c r="Q617" s="104"/>
    </row>
    <row r="618" spans="1:17" ht="61.5" customHeight="1" x14ac:dyDescent="0.2">
      <c r="A618" s="18" t="s">
        <v>344</v>
      </c>
      <c r="B618" s="22">
        <v>919</v>
      </c>
      <c r="C618" s="19" t="s">
        <v>16</v>
      </c>
      <c r="D618" s="19" t="s">
        <v>24</v>
      </c>
      <c r="E618" s="19" t="s">
        <v>348</v>
      </c>
      <c r="F618" s="19"/>
      <c r="G618" s="20">
        <f>G619</f>
        <v>1500</v>
      </c>
      <c r="H618" s="20">
        <f>H619</f>
        <v>0</v>
      </c>
      <c r="I618" s="20">
        <f>I619</f>
        <v>0</v>
      </c>
      <c r="J618" s="103"/>
      <c r="K618" s="103"/>
      <c r="L618" s="103"/>
      <c r="M618" s="103"/>
      <c r="N618" s="103"/>
      <c r="O618" s="103"/>
      <c r="P618" s="103"/>
      <c r="Q618" s="103"/>
    </row>
    <row r="619" spans="1:17" s="26" customFormat="1" ht="25.5" x14ac:dyDescent="0.2">
      <c r="A619" s="28" t="s">
        <v>130</v>
      </c>
      <c r="B619" s="31">
        <v>919</v>
      </c>
      <c r="C619" s="24" t="s">
        <v>16</v>
      </c>
      <c r="D619" s="24" t="s">
        <v>24</v>
      </c>
      <c r="E619" s="24" t="s">
        <v>348</v>
      </c>
      <c r="F619" s="24" t="s">
        <v>63</v>
      </c>
      <c r="G619" s="25">
        <v>1500</v>
      </c>
      <c r="H619" s="25"/>
      <c r="I619" s="25"/>
      <c r="J619" s="104"/>
      <c r="K619" s="104"/>
      <c r="L619" s="104"/>
      <c r="M619" s="104"/>
      <c r="N619" s="104"/>
      <c r="O619" s="104"/>
      <c r="P619" s="104"/>
      <c r="Q619" s="104"/>
    </row>
    <row r="620" spans="1:17" ht="25.5" x14ac:dyDescent="0.2">
      <c r="A620" s="18" t="s">
        <v>271</v>
      </c>
      <c r="B620" s="22">
        <v>919</v>
      </c>
      <c r="C620" s="19" t="s">
        <v>16</v>
      </c>
      <c r="D620" s="19" t="s">
        <v>24</v>
      </c>
      <c r="E620" s="19" t="s">
        <v>270</v>
      </c>
      <c r="F620" s="19"/>
      <c r="G620" s="20">
        <f>G621</f>
        <v>84184</v>
      </c>
      <c r="H620" s="20">
        <f>H621</f>
        <v>89779.5</v>
      </c>
      <c r="I620" s="20">
        <f>I621</f>
        <v>64769</v>
      </c>
      <c r="J620" s="103"/>
      <c r="K620" s="103"/>
      <c r="L620" s="103"/>
      <c r="M620" s="103"/>
      <c r="N620" s="103"/>
      <c r="O620" s="103"/>
      <c r="P620" s="103"/>
      <c r="Q620" s="103"/>
    </row>
    <row r="621" spans="1:17" s="78" customFormat="1" ht="25.5" x14ac:dyDescent="0.2">
      <c r="A621" s="81" t="s">
        <v>130</v>
      </c>
      <c r="B621" s="80">
        <v>919</v>
      </c>
      <c r="C621" s="76" t="s">
        <v>16</v>
      </c>
      <c r="D621" s="76" t="s">
        <v>24</v>
      </c>
      <c r="E621" s="76" t="s">
        <v>270</v>
      </c>
      <c r="F621" s="76" t="s">
        <v>63</v>
      </c>
      <c r="G621" s="56">
        <v>84184</v>
      </c>
      <c r="H621" s="56">
        <v>89779.5</v>
      </c>
      <c r="I621" s="56">
        <v>64769</v>
      </c>
      <c r="J621" s="104"/>
      <c r="K621" s="104"/>
      <c r="L621" s="104"/>
      <c r="M621" s="104"/>
      <c r="N621" s="104"/>
      <c r="O621" s="104"/>
      <c r="P621" s="104"/>
      <c r="Q621" s="104"/>
    </row>
    <row r="622" spans="1:17" s="73" customFormat="1" ht="25.5" x14ac:dyDescent="0.2">
      <c r="A622" s="69" t="s">
        <v>273</v>
      </c>
      <c r="B622" s="69">
        <v>919</v>
      </c>
      <c r="C622" s="71" t="s">
        <v>16</v>
      </c>
      <c r="D622" s="71" t="s">
        <v>24</v>
      </c>
      <c r="E622" s="71" t="s">
        <v>272</v>
      </c>
      <c r="F622" s="71"/>
      <c r="G622" s="72">
        <f>G623</f>
        <v>14330</v>
      </c>
      <c r="H622" s="72">
        <f>H623</f>
        <v>14330</v>
      </c>
      <c r="I622" s="72">
        <f>I623</f>
        <v>12730</v>
      </c>
    </row>
    <row r="623" spans="1:17" s="73" customFormat="1" ht="25.5" x14ac:dyDescent="0.2">
      <c r="A623" s="81" t="s">
        <v>130</v>
      </c>
      <c r="B623" s="81">
        <v>919</v>
      </c>
      <c r="C623" s="76" t="s">
        <v>16</v>
      </c>
      <c r="D623" s="76" t="s">
        <v>24</v>
      </c>
      <c r="E623" s="76" t="s">
        <v>272</v>
      </c>
      <c r="F623" s="76" t="s">
        <v>63</v>
      </c>
      <c r="G623" s="56">
        <v>14330</v>
      </c>
      <c r="H623" s="56">
        <v>14330</v>
      </c>
      <c r="I623" s="56">
        <v>12730</v>
      </c>
    </row>
    <row r="624" spans="1:17" s="103" customFormat="1" ht="25.5" x14ac:dyDescent="0.2">
      <c r="A624" s="248" t="s">
        <v>359</v>
      </c>
      <c r="B624" s="255">
        <v>919</v>
      </c>
      <c r="C624" s="241" t="s">
        <v>16</v>
      </c>
      <c r="D624" s="241" t="s">
        <v>24</v>
      </c>
      <c r="E624" s="241" t="s">
        <v>357</v>
      </c>
      <c r="F624" s="241"/>
      <c r="G624" s="193">
        <f>G625</f>
        <v>580.57576000000006</v>
      </c>
      <c r="H624" s="193">
        <f t="shared" ref="H624:I624" si="133">H625</f>
        <v>974.3</v>
      </c>
      <c r="I624" s="193">
        <f t="shared" si="133"/>
        <v>1027.0999999999999</v>
      </c>
    </row>
    <row r="625" spans="1:17" s="103" customFormat="1" ht="25.5" x14ac:dyDescent="0.2">
      <c r="A625" s="247" t="s">
        <v>74</v>
      </c>
      <c r="B625" s="243">
        <v>919</v>
      </c>
      <c r="C625" s="244" t="s">
        <v>16</v>
      </c>
      <c r="D625" s="244" t="s">
        <v>24</v>
      </c>
      <c r="E625" s="244" t="s">
        <v>358</v>
      </c>
      <c r="F625" s="244" t="s">
        <v>66</v>
      </c>
      <c r="G625" s="192">
        <f>971.6-391.02089-0.00335</f>
        <v>580.57576000000006</v>
      </c>
      <c r="H625" s="192">
        <v>974.3</v>
      </c>
      <c r="I625" s="192">
        <v>1027.0999999999999</v>
      </c>
    </row>
    <row r="626" spans="1:17" s="103" customFormat="1" ht="38.25" x14ac:dyDescent="0.2">
      <c r="A626" s="248" t="s">
        <v>758</v>
      </c>
      <c r="B626" s="255">
        <v>919</v>
      </c>
      <c r="C626" s="241" t="s">
        <v>16</v>
      </c>
      <c r="D626" s="241" t="s">
        <v>24</v>
      </c>
      <c r="E626" s="241" t="s">
        <v>757</v>
      </c>
      <c r="F626" s="241"/>
      <c r="G626" s="193">
        <f>G627</f>
        <v>11030.939399999999</v>
      </c>
      <c r="H626" s="193">
        <f t="shared" ref="H626:I626" si="134">H627</f>
        <v>18511.099999999999</v>
      </c>
      <c r="I626" s="193">
        <f t="shared" si="134"/>
        <v>19515.5</v>
      </c>
    </row>
    <row r="627" spans="1:17" s="103" customFormat="1" ht="25.5" x14ac:dyDescent="0.2">
      <c r="A627" s="247" t="s">
        <v>74</v>
      </c>
      <c r="B627" s="243">
        <v>919</v>
      </c>
      <c r="C627" s="244" t="s">
        <v>16</v>
      </c>
      <c r="D627" s="244" t="s">
        <v>24</v>
      </c>
      <c r="E627" s="241" t="s">
        <v>757</v>
      </c>
      <c r="F627" s="244" t="s">
        <v>66</v>
      </c>
      <c r="G627" s="192">
        <f>2269.5-423.5+16614.3-7429.29695-0.06365</f>
        <v>11030.939399999999</v>
      </c>
      <c r="H627" s="192">
        <f>1851.1+16660</f>
        <v>18511.099999999999</v>
      </c>
      <c r="I627" s="192">
        <f>1951.5+17564</f>
        <v>19515.5</v>
      </c>
    </row>
    <row r="628" spans="1:17" s="90" customFormat="1" ht="15.75" customHeight="1" x14ac:dyDescent="0.2">
      <c r="A628" s="89" t="s">
        <v>28</v>
      </c>
      <c r="B628" s="58">
        <v>919</v>
      </c>
      <c r="C628" s="59" t="s">
        <v>29</v>
      </c>
      <c r="D628" s="59"/>
      <c r="E628" s="59"/>
      <c r="F628" s="59"/>
      <c r="G628" s="62">
        <f>G629+G634+G659+G681</f>
        <v>309144.18758999999</v>
      </c>
      <c r="H628" s="62">
        <f>H629+H634+H659+H681</f>
        <v>41056.5</v>
      </c>
      <c r="I628" s="62">
        <f>I629+I634+I659+I681</f>
        <v>35736.5</v>
      </c>
    </row>
    <row r="629" spans="1:17" s="9" customFormat="1" x14ac:dyDescent="0.2">
      <c r="A629" s="11" t="s">
        <v>30</v>
      </c>
      <c r="B629" s="14">
        <v>919</v>
      </c>
      <c r="C629" s="8" t="s">
        <v>29</v>
      </c>
      <c r="D629" s="8" t="s">
        <v>10</v>
      </c>
      <c r="E629" s="8"/>
      <c r="F629" s="8"/>
      <c r="G629" s="4">
        <f>G630+G632</f>
        <v>3208</v>
      </c>
      <c r="H629" s="4">
        <f t="shared" ref="H629:Q629" si="135">H630+H632</f>
        <v>0</v>
      </c>
      <c r="I629" s="4">
        <f t="shared" si="135"/>
        <v>0</v>
      </c>
      <c r="J629" s="4">
        <f t="shared" si="135"/>
        <v>0</v>
      </c>
      <c r="K629" s="4">
        <f t="shared" si="135"/>
        <v>0</v>
      </c>
      <c r="L629" s="4">
        <f t="shared" si="135"/>
        <v>0</v>
      </c>
      <c r="M629" s="4">
        <f t="shared" si="135"/>
        <v>0</v>
      </c>
      <c r="N629" s="4">
        <f t="shared" si="135"/>
        <v>0</v>
      </c>
      <c r="O629" s="4">
        <f t="shared" si="135"/>
        <v>0</v>
      </c>
      <c r="P629" s="4">
        <f t="shared" si="135"/>
        <v>0</v>
      </c>
      <c r="Q629" s="4">
        <f t="shared" si="135"/>
        <v>0</v>
      </c>
    </row>
    <row r="630" spans="1:17" s="103" customFormat="1" x14ac:dyDescent="0.2">
      <c r="A630" s="239" t="s">
        <v>367</v>
      </c>
      <c r="B630" s="240">
        <v>919</v>
      </c>
      <c r="C630" s="241" t="s">
        <v>29</v>
      </c>
      <c r="D630" s="241" t="s">
        <v>10</v>
      </c>
      <c r="E630" s="241" t="s">
        <v>368</v>
      </c>
      <c r="F630" s="241"/>
      <c r="G630" s="193">
        <f t="shared" ref="G630:I630" si="136">G631</f>
        <v>1708</v>
      </c>
      <c r="H630" s="193">
        <f t="shared" si="136"/>
        <v>0</v>
      </c>
      <c r="I630" s="193">
        <f t="shared" si="136"/>
        <v>0</v>
      </c>
    </row>
    <row r="631" spans="1:17" s="104" customFormat="1" ht="25.5" x14ac:dyDescent="0.2">
      <c r="A631" s="247" t="s">
        <v>74</v>
      </c>
      <c r="B631" s="243">
        <v>919</v>
      </c>
      <c r="C631" s="244" t="s">
        <v>29</v>
      </c>
      <c r="D631" s="244" t="s">
        <v>10</v>
      </c>
      <c r="E631" s="244" t="s">
        <v>368</v>
      </c>
      <c r="F631" s="244" t="s">
        <v>66</v>
      </c>
      <c r="G631" s="192">
        <f>894+1100-286</f>
        <v>1708</v>
      </c>
      <c r="H631" s="192"/>
      <c r="I631" s="192"/>
    </row>
    <row r="632" spans="1:17" s="26" customFormat="1" ht="25.5" x14ac:dyDescent="0.2">
      <c r="A632" s="18" t="s">
        <v>340</v>
      </c>
      <c r="B632" s="18">
        <v>919</v>
      </c>
      <c r="C632" s="19" t="s">
        <v>29</v>
      </c>
      <c r="D632" s="19" t="s">
        <v>10</v>
      </c>
      <c r="E632" s="19" t="s">
        <v>341</v>
      </c>
      <c r="F632" s="19"/>
      <c r="G632" s="25">
        <f>G633</f>
        <v>1500</v>
      </c>
      <c r="H632" s="25">
        <f t="shared" ref="H632:I632" si="137">H633</f>
        <v>0</v>
      </c>
      <c r="I632" s="25">
        <f t="shared" si="137"/>
        <v>0</v>
      </c>
    </row>
    <row r="633" spans="1:17" s="26" customFormat="1" ht="25.5" x14ac:dyDescent="0.2">
      <c r="A633" s="28" t="s">
        <v>74</v>
      </c>
      <c r="B633" s="28">
        <v>919</v>
      </c>
      <c r="C633" s="24" t="s">
        <v>29</v>
      </c>
      <c r="D633" s="24" t="s">
        <v>10</v>
      </c>
      <c r="E633" s="24" t="s">
        <v>341</v>
      </c>
      <c r="F633" s="27" t="s">
        <v>66</v>
      </c>
      <c r="G633" s="25">
        <v>1500</v>
      </c>
      <c r="H633" s="25"/>
      <c r="I633" s="25"/>
    </row>
    <row r="634" spans="1:17" s="68" customFormat="1" ht="15" customHeight="1" x14ac:dyDescent="0.2">
      <c r="A634" s="64" t="s">
        <v>31</v>
      </c>
      <c r="B634" s="65">
        <v>919</v>
      </c>
      <c r="C634" s="66" t="s">
        <v>29</v>
      </c>
      <c r="D634" s="66" t="s">
        <v>12</v>
      </c>
      <c r="E634" s="66"/>
      <c r="F634" s="66"/>
      <c r="G634" s="67">
        <f>+G649+G651+G653+G641+G645+G635+G639+G637+G655+G657+G643+G647</f>
        <v>249022.5</v>
      </c>
      <c r="H634" s="67">
        <f>+H649+H651+H653+H641+H645+H635+H639+H637+H655+H657+H643</f>
        <v>0</v>
      </c>
      <c r="I634" s="67">
        <f>+I649+I651+I653+I641+I645+I635+I639+I637+I655+I657+I643</f>
        <v>0</v>
      </c>
      <c r="J634" s="67">
        <f t="shared" ref="J634:Q634" si="138">+J649+J651+J653+J641+J645+J635</f>
        <v>0</v>
      </c>
      <c r="K634" s="67">
        <f t="shared" si="138"/>
        <v>0</v>
      </c>
      <c r="L634" s="67">
        <f t="shared" si="138"/>
        <v>0</v>
      </c>
      <c r="M634" s="67">
        <f t="shared" si="138"/>
        <v>0</v>
      </c>
      <c r="N634" s="67">
        <f t="shared" si="138"/>
        <v>0</v>
      </c>
      <c r="O634" s="67">
        <f t="shared" si="138"/>
        <v>0</v>
      </c>
      <c r="P634" s="67">
        <f t="shared" si="138"/>
        <v>0</v>
      </c>
      <c r="Q634" s="67">
        <f t="shared" si="138"/>
        <v>0</v>
      </c>
    </row>
    <row r="635" spans="1:17" s="9" customFormat="1" ht="25.5" x14ac:dyDescent="0.2">
      <c r="A635" s="17" t="s">
        <v>351</v>
      </c>
      <c r="B635" s="42">
        <v>919</v>
      </c>
      <c r="C635" s="19" t="s">
        <v>29</v>
      </c>
      <c r="D635" s="19" t="s">
        <v>12</v>
      </c>
      <c r="E635" s="19" t="s">
        <v>352</v>
      </c>
      <c r="F635" s="19"/>
      <c r="G635" s="20">
        <f>G636</f>
        <v>0</v>
      </c>
      <c r="H635" s="20">
        <f>H636</f>
        <v>0</v>
      </c>
      <c r="I635" s="20">
        <f>I636</f>
        <v>0</v>
      </c>
      <c r="J635" s="109"/>
      <c r="K635" s="109"/>
      <c r="L635" s="109"/>
      <c r="M635" s="109"/>
      <c r="N635" s="109"/>
      <c r="O635" s="109"/>
      <c r="P635" s="109"/>
      <c r="Q635" s="109"/>
    </row>
    <row r="636" spans="1:17" s="9" customFormat="1" ht="25.5" x14ac:dyDescent="0.2">
      <c r="A636" s="28" t="s">
        <v>74</v>
      </c>
      <c r="B636" s="31">
        <v>919</v>
      </c>
      <c r="C636" s="24" t="s">
        <v>29</v>
      </c>
      <c r="D636" s="24" t="s">
        <v>12</v>
      </c>
      <c r="E636" s="24" t="s">
        <v>352</v>
      </c>
      <c r="F636" s="24" t="s">
        <v>66</v>
      </c>
      <c r="G636" s="25"/>
      <c r="H636" s="25"/>
      <c r="I636" s="25"/>
      <c r="J636" s="109"/>
      <c r="K636" s="109"/>
      <c r="L636" s="109"/>
      <c r="M636" s="109"/>
      <c r="N636" s="109"/>
      <c r="O636" s="109"/>
      <c r="P636" s="109"/>
      <c r="Q636" s="109"/>
    </row>
    <row r="637" spans="1:17" s="9" customFormat="1" ht="25.5" x14ac:dyDescent="0.2">
      <c r="A637" s="17" t="s">
        <v>275</v>
      </c>
      <c r="B637" s="42">
        <v>919</v>
      </c>
      <c r="C637" s="19" t="s">
        <v>29</v>
      </c>
      <c r="D637" s="19" t="s">
        <v>12</v>
      </c>
      <c r="E637" s="19" t="s">
        <v>353</v>
      </c>
      <c r="F637" s="19"/>
      <c r="G637" s="25">
        <f>G638</f>
        <v>0</v>
      </c>
      <c r="H637" s="25">
        <f t="shared" ref="H637:I637" si="139">H638</f>
        <v>0</v>
      </c>
      <c r="I637" s="25">
        <f t="shared" si="139"/>
        <v>0</v>
      </c>
      <c r="J637" s="109"/>
      <c r="K637" s="109"/>
      <c r="L637" s="109"/>
      <c r="M637" s="109"/>
      <c r="N637" s="109"/>
      <c r="O637" s="109"/>
      <c r="P637" s="109"/>
      <c r="Q637" s="109"/>
    </row>
    <row r="638" spans="1:17" s="9" customFormat="1" ht="25.5" x14ac:dyDescent="0.2">
      <c r="A638" s="28" t="s">
        <v>74</v>
      </c>
      <c r="B638" s="31">
        <v>919</v>
      </c>
      <c r="C638" s="24" t="s">
        <v>29</v>
      </c>
      <c r="D638" s="24" t="s">
        <v>12</v>
      </c>
      <c r="E638" s="24" t="s">
        <v>353</v>
      </c>
      <c r="F638" s="24" t="s">
        <v>66</v>
      </c>
      <c r="G638" s="25"/>
      <c r="H638" s="25"/>
      <c r="I638" s="25"/>
      <c r="J638" s="109"/>
      <c r="K638" s="109"/>
      <c r="L638" s="109"/>
      <c r="M638" s="109"/>
      <c r="N638" s="109"/>
      <c r="O638" s="109"/>
      <c r="P638" s="109"/>
      <c r="Q638" s="109"/>
    </row>
    <row r="639" spans="1:17" s="9" customFormat="1" ht="25.5" x14ac:dyDescent="0.2">
      <c r="A639" s="17" t="s">
        <v>606</v>
      </c>
      <c r="B639" s="42">
        <v>919</v>
      </c>
      <c r="C639" s="19" t="s">
        <v>29</v>
      </c>
      <c r="D639" s="19" t="s">
        <v>12</v>
      </c>
      <c r="E639" s="19" t="s">
        <v>605</v>
      </c>
      <c r="F639" s="19"/>
      <c r="G639" s="20">
        <f>G640</f>
        <v>0</v>
      </c>
      <c r="H639" s="20">
        <f t="shared" ref="H639:I641" si="140">H640</f>
        <v>0</v>
      </c>
      <c r="I639" s="20">
        <f t="shared" si="140"/>
        <v>0</v>
      </c>
      <c r="J639" s="109"/>
      <c r="K639" s="109"/>
      <c r="L639" s="109"/>
      <c r="M639" s="109"/>
      <c r="N639" s="109"/>
      <c r="O639" s="109"/>
      <c r="P639" s="109"/>
      <c r="Q639" s="109"/>
    </row>
    <row r="640" spans="1:17" s="9" customFormat="1" ht="25.5" x14ac:dyDescent="0.2">
      <c r="A640" s="28" t="s">
        <v>74</v>
      </c>
      <c r="B640" s="31">
        <v>919</v>
      </c>
      <c r="C640" s="24" t="s">
        <v>29</v>
      </c>
      <c r="D640" s="24" t="s">
        <v>12</v>
      </c>
      <c r="E640" s="24" t="s">
        <v>605</v>
      </c>
      <c r="F640" s="24" t="s">
        <v>66</v>
      </c>
      <c r="G640" s="25"/>
      <c r="H640" s="25"/>
      <c r="I640" s="25"/>
      <c r="J640" s="109"/>
      <c r="K640" s="109"/>
      <c r="L640" s="109"/>
      <c r="M640" s="109"/>
      <c r="N640" s="109"/>
      <c r="O640" s="109"/>
      <c r="P640" s="109"/>
      <c r="Q640" s="109"/>
    </row>
    <row r="641" spans="1:17" s="7" customFormat="1" ht="25.5" x14ac:dyDescent="0.2">
      <c r="A641" s="17" t="s">
        <v>275</v>
      </c>
      <c r="B641" s="42">
        <v>919</v>
      </c>
      <c r="C641" s="19" t="s">
        <v>29</v>
      </c>
      <c r="D641" s="19" t="s">
        <v>12</v>
      </c>
      <c r="E641" s="19" t="s">
        <v>274</v>
      </c>
      <c r="F641" s="19"/>
      <c r="G641" s="20">
        <f>G642</f>
        <v>1263.9000000000001</v>
      </c>
      <c r="H641" s="20">
        <f t="shared" si="140"/>
        <v>0</v>
      </c>
      <c r="I641" s="20">
        <f t="shared" si="140"/>
        <v>0</v>
      </c>
      <c r="J641" s="105"/>
      <c r="K641" s="105"/>
      <c r="L641" s="105"/>
      <c r="M641" s="105"/>
      <c r="N641" s="105"/>
      <c r="O641" s="105"/>
      <c r="P641" s="105"/>
      <c r="Q641" s="105"/>
    </row>
    <row r="642" spans="1:17" s="7" customFormat="1" ht="25.5" x14ac:dyDescent="0.2">
      <c r="A642" s="28" t="s">
        <v>74</v>
      </c>
      <c r="B642" s="31">
        <v>919</v>
      </c>
      <c r="C642" s="24" t="s">
        <v>29</v>
      </c>
      <c r="D642" s="24" t="s">
        <v>12</v>
      </c>
      <c r="E642" s="24" t="s">
        <v>274</v>
      </c>
      <c r="F642" s="24" t="s">
        <v>66</v>
      </c>
      <c r="G642" s="25">
        <f>940.9+323</f>
        <v>1263.9000000000001</v>
      </c>
      <c r="H642" s="25"/>
      <c r="I642" s="25"/>
      <c r="J642" s="105"/>
      <c r="K642" s="105"/>
      <c r="L642" s="105"/>
      <c r="M642" s="105"/>
      <c r="N642" s="105"/>
      <c r="O642" s="105"/>
      <c r="P642" s="105"/>
      <c r="Q642" s="105"/>
    </row>
    <row r="643" spans="1:17" s="104" customFormat="1" ht="25.5" x14ac:dyDescent="0.2">
      <c r="A643" s="239" t="s">
        <v>690</v>
      </c>
      <c r="B643" s="240">
        <v>919</v>
      </c>
      <c r="C643" s="241" t="s">
        <v>29</v>
      </c>
      <c r="D643" s="241" t="s">
        <v>12</v>
      </c>
      <c r="E643" s="241" t="s">
        <v>691</v>
      </c>
      <c r="F643" s="241"/>
      <c r="G643" s="192">
        <f>G644</f>
        <v>800</v>
      </c>
      <c r="H643" s="192">
        <f t="shared" ref="H643:I643" si="141">H644</f>
        <v>0</v>
      </c>
      <c r="I643" s="192">
        <f t="shared" si="141"/>
        <v>0</v>
      </c>
    </row>
    <row r="644" spans="1:17" s="104" customFormat="1" ht="25.5" x14ac:dyDescent="0.2">
      <c r="A644" s="247" t="s">
        <v>74</v>
      </c>
      <c r="B644" s="243">
        <v>919</v>
      </c>
      <c r="C644" s="244" t="s">
        <v>29</v>
      </c>
      <c r="D644" s="244" t="s">
        <v>12</v>
      </c>
      <c r="E644" s="244" t="s">
        <v>691</v>
      </c>
      <c r="F644" s="244" t="s">
        <v>66</v>
      </c>
      <c r="G644" s="192">
        <f>1000-200</f>
        <v>800</v>
      </c>
      <c r="H644" s="192"/>
      <c r="I644" s="192"/>
    </row>
    <row r="645" spans="1:17" s="105" customFormat="1" ht="13.5" customHeight="1" x14ac:dyDescent="0.2">
      <c r="A645" s="248" t="s">
        <v>322</v>
      </c>
      <c r="B645" s="248">
        <v>919</v>
      </c>
      <c r="C645" s="241" t="s">
        <v>29</v>
      </c>
      <c r="D645" s="241" t="s">
        <v>12</v>
      </c>
      <c r="E645" s="241" t="s">
        <v>321</v>
      </c>
      <c r="F645" s="241"/>
      <c r="G645" s="193">
        <f>G646</f>
        <v>14349.1</v>
      </c>
      <c r="H645" s="193">
        <f>H646</f>
        <v>0</v>
      </c>
      <c r="I645" s="193">
        <f>I646</f>
        <v>0</v>
      </c>
    </row>
    <row r="646" spans="1:17" s="105" customFormat="1" ht="25.5" x14ac:dyDescent="0.2">
      <c r="A646" s="247" t="s">
        <v>74</v>
      </c>
      <c r="B646" s="247">
        <v>919</v>
      </c>
      <c r="C646" s="244" t="s">
        <v>29</v>
      </c>
      <c r="D646" s="244" t="s">
        <v>12</v>
      </c>
      <c r="E646" s="244" t="s">
        <v>321</v>
      </c>
      <c r="F646" s="244" t="s">
        <v>66</v>
      </c>
      <c r="G646" s="192">
        <f>2149.1+200+12000</f>
        <v>14349.1</v>
      </c>
      <c r="H646" s="192"/>
      <c r="I646" s="192"/>
    </row>
    <row r="647" spans="1:17" s="7" customFormat="1" ht="25.5" x14ac:dyDescent="0.2">
      <c r="A647" s="17" t="s">
        <v>693</v>
      </c>
      <c r="B647" s="42">
        <v>919</v>
      </c>
      <c r="C647" s="19" t="s">
        <v>29</v>
      </c>
      <c r="D647" s="19" t="s">
        <v>12</v>
      </c>
      <c r="E647" s="19" t="s">
        <v>694</v>
      </c>
      <c r="F647" s="19"/>
      <c r="G647" s="20">
        <f>G648</f>
        <v>0</v>
      </c>
      <c r="H647" s="20">
        <f>H648</f>
        <v>0</v>
      </c>
      <c r="I647" s="20">
        <f>I648</f>
        <v>0</v>
      </c>
    </row>
    <row r="648" spans="1:17" s="7" customFormat="1" ht="25.5" x14ac:dyDescent="0.2">
      <c r="A648" s="28" t="s">
        <v>80</v>
      </c>
      <c r="B648" s="31">
        <v>919</v>
      </c>
      <c r="C648" s="24" t="s">
        <v>29</v>
      </c>
      <c r="D648" s="24" t="s">
        <v>12</v>
      </c>
      <c r="E648" s="24" t="s">
        <v>694</v>
      </c>
      <c r="F648" s="24" t="s">
        <v>69</v>
      </c>
      <c r="G648" s="25">
        <f>1100-1100</f>
        <v>0</v>
      </c>
      <c r="H648" s="25"/>
      <c r="I648" s="25"/>
    </row>
    <row r="649" spans="1:17" ht="63.75" x14ac:dyDescent="0.2">
      <c r="A649" s="18" t="s">
        <v>451</v>
      </c>
      <c r="B649" s="22">
        <v>919</v>
      </c>
      <c r="C649" s="19" t="s">
        <v>29</v>
      </c>
      <c r="D649" s="19" t="s">
        <v>12</v>
      </c>
      <c r="E649" s="19" t="s">
        <v>276</v>
      </c>
      <c r="F649" s="19"/>
      <c r="G649" s="20">
        <f>G650</f>
        <v>167691.79999999999</v>
      </c>
      <c r="H649" s="20">
        <f>H650</f>
        <v>0</v>
      </c>
      <c r="I649" s="20">
        <f>I650</f>
        <v>0</v>
      </c>
      <c r="J649" s="103"/>
      <c r="K649" s="103"/>
      <c r="L649" s="103"/>
      <c r="M649" s="103"/>
      <c r="N649" s="103"/>
      <c r="O649" s="103"/>
      <c r="P649" s="103"/>
      <c r="Q649" s="103"/>
    </row>
    <row r="650" spans="1:17" s="26" customFormat="1" x14ac:dyDescent="0.2">
      <c r="A650" s="28" t="s">
        <v>70</v>
      </c>
      <c r="B650" s="31">
        <v>919</v>
      </c>
      <c r="C650" s="24" t="s">
        <v>29</v>
      </c>
      <c r="D650" s="24" t="s">
        <v>12</v>
      </c>
      <c r="E650" s="24" t="s">
        <v>276</v>
      </c>
      <c r="F650" s="24" t="s">
        <v>71</v>
      </c>
      <c r="G650" s="25">
        <f>57392.8+109759.2+2734.5-2194.7</f>
        <v>167691.79999999999</v>
      </c>
      <c r="H650" s="25"/>
      <c r="I650" s="25"/>
      <c r="J650" s="104"/>
      <c r="K650" s="104"/>
      <c r="L650" s="104"/>
      <c r="M650" s="104"/>
      <c r="N650" s="104"/>
      <c r="O650" s="104"/>
      <c r="P650" s="104"/>
      <c r="Q650" s="104"/>
    </row>
    <row r="651" spans="1:17" ht="63.75" x14ac:dyDescent="0.2">
      <c r="A651" s="17" t="s">
        <v>449</v>
      </c>
      <c r="B651" s="42">
        <v>919</v>
      </c>
      <c r="C651" s="19" t="s">
        <v>29</v>
      </c>
      <c r="D651" s="19" t="s">
        <v>12</v>
      </c>
      <c r="E651" s="19" t="s">
        <v>277</v>
      </c>
      <c r="F651" s="19"/>
      <c r="G651" s="20">
        <f>G652</f>
        <v>13355.2</v>
      </c>
      <c r="H651" s="20">
        <f>H652</f>
        <v>0</v>
      </c>
      <c r="I651" s="20">
        <f>I652</f>
        <v>0</v>
      </c>
      <c r="J651" s="103"/>
      <c r="K651" s="103"/>
      <c r="L651" s="103"/>
      <c r="M651" s="103"/>
      <c r="N651" s="103"/>
      <c r="O651" s="103"/>
      <c r="P651" s="103"/>
      <c r="Q651" s="103"/>
    </row>
    <row r="652" spans="1:17" s="26" customFormat="1" x14ac:dyDescent="0.2">
      <c r="A652" s="28" t="s">
        <v>70</v>
      </c>
      <c r="B652" s="31">
        <v>919</v>
      </c>
      <c r="C652" s="24" t="s">
        <v>29</v>
      </c>
      <c r="D652" s="24" t="s">
        <v>12</v>
      </c>
      <c r="E652" s="24" t="s">
        <v>277</v>
      </c>
      <c r="F652" s="24" t="s">
        <v>71</v>
      </c>
      <c r="G652" s="25">
        <v>13355.2</v>
      </c>
      <c r="H652" s="25"/>
      <c r="I652" s="25"/>
      <c r="J652" s="104"/>
      <c r="K652" s="104"/>
      <c r="L652" s="104"/>
      <c r="M652" s="104"/>
      <c r="N652" s="104"/>
      <c r="O652" s="104"/>
      <c r="P652" s="104"/>
      <c r="Q652" s="104"/>
    </row>
    <row r="653" spans="1:17" s="21" customFormat="1" ht="38.25" x14ac:dyDescent="0.2">
      <c r="A653" s="18" t="s">
        <v>279</v>
      </c>
      <c r="B653" s="22">
        <v>919</v>
      </c>
      <c r="C653" s="19" t="s">
        <v>29</v>
      </c>
      <c r="D653" s="19" t="s">
        <v>12</v>
      </c>
      <c r="E653" s="19" t="s">
        <v>278</v>
      </c>
      <c r="F653" s="19"/>
      <c r="G653" s="20">
        <f>G654</f>
        <v>2590.5</v>
      </c>
      <c r="H653" s="20">
        <f>H654</f>
        <v>0</v>
      </c>
      <c r="I653" s="20">
        <f>I654</f>
        <v>0</v>
      </c>
    </row>
    <row r="654" spans="1:17" s="26" customFormat="1" x14ac:dyDescent="0.2">
      <c r="A654" s="28" t="s">
        <v>70</v>
      </c>
      <c r="B654" s="31">
        <v>919</v>
      </c>
      <c r="C654" s="24" t="s">
        <v>29</v>
      </c>
      <c r="D654" s="24" t="s">
        <v>12</v>
      </c>
      <c r="E654" s="24" t="s">
        <v>278</v>
      </c>
      <c r="F654" s="24" t="s">
        <v>71</v>
      </c>
      <c r="G654" s="25">
        <v>2590.5</v>
      </c>
      <c r="H654" s="56"/>
      <c r="I654" s="56"/>
    </row>
    <row r="655" spans="1:17" ht="63.75" x14ac:dyDescent="0.2">
      <c r="A655" s="18" t="s">
        <v>652</v>
      </c>
      <c r="B655" s="22">
        <v>919</v>
      </c>
      <c r="C655" s="19" t="s">
        <v>29</v>
      </c>
      <c r="D655" s="19" t="s">
        <v>12</v>
      </c>
      <c r="E655" s="19" t="s">
        <v>645</v>
      </c>
      <c r="F655" s="19"/>
      <c r="G655" s="20">
        <f t="shared" ref="G655:I657" si="142">G656</f>
        <v>44670</v>
      </c>
      <c r="H655" s="20">
        <f t="shared" si="142"/>
        <v>0</v>
      </c>
      <c r="I655" s="20">
        <f t="shared" si="142"/>
        <v>0</v>
      </c>
      <c r="J655" s="103"/>
      <c r="K655" s="103"/>
      <c r="L655" s="103"/>
      <c r="M655" s="103"/>
      <c r="N655" s="103"/>
      <c r="O655" s="103"/>
      <c r="P655" s="103"/>
      <c r="Q655" s="103"/>
    </row>
    <row r="656" spans="1:17" s="26" customFormat="1" x14ac:dyDescent="0.2">
      <c r="A656" s="28" t="s">
        <v>70</v>
      </c>
      <c r="B656" s="31">
        <v>919</v>
      </c>
      <c r="C656" s="24" t="s">
        <v>29</v>
      </c>
      <c r="D656" s="24" t="s">
        <v>12</v>
      </c>
      <c r="E656" s="24" t="s">
        <v>645</v>
      </c>
      <c r="F656" s="24" t="s">
        <v>71</v>
      </c>
      <c r="G656" s="25">
        <v>44670</v>
      </c>
      <c r="H656" s="25"/>
      <c r="I656" s="25"/>
      <c r="J656" s="104"/>
      <c r="K656" s="104"/>
      <c r="L656" s="104"/>
      <c r="M656" s="104"/>
      <c r="N656" s="104"/>
      <c r="O656" s="104"/>
      <c r="P656" s="104"/>
      <c r="Q656" s="104"/>
    </row>
    <row r="657" spans="1:17" s="26" customFormat="1" ht="25.5" x14ac:dyDescent="0.2">
      <c r="A657" s="18" t="s">
        <v>650</v>
      </c>
      <c r="B657" s="22">
        <v>919</v>
      </c>
      <c r="C657" s="19" t="s">
        <v>29</v>
      </c>
      <c r="D657" s="19" t="s">
        <v>12</v>
      </c>
      <c r="E657" s="19" t="s">
        <v>649</v>
      </c>
      <c r="F657" s="19"/>
      <c r="G657" s="20">
        <f t="shared" si="142"/>
        <v>4302</v>
      </c>
      <c r="H657" s="20">
        <f t="shared" si="142"/>
        <v>0</v>
      </c>
      <c r="I657" s="20">
        <f t="shared" si="142"/>
        <v>0</v>
      </c>
    </row>
    <row r="658" spans="1:17" s="26" customFormat="1" x14ac:dyDescent="0.2">
      <c r="A658" s="28" t="s">
        <v>70</v>
      </c>
      <c r="B658" s="31">
        <v>919</v>
      </c>
      <c r="C658" s="24" t="s">
        <v>29</v>
      </c>
      <c r="D658" s="24" t="s">
        <v>12</v>
      </c>
      <c r="E658" s="24" t="s">
        <v>649</v>
      </c>
      <c r="F658" s="24" t="s">
        <v>71</v>
      </c>
      <c r="G658" s="25">
        <v>4302</v>
      </c>
      <c r="H658" s="25"/>
      <c r="I658" s="25"/>
    </row>
    <row r="659" spans="1:17" s="9" customFormat="1" ht="16.5" customHeight="1" x14ac:dyDescent="0.2">
      <c r="A659" s="11" t="s">
        <v>33</v>
      </c>
      <c r="B659" s="14">
        <v>919</v>
      </c>
      <c r="C659" s="8" t="s">
        <v>29</v>
      </c>
      <c r="D659" s="8" t="s">
        <v>14</v>
      </c>
      <c r="E659" s="8"/>
      <c r="F659" s="8"/>
      <c r="G659" s="4">
        <f>G668+G670+G672+G674+G662+G664+G677+G666+G679+G660</f>
        <v>36189.587589999996</v>
      </c>
      <c r="H659" s="4">
        <f t="shared" ref="H659:I659" si="143">H668+H670+H672+H674+H662+H664+H677+H666+H679+H660</f>
        <v>21701.8</v>
      </c>
      <c r="I659" s="4">
        <f t="shared" si="143"/>
        <v>16598.8</v>
      </c>
      <c r="J659" s="109"/>
      <c r="K659" s="109"/>
      <c r="L659" s="109"/>
      <c r="M659" s="109"/>
      <c r="N659" s="109"/>
      <c r="O659" s="109"/>
      <c r="P659" s="109"/>
      <c r="Q659" s="109"/>
    </row>
    <row r="660" spans="1:17" s="105" customFormat="1" ht="38.25" x14ac:dyDescent="0.2">
      <c r="A660" s="248" t="s">
        <v>758</v>
      </c>
      <c r="B660" s="255">
        <v>919</v>
      </c>
      <c r="C660" s="241" t="s">
        <v>29</v>
      </c>
      <c r="D660" s="241" t="s">
        <v>14</v>
      </c>
      <c r="E660" s="241" t="s">
        <v>757</v>
      </c>
      <c r="F660" s="241"/>
      <c r="G660" s="193">
        <f>G661</f>
        <v>3772.0128500000001</v>
      </c>
      <c r="H660" s="193">
        <f t="shared" ref="H660:I660" si="144">H661</f>
        <v>2766</v>
      </c>
      <c r="I660" s="193">
        <f t="shared" si="144"/>
        <v>2916.1</v>
      </c>
    </row>
    <row r="661" spans="1:17" s="105" customFormat="1" ht="25.5" x14ac:dyDescent="0.2">
      <c r="A661" s="247" t="s">
        <v>74</v>
      </c>
      <c r="B661" s="243">
        <v>919</v>
      </c>
      <c r="C661" s="244" t="s">
        <v>29</v>
      </c>
      <c r="D661" s="244" t="s">
        <v>14</v>
      </c>
      <c r="E661" s="241" t="s">
        <v>757</v>
      </c>
      <c r="F661" s="244" t="s">
        <v>66</v>
      </c>
      <c r="G661" s="192">
        <f>321.5-45.7+2482.6+1013.61285</f>
        <v>3772.0128500000001</v>
      </c>
      <c r="H661" s="192">
        <f>276.6+2489.4</f>
        <v>2766</v>
      </c>
      <c r="I661" s="192">
        <f>291.6+2624.5</f>
        <v>2916.1</v>
      </c>
    </row>
    <row r="662" spans="1:17" s="105" customFormat="1" ht="51" x14ac:dyDescent="0.2">
      <c r="A662" s="248" t="s">
        <v>761</v>
      </c>
      <c r="B662" s="255">
        <v>919</v>
      </c>
      <c r="C662" s="241" t="s">
        <v>29</v>
      </c>
      <c r="D662" s="241" t="s">
        <v>14</v>
      </c>
      <c r="E662" s="241" t="s">
        <v>760</v>
      </c>
      <c r="F662" s="241"/>
      <c r="G662" s="193">
        <f>G663</f>
        <v>13082.447749999999</v>
      </c>
      <c r="H662" s="193">
        <f t="shared" ref="H662:I662" si="145">H663</f>
        <v>6666.7</v>
      </c>
      <c r="I662" s="193">
        <f t="shared" si="145"/>
        <v>6666.7</v>
      </c>
    </row>
    <row r="663" spans="1:17" s="105" customFormat="1" ht="25.5" x14ac:dyDescent="0.2">
      <c r="A663" s="247" t="s">
        <v>130</v>
      </c>
      <c r="B663" s="243">
        <v>919</v>
      </c>
      <c r="C663" s="244" t="s">
        <v>29</v>
      </c>
      <c r="D663" s="244" t="s">
        <v>14</v>
      </c>
      <c r="E663" s="241" t="s">
        <v>760</v>
      </c>
      <c r="F663" s="244" t="s">
        <v>63</v>
      </c>
      <c r="G663" s="192">
        <f>520.5+146.2+6000+6415.6841+0.06365</f>
        <v>13082.447749999999</v>
      </c>
      <c r="H663" s="192">
        <f>666.7+6000</f>
        <v>6666.7</v>
      </c>
      <c r="I663" s="192">
        <f>666.7+6000</f>
        <v>6666.7</v>
      </c>
    </row>
    <row r="664" spans="1:17" s="7" customFormat="1" ht="25.5" x14ac:dyDescent="0.2">
      <c r="A664" s="17" t="s">
        <v>334</v>
      </c>
      <c r="B664" s="42">
        <v>919</v>
      </c>
      <c r="C664" s="19" t="s">
        <v>29</v>
      </c>
      <c r="D664" s="19" t="s">
        <v>14</v>
      </c>
      <c r="E664" s="19" t="s">
        <v>737</v>
      </c>
      <c r="F664" s="19"/>
      <c r="G664" s="20">
        <f>G665</f>
        <v>0</v>
      </c>
      <c r="H664" s="20">
        <f>H665</f>
        <v>250</v>
      </c>
      <c r="I664" s="20">
        <f>I665</f>
        <v>0</v>
      </c>
      <c r="J664" s="105"/>
      <c r="K664" s="105"/>
      <c r="L664" s="105"/>
      <c r="M664" s="105"/>
      <c r="N664" s="105"/>
      <c r="O664" s="105"/>
      <c r="P664" s="105"/>
      <c r="Q664" s="105"/>
    </row>
    <row r="665" spans="1:17" s="7" customFormat="1" ht="25.5" x14ac:dyDescent="0.2">
      <c r="A665" s="28" t="s">
        <v>74</v>
      </c>
      <c r="B665" s="31">
        <v>919</v>
      </c>
      <c r="C665" s="24" t="s">
        <v>29</v>
      </c>
      <c r="D665" s="24" t="s">
        <v>14</v>
      </c>
      <c r="E665" s="19" t="s">
        <v>737</v>
      </c>
      <c r="F665" s="24" t="s">
        <v>66</v>
      </c>
      <c r="G665" s="25">
        <v>0</v>
      </c>
      <c r="H665" s="25">
        <v>250</v>
      </c>
      <c r="I665" s="25">
        <v>0</v>
      </c>
      <c r="J665" s="105"/>
      <c r="K665" s="105"/>
      <c r="L665" s="105"/>
      <c r="M665" s="105"/>
      <c r="N665" s="105"/>
      <c r="O665" s="105"/>
      <c r="P665" s="105"/>
      <c r="Q665" s="105"/>
    </row>
    <row r="666" spans="1:17" s="105" customFormat="1" ht="25.5" x14ac:dyDescent="0.2">
      <c r="A666" s="248" t="s">
        <v>359</v>
      </c>
      <c r="B666" s="255">
        <v>919</v>
      </c>
      <c r="C666" s="241" t="s">
        <v>29</v>
      </c>
      <c r="D666" s="241" t="s">
        <v>14</v>
      </c>
      <c r="E666" s="241" t="s">
        <v>357</v>
      </c>
      <c r="F666" s="241"/>
      <c r="G666" s="193">
        <f>G667</f>
        <v>198.52698999999998</v>
      </c>
      <c r="H666" s="193">
        <f t="shared" ref="H666:I666" si="146">H667</f>
        <v>145.5</v>
      </c>
      <c r="I666" s="193">
        <f t="shared" si="146"/>
        <v>153.5</v>
      </c>
    </row>
    <row r="667" spans="1:17" s="105" customFormat="1" ht="25.5" x14ac:dyDescent="0.2">
      <c r="A667" s="247" t="s">
        <v>74</v>
      </c>
      <c r="B667" s="243">
        <v>919</v>
      </c>
      <c r="C667" s="244" t="s">
        <v>29</v>
      </c>
      <c r="D667" s="244" t="s">
        <v>14</v>
      </c>
      <c r="E667" s="244" t="s">
        <v>358</v>
      </c>
      <c r="F667" s="244" t="s">
        <v>66</v>
      </c>
      <c r="G667" s="192">
        <f>145.2+53.32699</f>
        <v>198.52698999999998</v>
      </c>
      <c r="H667" s="192">
        <v>145.5</v>
      </c>
      <c r="I667" s="192">
        <v>153.5</v>
      </c>
    </row>
    <row r="668" spans="1:17" s="82" customFormat="1" x14ac:dyDescent="0.2">
      <c r="A668" s="69" t="s">
        <v>281</v>
      </c>
      <c r="B668" s="70">
        <v>919</v>
      </c>
      <c r="C668" s="71" t="s">
        <v>29</v>
      </c>
      <c r="D668" s="71" t="s">
        <v>14</v>
      </c>
      <c r="E668" s="71" t="s">
        <v>280</v>
      </c>
      <c r="F668" s="71"/>
      <c r="G668" s="72">
        <f>G669</f>
        <v>650</v>
      </c>
      <c r="H668" s="72">
        <f>H669</f>
        <v>650</v>
      </c>
      <c r="I668" s="72">
        <f>I669</f>
        <v>650</v>
      </c>
    </row>
    <row r="669" spans="1:17" s="78" customFormat="1" ht="25.5" x14ac:dyDescent="0.2">
      <c r="A669" s="81" t="s">
        <v>130</v>
      </c>
      <c r="B669" s="80">
        <v>919</v>
      </c>
      <c r="C669" s="76" t="s">
        <v>29</v>
      </c>
      <c r="D669" s="76" t="s">
        <v>14</v>
      </c>
      <c r="E669" s="76" t="s">
        <v>280</v>
      </c>
      <c r="F669" s="76" t="s">
        <v>63</v>
      </c>
      <c r="G669" s="56">
        <v>650</v>
      </c>
      <c r="H669" s="56">
        <v>650</v>
      </c>
      <c r="I669" s="56">
        <v>650</v>
      </c>
    </row>
    <row r="670" spans="1:17" s="7" customFormat="1" ht="25.5" x14ac:dyDescent="0.2">
      <c r="A670" s="18" t="s">
        <v>282</v>
      </c>
      <c r="B670" s="22">
        <v>919</v>
      </c>
      <c r="C670" s="19" t="s">
        <v>29</v>
      </c>
      <c r="D670" s="19" t="s">
        <v>14</v>
      </c>
      <c r="E670" s="19" t="s">
        <v>283</v>
      </c>
      <c r="F670" s="19"/>
      <c r="G670" s="20">
        <f>G671</f>
        <v>3500</v>
      </c>
      <c r="H670" s="20">
        <f>H671</f>
        <v>3500</v>
      </c>
      <c r="I670" s="20">
        <f>I671</f>
        <v>2000</v>
      </c>
    </row>
    <row r="671" spans="1:17" s="26" customFormat="1" ht="25.5" x14ac:dyDescent="0.2">
      <c r="A671" s="28" t="s">
        <v>130</v>
      </c>
      <c r="B671" s="31">
        <v>919</v>
      </c>
      <c r="C671" s="24" t="s">
        <v>29</v>
      </c>
      <c r="D671" s="24" t="s">
        <v>14</v>
      </c>
      <c r="E671" s="24" t="s">
        <v>283</v>
      </c>
      <c r="F671" s="24" t="s">
        <v>63</v>
      </c>
      <c r="G671" s="25">
        <v>3500</v>
      </c>
      <c r="H671" s="56">
        <v>3500</v>
      </c>
      <c r="I671" s="56">
        <v>2000</v>
      </c>
    </row>
    <row r="672" spans="1:17" s="7" customFormat="1" x14ac:dyDescent="0.2">
      <c r="A672" s="18" t="s">
        <v>285</v>
      </c>
      <c r="B672" s="22">
        <v>919</v>
      </c>
      <c r="C672" s="24" t="s">
        <v>29</v>
      </c>
      <c r="D672" s="24" t="s">
        <v>14</v>
      </c>
      <c r="E672" s="19" t="s">
        <v>284</v>
      </c>
      <c r="F672" s="24"/>
      <c r="G672" s="25">
        <f>G673</f>
        <v>582.6</v>
      </c>
      <c r="H672" s="25">
        <f>H673</f>
        <v>500</v>
      </c>
      <c r="I672" s="25">
        <f>I673</f>
        <v>354.3</v>
      </c>
    </row>
    <row r="673" spans="1:17" s="26" customFormat="1" ht="25.5" x14ac:dyDescent="0.2">
      <c r="A673" s="28" t="s">
        <v>130</v>
      </c>
      <c r="B673" s="31">
        <v>919</v>
      </c>
      <c r="C673" s="24" t="s">
        <v>29</v>
      </c>
      <c r="D673" s="24" t="s">
        <v>14</v>
      </c>
      <c r="E673" s="24" t="s">
        <v>284</v>
      </c>
      <c r="F673" s="24" t="s">
        <v>63</v>
      </c>
      <c r="G673" s="25">
        <v>582.6</v>
      </c>
      <c r="H673" s="56">
        <v>500</v>
      </c>
      <c r="I673" s="56">
        <v>354.3</v>
      </c>
    </row>
    <row r="674" spans="1:17" s="105" customFormat="1" ht="38.25" x14ac:dyDescent="0.2">
      <c r="A674" s="239" t="s">
        <v>287</v>
      </c>
      <c r="B674" s="240">
        <v>919</v>
      </c>
      <c r="C674" s="241" t="s">
        <v>29</v>
      </c>
      <c r="D674" s="241" t="s">
        <v>14</v>
      </c>
      <c r="E674" s="251" t="s">
        <v>286</v>
      </c>
      <c r="F674" s="241"/>
      <c r="G674" s="193">
        <f>G676+G675</f>
        <v>9336</v>
      </c>
      <c r="H674" s="193">
        <f t="shared" ref="H674:I674" si="147">H676+H675</f>
        <v>6155.6</v>
      </c>
      <c r="I674" s="193">
        <f t="shared" si="147"/>
        <v>2790.2</v>
      </c>
    </row>
    <row r="675" spans="1:17" s="105" customFormat="1" ht="24.75" customHeight="1" x14ac:dyDescent="0.2">
      <c r="A675" s="247" t="s">
        <v>74</v>
      </c>
      <c r="B675" s="243">
        <v>919</v>
      </c>
      <c r="C675" s="244" t="s">
        <v>29</v>
      </c>
      <c r="D675" s="244" t="s">
        <v>14</v>
      </c>
      <c r="E675" s="251" t="s">
        <v>286</v>
      </c>
      <c r="F675" s="241" t="s">
        <v>66</v>
      </c>
      <c r="G675" s="193">
        <f>286</f>
        <v>286</v>
      </c>
      <c r="H675" s="193"/>
      <c r="I675" s="193"/>
    </row>
    <row r="676" spans="1:17" s="104" customFormat="1" ht="25.5" x14ac:dyDescent="0.2">
      <c r="A676" s="247" t="s">
        <v>130</v>
      </c>
      <c r="B676" s="243">
        <v>919</v>
      </c>
      <c r="C676" s="244" t="s">
        <v>29</v>
      </c>
      <c r="D676" s="244" t="s">
        <v>14</v>
      </c>
      <c r="E676" s="251" t="s">
        <v>286</v>
      </c>
      <c r="F676" s="244" t="s">
        <v>63</v>
      </c>
      <c r="G676" s="192">
        <f>8950+100</f>
        <v>9050</v>
      </c>
      <c r="H676" s="192">
        <f>8950-2794.4</f>
        <v>6155.6</v>
      </c>
      <c r="I676" s="192">
        <f>5700-2909.8</f>
        <v>2790.2</v>
      </c>
    </row>
    <row r="677" spans="1:17" s="21" customFormat="1" x14ac:dyDescent="0.2">
      <c r="A677" s="18" t="s">
        <v>349</v>
      </c>
      <c r="B677" s="18">
        <v>919</v>
      </c>
      <c r="C677" s="19" t="s">
        <v>29</v>
      </c>
      <c r="D677" s="19" t="s">
        <v>14</v>
      </c>
      <c r="E677" s="16" t="s">
        <v>350</v>
      </c>
      <c r="F677" s="19"/>
      <c r="G677" s="20">
        <f>G678</f>
        <v>4000</v>
      </c>
      <c r="H677" s="20">
        <f t="shared" ref="H677:I677" si="148">H678</f>
        <v>0</v>
      </c>
      <c r="I677" s="20">
        <f t="shared" si="148"/>
        <v>0</v>
      </c>
    </row>
    <row r="678" spans="1:17" s="21" customFormat="1" ht="25.5" x14ac:dyDescent="0.2">
      <c r="A678" s="28" t="s">
        <v>130</v>
      </c>
      <c r="B678" s="28">
        <v>919</v>
      </c>
      <c r="C678" s="24" t="s">
        <v>29</v>
      </c>
      <c r="D678" s="24" t="s">
        <v>14</v>
      </c>
      <c r="E678" s="16" t="s">
        <v>350</v>
      </c>
      <c r="F678" s="24" t="s">
        <v>63</v>
      </c>
      <c r="G678" s="25">
        <v>4000</v>
      </c>
      <c r="H678" s="56"/>
      <c r="I678" s="56"/>
    </row>
    <row r="679" spans="1:17" s="7" customFormat="1" ht="25.5" x14ac:dyDescent="0.2">
      <c r="A679" s="18" t="s">
        <v>732</v>
      </c>
      <c r="B679" s="22">
        <v>919</v>
      </c>
      <c r="C679" s="19" t="s">
        <v>29</v>
      </c>
      <c r="D679" s="19" t="s">
        <v>14</v>
      </c>
      <c r="E679" s="16" t="s">
        <v>733</v>
      </c>
      <c r="F679" s="19"/>
      <c r="G679" s="20">
        <f>G680</f>
        <v>1068</v>
      </c>
      <c r="H679" s="20">
        <f t="shared" ref="H679:I679" si="149">H680</f>
        <v>1068</v>
      </c>
      <c r="I679" s="20">
        <f t="shared" si="149"/>
        <v>1068</v>
      </c>
      <c r="J679" s="105"/>
      <c r="K679" s="105"/>
      <c r="L679" s="105"/>
      <c r="M679" s="105"/>
      <c r="N679" s="105"/>
      <c r="O679" s="105"/>
      <c r="P679" s="105"/>
      <c r="Q679" s="105"/>
    </row>
    <row r="680" spans="1:17" s="7" customFormat="1" ht="24.75" customHeight="1" x14ac:dyDescent="0.2">
      <c r="A680" s="28" t="s">
        <v>74</v>
      </c>
      <c r="B680" s="31">
        <v>919</v>
      </c>
      <c r="C680" s="24" t="s">
        <v>29</v>
      </c>
      <c r="D680" s="24" t="s">
        <v>14</v>
      </c>
      <c r="E680" s="16" t="s">
        <v>733</v>
      </c>
      <c r="F680" s="19" t="s">
        <v>66</v>
      </c>
      <c r="G680" s="20">
        <v>1068</v>
      </c>
      <c r="H680" s="20">
        <v>1068</v>
      </c>
      <c r="I680" s="20">
        <v>1068</v>
      </c>
      <c r="J680" s="105"/>
      <c r="K680" s="105"/>
      <c r="L680" s="105"/>
      <c r="M680" s="105"/>
      <c r="N680" s="105"/>
      <c r="O680" s="105"/>
      <c r="P680" s="105"/>
      <c r="Q680" s="105"/>
    </row>
    <row r="681" spans="1:17" s="68" customFormat="1" ht="27.75" customHeight="1" x14ac:dyDescent="0.2">
      <c r="A681" s="64" t="s">
        <v>34</v>
      </c>
      <c r="B681" s="65">
        <v>919</v>
      </c>
      <c r="C681" s="66" t="s">
        <v>29</v>
      </c>
      <c r="D681" s="66" t="s">
        <v>29</v>
      </c>
      <c r="E681" s="66"/>
      <c r="F681" s="66"/>
      <c r="G681" s="67">
        <f>G682+G684+G687</f>
        <v>20724.099999999999</v>
      </c>
      <c r="H681" s="67">
        <f>H682+H684+H687</f>
        <v>19354.7</v>
      </c>
      <c r="I681" s="67">
        <f>I682+I684+I687</f>
        <v>19137.7</v>
      </c>
    </row>
    <row r="682" spans="1:17" s="73" customFormat="1" ht="38.25" x14ac:dyDescent="0.2">
      <c r="A682" s="69" t="s">
        <v>289</v>
      </c>
      <c r="B682" s="70">
        <v>919</v>
      </c>
      <c r="C682" s="71" t="s">
        <v>29</v>
      </c>
      <c r="D682" s="71" t="s">
        <v>29</v>
      </c>
      <c r="E682" s="71" t="s">
        <v>288</v>
      </c>
      <c r="F682" s="71"/>
      <c r="G682" s="72">
        <f>G683</f>
        <v>0</v>
      </c>
      <c r="H682" s="72">
        <f>H683</f>
        <v>0</v>
      </c>
      <c r="I682" s="72">
        <f>I683</f>
        <v>0</v>
      </c>
      <c r="J682" s="103"/>
      <c r="K682" s="103"/>
      <c r="L682" s="103"/>
      <c r="M682" s="103"/>
      <c r="N682" s="103"/>
      <c r="O682" s="103"/>
      <c r="P682" s="103"/>
      <c r="Q682" s="103"/>
    </row>
    <row r="683" spans="1:17" s="78" customFormat="1" ht="25.5" x14ac:dyDescent="0.2">
      <c r="A683" s="81" t="s">
        <v>130</v>
      </c>
      <c r="B683" s="80">
        <v>919</v>
      </c>
      <c r="C683" s="76" t="s">
        <v>29</v>
      </c>
      <c r="D683" s="76" t="s">
        <v>29</v>
      </c>
      <c r="E683" s="76" t="s">
        <v>288</v>
      </c>
      <c r="F683" s="76" t="s">
        <v>63</v>
      </c>
      <c r="G683" s="56"/>
      <c r="H683" s="56"/>
      <c r="I683" s="56"/>
      <c r="J683" s="104"/>
      <c r="K683" s="104"/>
      <c r="L683" s="104"/>
      <c r="M683" s="104"/>
      <c r="N683" s="104"/>
      <c r="O683" s="104"/>
      <c r="P683" s="104"/>
      <c r="Q683" s="104"/>
    </row>
    <row r="684" spans="1:17" ht="23.25" customHeight="1" x14ac:dyDescent="0.2">
      <c r="A684" s="18" t="s">
        <v>291</v>
      </c>
      <c r="B684" s="22">
        <v>919</v>
      </c>
      <c r="C684" s="19" t="s">
        <v>29</v>
      </c>
      <c r="D684" s="19" t="s">
        <v>29</v>
      </c>
      <c r="E684" s="19" t="s">
        <v>290</v>
      </c>
      <c r="F684" s="19"/>
      <c r="G684" s="20">
        <f>G685+G686</f>
        <v>5480.6</v>
      </c>
      <c r="H684" s="20">
        <f t="shared" ref="H684:I684" si="150">H685+H686</f>
        <v>4942.5</v>
      </c>
      <c r="I684" s="20">
        <f t="shared" si="150"/>
        <v>4942.5</v>
      </c>
      <c r="J684" s="103"/>
      <c r="K684" s="103"/>
      <c r="L684" s="103"/>
      <c r="M684" s="103"/>
      <c r="N684" s="103"/>
      <c r="O684" s="103"/>
      <c r="P684" s="103"/>
      <c r="Q684" s="103"/>
    </row>
    <row r="685" spans="1:17" s="104" customFormat="1" ht="54" customHeight="1" x14ac:dyDescent="0.2">
      <c r="A685" s="256" t="s">
        <v>64</v>
      </c>
      <c r="B685" s="249">
        <v>919</v>
      </c>
      <c r="C685" s="244" t="s">
        <v>29</v>
      </c>
      <c r="D685" s="244" t="s">
        <v>29</v>
      </c>
      <c r="E685" s="244" t="s">
        <v>290</v>
      </c>
      <c r="F685" s="244" t="s">
        <v>65</v>
      </c>
      <c r="G685" s="192">
        <f>4073.8+30+1239.4-303</f>
        <v>5040.2000000000007</v>
      </c>
      <c r="H685" s="192">
        <f>4073.8+30+1239.4-447.1</f>
        <v>4896.1000000000004</v>
      </c>
      <c r="I685" s="192">
        <f>4073.8+30+1239.4-447.1</f>
        <v>4896.1000000000004</v>
      </c>
    </row>
    <row r="686" spans="1:17" s="26" customFormat="1" ht="25.5" x14ac:dyDescent="0.2">
      <c r="A686" s="28" t="s">
        <v>74</v>
      </c>
      <c r="B686" s="32">
        <v>919</v>
      </c>
      <c r="C686" s="24" t="s">
        <v>29</v>
      </c>
      <c r="D686" s="24" t="s">
        <v>29</v>
      </c>
      <c r="E686" s="24" t="s">
        <v>290</v>
      </c>
      <c r="F686" s="24" t="s">
        <v>66</v>
      </c>
      <c r="G686" s="25">
        <f>46.4+29+267+60+38</f>
        <v>440.4</v>
      </c>
      <c r="H686" s="25">
        <v>46.4</v>
      </c>
      <c r="I686" s="25">
        <v>46.4</v>
      </c>
      <c r="J686" s="104"/>
      <c r="K686" s="104"/>
      <c r="L686" s="104"/>
      <c r="M686" s="104"/>
      <c r="N686" s="104"/>
      <c r="O686" s="104"/>
      <c r="P686" s="104"/>
      <c r="Q686" s="104"/>
    </row>
    <row r="687" spans="1:17" s="12" customFormat="1" ht="38.25" x14ac:dyDescent="0.2">
      <c r="A687" s="18" t="s">
        <v>293</v>
      </c>
      <c r="B687" s="22">
        <v>919</v>
      </c>
      <c r="C687" s="19" t="s">
        <v>29</v>
      </c>
      <c r="D687" s="19" t="s">
        <v>29</v>
      </c>
      <c r="E687" s="19" t="s">
        <v>292</v>
      </c>
      <c r="F687" s="5"/>
      <c r="G687" s="6">
        <f>G688</f>
        <v>15243.5</v>
      </c>
      <c r="H687" s="6">
        <f>H688</f>
        <v>14412.2</v>
      </c>
      <c r="I687" s="6">
        <f>I688</f>
        <v>14195.2</v>
      </c>
      <c r="J687" s="110"/>
      <c r="K687" s="110"/>
      <c r="L687" s="110"/>
      <c r="M687" s="110"/>
      <c r="N687" s="110"/>
      <c r="O687" s="110"/>
      <c r="P687" s="110"/>
      <c r="Q687" s="110"/>
    </row>
    <row r="688" spans="1:17" s="26" customFormat="1" ht="25.5" x14ac:dyDescent="0.2">
      <c r="A688" s="28" t="s">
        <v>130</v>
      </c>
      <c r="B688" s="31">
        <v>919</v>
      </c>
      <c r="C688" s="24" t="s">
        <v>29</v>
      </c>
      <c r="D688" s="24" t="s">
        <v>29</v>
      </c>
      <c r="E688" s="24" t="s">
        <v>292</v>
      </c>
      <c r="F688" s="24" t="s">
        <v>63</v>
      </c>
      <c r="G688" s="25">
        <v>15243.5</v>
      </c>
      <c r="H688" s="25">
        <v>14412.2</v>
      </c>
      <c r="I688" s="25">
        <v>14195.2</v>
      </c>
      <c r="J688" s="104"/>
      <c r="K688" s="104"/>
      <c r="L688" s="104"/>
      <c r="M688" s="104"/>
      <c r="N688" s="104"/>
      <c r="O688" s="104"/>
      <c r="P688" s="104"/>
      <c r="Q688" s="104"/>
    </row>
    <row r="689" spans="1:22" s="9" customFormat="1" ht="15.75" customHeight="1" x14ac:dyDescent="0.2">
      <c r="A689" s="11" t="s">
        <v>50</v>
      </c>
      <c r="B689" s="14">
        <v>919</v>
      </c>
      <c r="C689" s="8" t="s">
        <v>49</v>
      </c>
      <c r="D689" s="8"/>
      <c r="E689" s="8"/>
      <c r="F689" s="8"/>
      <c r="G689" s="4">
        <f>G690</f>
        <v>2328</v>
      </c>
      <c r="H689" s="4">
        <f t="shared" ref="H689:I689" si="151">H690</f>
        <v>0</v>
      </c>
      <c r="I689" s="4">
        <f t="shared" si="151"/>
        <v>0</v>
      </c>
    </row>
    <row r="690" spans="1:22" s="9" customFormat="1" ht="15.75" customHeight="1" x14ac:dyDescent="0.2">
      <c r="A690" s="11" t="s">
        <v>55</v>
      </c>
      <c r="B690" s="14">
        <v>919</v>
      </c>
      <c r="C690" s="8" t="s">
        <v>49</v>
      </c>
      <c r="D690" s="8" t="s">
        <v>48</v>
      </c>
      <c r="E690" s="8"/>
      <c r="F690" s="8"/>
      <c r="G690" s="4">
        <f>G693+G695+G697+G691</f>
        <v>2328</v>
      </c>
      <c r="H690" s="4">
        <f>H693+H695+H697</f>
        <v>0</v>
      </c>
      <c r="I690" s="4">
        <f>I693+I695+I697</f>
        <v>0</v>
      </c>
    </row>
    <row r="691" spans="1:22" s="73" customFormat="1" x14ac:dyDescent="0.2">
      <c r="A691" s="69" t="s">
        <v>260</v>
      </c>
      <c r="B691" s="70">
        <v>919</v>
      </c>
      <c r="C691" s="71" t="s">
        <v>49</v>
      </c>
      <c r="D691" s="71" t="s">
        <v>48</v>
      </c>
      <c r="E691" s="71" t="s">
        <v>261</v>
      </c>
      <c r="F691" s="71"/>
      <c r="G691" s="72">
        <f>G692</f>
        <v>0</v>
      </c>
      <c r="H691" s="72">
        <f>H692+H693</f>
        <v>0</v>
      </c>
      <c r="I691" s="72">
        <f>I692+I693</f>
        <v>0</v>
      </c>
      <c r="J691" s="103"/>
      <c r="K691" s="103"/>
      <c r="L691" s="103"/>
      <c r="M691" s="103"/>
      <c r="N691" s="103"/>
      <c r="O691" s="103"/>
      <c r="P691" s="103"/>
      <c r="Q691" s="103"/>
    </row>
    <row r="692" spans="1:22" s="78" customFormat="1" ht="25.5" x14ac:dyDescent="0.2">
      <c r="A692" s="81" t="s">
        <v>74</v>
      </c>
      <c r="B692" s="80">
        <v>919</v>
      </c>
      <c r="C692" s="76" t="s">
        <v>49</v>
      </c>
      <c r="D692" s="76" t="s">
        <v>48</v>
      </c>
      <c r="E692" s="76" t="s">
        <v>261</v>
      </c>
      <c r="F692" s="76" t="s">
        <v>66</v>
      </c>
      <c r="G692" s="56"/>
      <c r="H692" s="56"/>
      <c r="I692" s="56"/>
      <c r="J692" s="104"/>
      <c r="K692" s="104"/>
      <c r="L692" s="104"/>
      <c r="M692" s="104"/>
      <c r="N692" s="104"/>
      <c r="O692" s="104"/>
      <c r="P692" s="104"/>
      <c r="Q692" s="104"/>
    </row>
    <row r="693" spans="1:22" x14ac:dyDescent="0.2">
      <c r="A693" s="18" t="s">
        <v>294</v>
      </c>
      <c r="B693" s="22">
        <v>919</v>
      </c>
      <c r="C693" s="19" t="s">
        <v>49</v>
      </c>
      <c r="D693" s="19" t="s">
        <v>48</v>
      </c>
      <c r="E693" s="19" t="s">
        <v>295</v>
      </c>
      <c r="F693" s="19"/>
      <c r="G693" s="20">
        <f>G694</f>
        <v>718.7</v>
      </c>
      <c r="H693" s="20">
        <f>H694</f>
        <v>0</v>
      </c>
      <c r="I693" s="20">
        <f>I694</f>
        <v>0</v>
      </c>
      <c r="J693" s="103"/>
      <c r="K693" s="103"/>
      <c r="L693" s="103"/>
      <c r="M693" s="103"/>
      <c r="N693" s="103"/>
      <c r="O693" s="103"/>
      <c r="P693" s="103"/>
      <c r="Q693" s="103"/>
    </row>
    <row r="694" spans="1:22" s="26" customFormat="1" x14ac:dyDescent="0.2">
      <c r="A694" s="28" t="s">
        <v>67</v>
      </c>
      <c r="B694" s="31">
        <v>919</v>
      </c>
      <c r="C694" s="24" t="s">
        <v>49</v>
      </c>
      <c r="D694" s="24" t="s">
        <v>48</v>
      </c>
      <c r="E694" s="24" t="s">
        <v>295</v>
      </c>
      <c r="F694" s="24" t="s">
        <v>68</v>
      </c>
      <c r="G694" s="25">
        <v>718.7</v>
      </c>
      <c r="H694" s="25"/>
      <c r="I694" s="25"/>
      <c r="J694" s="104"/>
      <c r="K694" s="104"/>
      <c r="L694" s="104"/>
      <c r="M694" s="104"/>
      <c r="N694" s="104"/>
      <c r="O694" s="104"/>
      <c r="P694" s="104"/>
      <c r="Q694" s="104"/>
    </row>
    <row r="695" spans="1:22" ht="25.5" x14ac:dyDescent="0.2">
      <c r="A695" s="18" t="s">
        <v>297</v>
      </c>
      <c r="B695" s="18">
        <v>919</v>
      </c>
      <c r="C695" s="19" t="s">
        <v>49</v>
      </c>
      <c r="D695" s="19" t="s">
        <v>48</v>
      </c>
      <c r="E695" s="19" t="s">
        <v>296</v>
      </c>
      <c r="F695" s="19"/>
      <c r="G695" s="20">
        <f>G696</f>
        <v>1573.8</v>
      </c>
      <c r="H695" s="20">
        <f>H696</f>
        <v>0</v>
      </c>
      <c r="I695" s="20">
        <f>I696</f>
        <v>0</v>
      </c>
      <c r="J695" s="103"/>
      <c r="K695" s="103"/>
      <c r="L695" s="103"/>
      <c r="M695" s="103"/>
      <c r="N695" s="103"/>
      <c r="O695" s="103"/>
      <c r="P695" s="103"/>
      <c r="Q695" s="103"/>
    </row>
    <row r="696" spans="1:22" s="26" customFormat="1" x14ac:dyDescent="0.2">
      <c r="A696" s="28" t="s">
        <v>67</v>
      </c>
      <c r="B696" s="28">
        <v>919</v>
      </c>
      <c r="C696" s="24" t="s">
        <v>49</v>
      </c>
      <c r="D696" s="24" t="s">
        <v>48</v>
      </c>
      <c r="E696" s="24" t="s">
        <v>296</v>
      </c>
      <c r="F696" s="24" t="s">
        <v>68</v>
      </c>
      <c r="G696" s="25">
        <v>1573.8</v>
      </c>
      <c r="H696" s="25"/>
      <c r="I696" s="25"/>
      <c r="J696" s="104"/>
      <c r="K696" s="104"/>
      <c r="L696" s="104"/>
      <c r="M696" s="104"/>
      <c r="N696" s="104"/>
      <c r="O696" s="104"/>
      <c r="P696" s="104"/>
      <c r="Q696" s="104"/>
    </row>
    <row r="697" spans="1:22" ht="76.5" x14ac:dyDescent="0.2">
      <c r="A697" s="55" t="s">
        <v>299</v>
      </c>
      <c r="B697" s="49">
        <v>919</v>
      </c>
      <c r="C697" s="19" t="s">
        <v>49</v>
      </c>
      <c r="D697" s="19" t="s">
        <v>48</v>
      </c>
      <c r="E697" s="19" t="s">
        <v>298</v>
      </c>
      <c r="F697" s="19"/>
      <c r="G697" s="20">
        <f>G698</f>
        <v>35.5</v>
      </c>
      <c r="H697" s="20">
        <f>H698</f>
        <v>0</v>
      </c>
      <c r="I697" s="20">
        <f>I698</f>
        <v>0</v>
      </c>
      <c r="J697" s="103"/>
      <c r="K697" s="103"/>
      <c r="L697" s="103"/>
      <c r="M697" s="103"/>
      <c r="N697" s="103"/>
      <c r="O697" s="103"/>
      <c r="P697" s="103"/>
      <c r="Q697" s="103"/>
    </row>
    <row r="698" spans="1:22" s="26" customFormat="1" x14ac:dyDescent="0.2">
      <c r="A698" s="50" t="s">
        <v>67</v>
      </c>
      <c r="B698" s="28">
        <v>919</v>
      </c>
      <c r="C698" s="24" t="s">
        <v>49</v>
      </c>
      <c r="D698" s="24" t="s">
        <v>48</v>
      </c>
      <c r="E698" s="24" t="s">
        <v>298</v>
      </c>
      <c r="F698" s="24" t="s">
        <v>68</v>
      </c>
      <c r="G698" s="25">
        <v>35.5</v>
      </c>
      <c r="H698" s="25"/>
      <c r="I698" s="25"/>
      <c r="J698" s="104"/>
      <c r="K698" s="104"/>
      <c r="L698" s="104"/>
      <c r="M698" s="104"/>
      <c r="N698" s="104"/>
      <c r="O698" s="104"/>
      <c r="P698" s="104"/>
      <c r="Q698" s="104"/>
    </row>
    <row r="699" spans="1:22" s="15" customFormat="1" ht="23.25" customHeight="1" x14ac:dyDescent="0.25">
      <c r="A699" s="33" t="s">
        <v>56</v>
      </c>
      <c r="B699" s="44"/>
      <c r="C699" s="34"/>
      <c r="D699" s="34"/>
      <c r="E699" s="34"/>
      <c r="F699" s="34"/>
      <c r="G699" s="237">
        <f>G600+G472+G410+G257+G242+G233+G193+G163+G14</f>
        <v>3165965.8268999998</v>
      </c>
      <c r="H699" s="236">
        <f>H600+H472+H410+H257+H242+H233+H193+H163+H14</f>
        <v>2695005.7459999998</v>
      </c>
      <c r="I699" s="238">
        <f>I600+I472+I410+I257+I242+I233+I193+I163+I14</f>
        <v>2920920.5320000001</v>
      </c>
      <c r="S699" s="233"/>
      <c r="T699" s="234"/>
      <c r="V699" s="233"/>
    </row>
    <row r="700" spans="1:22" ht="9.75" customHeight="1" x14ac:dyDescent="0.2">
      <c r="G700" s="115"/>
      <c r="H700" s="115"/>
      <c r="I700" s="115"/>
      <c r="J700" s="21"/>
      <c r="K700" s="21"/>
      <c r="L700" s="21"/>
      <c r="M700" s="21"/>
      <c r="N700" s="21"/>
      <c r="O700" s="21"/>
      <c r="P700" s="21"/>
      <c r="Q700" s="21"/>
    </row>
    <row r="701" spans="1:22" s="73" customFormat="1" hidden="1" x14ac:dyDescent="0.2">
      <c r="C701" s="98"/>
      <c r="D701" s="98"/>
      <c r="E701" s="98"/>
      <c r="F701" s="98"/>
      <c r="G701" s="101"/>
      <c r="H701" s="101"/>
      <c r="I701" s="101"/>
    </row>
    <row r="702" spans="1:22" s="73" customFormat="1" hidden="1" x14ac:dyDescent="0.2">
      <c r="C702" s="98"/>
      <c r="D702" s="98"/>
      <c r="E702" s="98"/>
      <c r="F702" s="98"/>
      <c r="G702" s="101">
        <f>3068286.91127+2000+13.63059+1268.63294+40.89179+50+2538.27819+25-500+120+40+30+452+800+85.1-549+37672.1+158.5+119.3+186.5+137.6-5.6-595.9+180.6+283.3+54.52238+52000+1000+850-30+88+3200+1339+110+685.7-30+100-100-4017-390-45+1000+650+15+4432.6+50+1.5-650+6952.9-312.4628+100879+81</f>
        <v>3280752.6043600002</v>
      </c>
      <c r="H702" s="101">
        <f>2338074.6-387+20441.05382+796.44</f>
        <v>2358925.0938200001</v>
      </c>
      <c r="I702" s="101">
        <f>2308087.1-387+21095.92313+821.96</f>
        <v>2329617.9831300001</v>
      </c>
    </row>
    <row r="703" spans="1:22" s="73" customFormat="1" hidden="1" x14ac:dyDescent="0.2">
      <c r="C703" s="98"/>
      <c r="D703" s="98"/>
      <c r="E703" s="98"/>
      <c r="F703" s="98"/>
      <c r="G703" s="102">
        <f>G702-G699</f>
        <v>114786.77746000048</v>
      </c>
      <c r="H703" s="101">
        <f>H702-H699</f>
        <v>-336080.65217999974</v>
      </c>
      <c r="I703" s="101">
        <f>I702-I699</f>
        <v>-591302.54887000006</v>
      </c>
    </row>
    <row r="704" spans="1:22" ht="24" customHeight="1" x14ac:dyDescent="0.2">
      <c r="A704" s="116" t="s">
        <v>62</v>
      </c>
      <c r="B704" s="235"/>
      <c r="F704" s="115"/>
      <c r="G704" s="117"/>
      <c r="H704" s="117"/>
      <c r="I704" s="118" t="s">
        <v>686</v>
      </c>
      <c r="J704" s="21"/>
      <c r="K704" s="21"/>
      <c r="L704" s="21"/>
      <c r="M704" s="21"/>
      <c r="N704" s="21"/>
      <c r="O704" s="21"/>
      <c r="P704" s="21"/>
      <c r="Q704" s="21"/>
    </row>
    <row r="706" spans="3:19" ht="15" x14ac:dyDescent="0.25">
      <c r="G706" s="228">
        <f>3148290.52989+2386.48434+2153.70992+12000-337.6939+122.8+1250+100-0.00335</f>
        <v>3165965.8268999998</v>
      </c>
      <c r="H706" s="246">
        <f>2695005.746</f>
        <v>2695005.7459999998</v>
      </c>
      <c r="I706" s="229">
        <f>2920920.532</f>
        <v>2920920.5320000001</v>
      </c>
      <c r="J706" s="21"/>
      <c r="K706" s="21"/>
      <c r="L706" s="21"/>
      <c r="M706" s="21"/>
      <c r="N706" s="21"/>
      <c r="O706" s="21"/>
      <c r="P706" s="21"/>
      <c r="Q706" s="21"/>
      <c r="S706" s="144"/>
    </row>
    <row r="707" spans="3:19" hidden="1" x14ac:dyDescent="0.2">
      <c r="C707" s="201"/>
      <c r="D707" s="201"/>
      <c r="E707" s="201"/>
      <c r="F707" s="201"/>
      <c r="G707" s="184"/>
      <c r="H707" s="121"/>
      <c r="I707" s="121"/>
      <c r="J707" s="21"/>
      <c r="K707" s="21"/>
      <c r="L707" s="21"/>
      <c r="M707" s="21"/>
      <c r="N707" s="21"/>
      <c r="O707" s="21"/>
      <c r="P707" s="21"/>
      <c r="Q707" s="21"/>
    </row>
    <row r="708" spans="3:19" hidden="1" x14ac:dyDescent="0.2">
      <c r="C708" s="201"/>
      <c r="D708" s="201"/>
      <c r="E708" s="201"/>
      <c r="F708" s="201"/>
      <c r="G708" s="201"/>
      <c r="H708" s="201"/>
      <c r="I708" s="201"/>
    </row>
    <row r="709" spans="3:19" hidden="1" x14ac:dyDescent="0.2">
      <c r="C709" s="201"/>
      <c r="D709" s="201"/>
      <c r="E709" s="201"/>
      <c r="F709" s="201"/>
      <c r="G709" s="205"/>
      <c r="H709" s="205"/>
      <c r="I709" s="205"/>
    </row>
    <row r="711" spans="3:19" x14ac:dyDescent="0.2">
      <c r="G711" s="184">
        <f>G706-G699</f>
        <v>0</v>
      </c>
      <c r="H711" s="184">
        <f t="shared" ref="H711:I711" si="152">H706-H699</f>
        <v>0</v>
      </c>
      <c r="I711" s="184">
        <f t="shared" si="152"/>
        <v>0</v>
      </c>
      <c r="J711" s="184"/>
      <c r="K711" s="184"/>
      <c r="L711" s="184"/>
      <c r="M711" s="184"/>
      <c r="N711" s="184"/>
      <c r="O711" s="184"/>
      <c r="P711" s="184"/>
      <c r="Q711" s="184"/>
    </row>
  </sheetData>
  <mergeCells count="20">
    <mergeCell ref="S231:W232"/>
    <mergeCell ref="S394:X394"/>
    <mergeCell ref="F11:F12"/>
    <mergeCell ref="A5:I5"/>
    <mergeCell ref="A6:I6"/>
    <mergeCell ref="A7:I7"/>
    <mergeCell ref="A9:I9"/>
    <mergeCell ref="A10:G10"/>
    <mergeCell ref="A11:A12"/>
    <mergeCell ref="B11:B12"/>
    <mergeCell ref="C11:C12"/>
    <mergeCell ref="D11:D12"/>
    <mergeCell ref="E11:E12"/>
    <mergeCell ref="G11:G12"/>
    <mergeCell ref="A4:I4"/>
    <mergeCell ref="A3:I3"/>
    <mergeCell ref="A2:I2"/>
    <mergeCell ref="A1:I1"/>
    <mergeCell ref="H11:H12"/>
    <mergeCell ref="I11:I12"/>
  </mergeCells>
  <pageMargins left="0.78740157480314965" right="0.39370078740157483" top="0.59055118110236227" bottom="0.78740157480314965" header="0.31496062992125984" footer="0.31496062992125984"/>
  <pageSetup paperSize="9" scale="55" fitToHeight="3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8"/>
  <sheetViews>
    <sheetView zoomScaleNormal="100" workbookViewId="0">
      <selection activeCell="A10" sqref="A10:G10"/>
    </sheetView>
  </sheetViews>
  <sheetFormatPr defaultRowHeight="12.75" x14ac:dyDescent="0.2"/>
  <cols>
    <col min="1" max="1" width="61.140625" style="21" customWidth="1"/>
    <col min="2" max="2" width="8.7109375" style="174" customWidth="1"/>
    <col min="3" max="3" width="8.7109375" style="119" customWidth="1"/>
    <col min="4" max="4" width="12.140625" style="174" customWidth="1"/>
    <col min="5" max="5" width="12.140625" style="119" customWidth="1"/>
    <col min="6" max="6" width="5.85546875" style="119" customWidth="1"/>
    <col min="7" max="7" width="13.42578125" style="119" customWidth="1"/>
    <col min="8" max="8" width="11.85546875" style="21" customWidth="1"/>
    <col min="9" max="9" width="13.42578125" style="21" customWidth="1"/>
    <col min="10" max="16384" width="9.140625" style="21"/>
  </cols>
  <sheetData>
    <row r="1" spans="1:9" s="196" customFormat="1" ht="18.75" x14ac:dyDescent="0.3">
      <c r="A1" s="259" t="s">
        <v>594</v>
      </c>
      <c r="B1" s="259"/>
      <c r="C1" s="259"/>
      <c r="D1" s="259"/>
      <c r="E1" s="259"/>
      <c r="F1" s="259"/>
      <c r="G1" s="259"/>
      <c r="H1" s="259"/>
      <c r="I1" s="259"/>
    </row>
    <row r="2" spans="1:9" s="196" customFormat="1" ht="18.75" x14ac:dyDescent="0.3">
      <c r="A2" s="259" t="s">
        <v>76</v>
      </c>
      <c r="B2" s="259"/>
      <c r="C2" s="259"/>
      <c r="D2" s="259"/>
      <c r="E2" s="259"/>
      <c r="F2" s="259"/>
      <c r="G2" s="259"/>
      <c r="H2" s="259"/>
      <c r="I2" s="259"/>
    </row>
    <row r="3" spans="1:9" s="196" customFormat="1" ht="18.75" x14ac:dyDescent="0.3">
      <c r="A3" s="259" t="s">
        <v>778</v>
      </c>
      <c r="B3" s="259"/>
      <c r="C3" s="259"/>
      <c r="D3" s="259"/>
      <c r="E3" s="259"/>
      <c r="F3" s="259"/>
      <c r="G3" s="259"/>
      <c r="H3" s="259"/>
      <c r="I3" s="259"/>
    </row>
    <row r="4" spans="1:9" s="196" customFormat="1" x14ac:dyDescent="0.2">
      <c r="B4" s="174"/>
      <c r="C4" s="195"/>
      <c r="D4" s="174"/>
      <c r="E4" s="195"/>
      <c r="F4" s="195"/>
      <c r="G4" s="195"/>
    </row>
    <row r="5" spans="1:9" ht="14.25" customHeight="1" x14ac:dyDescent="0.2">
      <c r="A5" s="265" t="s">
        <v>582</v>
      </c>
      <c r="B5" s="265"/>
      <c r="C5" s="265"/>
      <c r="D5" s="265"/>
      <c r="E5" s="265"/>
      <c r="F5" s="265"/>
      <c r="G5" s="265"/>
      <c r="H5" s="265"/>
      <c r="I5" s="265"/>
    </row>
    <row r="6" spans="1:9" ht="14.25" customHeight="1" x14ac:dyDescent="0.2">
      <c r="A6" s="265" t="s">
        <v>76</v>
      </c>
      <c r="B6" s="265"/>
      <c r="C6" s="265"/>
      <c r="D6" s="265"/>
      <c r="E6" s="265"/>
      <c r="F6" s="265"/>
      <c r="G6" s="265"/>
      <c r="H6" s="265"/>
      <c r="I6" s="265"/>
    </row>
    <row r="7" spans="1:9" ht="14.25" customHeight="1" x14ac:dyDescent="0.2">
      <c r="A7" s="265" t="s">
        <v>776</v>
      </c>
      <c r="B7" s="265"/>
      <c r="C7" s="265"/>
      <c r="D7" s="265"/>
      <c r="E7" s="265"/>
      <c r="F7" s="265"/>
      <c r="G7" s="265"/>
      <c r="H7" s="265"/>
      <c r="I7" s="265"/>
    </row>
    <row r="8" spans="1:9" x14ac:dyDescent="0.2">
      <c r="A8" s="120"/>
      <c r="B8" s="120"/>
      <c r="C8" s="120"/>
      <c r="D8" s="120"/>
      <c r="E8" s="120"/>
      <c r="F8" s="120"/>
      <c r="G8" s="120"/>
      <c r="H8" s="120"/>
      <c r="I8" s="120"/>
    </row>
    <row r="9" spans="1:9" s="163" customFormat="1" ht="67.5" customHeight="1" x14ac:dyDescent="0.2">
      <c r="A9" s="270" t="s">
        <v>779</v>
      </c>
      <c r="B9" s="270"/>
      <c r="C9" s="270"/>
      <c r="D9" s="270"/>
      <c r="E9" s="270"/>
      <c r="F9" s="270"/>
      <c r="G9" s="270"/>
      <c r="H9" s="270"/>
      <c r="I9" s="270"/>
    </row>
    <row r="10" spans="1:9" s="164" customFormat="1" ht="11.25" x14ac:dyDescent="0.2">
      <c r="A10" s="271"/>
      <c r="B10" s="271"/>
      <c r="C10" s="271"/>
      <c r="D10" s="271"/>
      <c r="E10" s="271"/>
      <c r="F10" s="271"/>
      <c r="G10" s="271"/>
      <c r="I10" s="165" t="s">
        <v>60</v>
      </c>
    </row>
    <row r="11" spans="1:9" ht="51.75" x14ac:dyDescent="0.25">
      <c r="A11" s="166"/>
      <c r="B11" s="167" t="s">
        <v>581</v>
      </c>
      <c r="C11" s="167" t="s">
        <v>580</v>
      </c>
      <c r="D11" s="168" t="s">
        <v>579</v>
      </c>
      <c r="E11" s="167" t="s">
        <v>578</v>
      </c>
      <c r="F11" s="169" t="s">
        <v>9</v>
      </c>
      <c r="G11" s="170" t="s">
        <v>753</v>
      </c>
      <c r="H11" s="170" t="s">
        <v>754</v>
      </c>
      <c r="I11" s="170" t="s">
        <v>755</v>
      </c>
    </row>
    <row r="12" spans="1:9" s="157" customFormat="1" ht="15.75" customHeight="1" x14ac:dyDescent="0.2">
      <c r="A12" s="162">
        <v>1</v>
      </c>
      <c r="B12" s="160" t="s">
        <v>434</v>
      </c>
      <c r="C12" s="160" t="s">
        <v>430</v>
      </c>
      <c r="D12" s="161" t="s">
        <v>427</v>
      </c>
      <c r="E12" s="160" t="s">
        <v>424</v>
      </c>
      <c r="F12" s="159">
        <v>6</v>
      </c>
      <c r="G12" s="158">
        <v>7</v>
      </c>
      <c r="H12" s="158">
        <v>8</v>
      </c>
      <c r="I12" s="158">
        <v>9</v>
      </c>
    </row>
    <row r="13" spans="1:9" s="9" customFormat="1" ht="25.5" x14ac:dyDescent="0.2">
      <c r="A13" s="35" t="s">
        <v>577</v>
      </c>
      <c r="B13" s="156" t="s">
        <v>10</v>
      </c>
      <c r="C13" s="156"/>
      <c r="D13" s="156"/>
      <c r="E13" s="156"/>
      <c r="F13" s="155"/>
      <c r="G13" s="154">
        <f>SUM(G14,G24,G29)</f>
        <v>92677.5</v>
      </c>
      <c r="H13" s="154">
        <f>SUM(H14,H24,H29)</f>
        <v>75263.899999999994</v>
      </c>
      <c r="I13" s="154">
        <f>SUM(I14,I24,I29)</f>
        <v>73005.100000000006</v>
      </c>
    </row>
    <row r="14" spans="1:9" s="78" customFormat="1" ht="25.5" x14ac:dyDescent="0.2">
      <c r="A14" s="153" t="s">
        <v>576</v>
      </c>
      <c r="B14" s="152" t="s">
        <v>10</v>
      </c>
      <c r="C14" s="152" t="s">
        <v>439</v>
      </c>
      <c r="D14" s="152"/>
      <c r="E14" s="152"/>
      <c r="F14" s="151"/>
      <c r="G14" s="150">
        <f>SUM(G15,G17,G21)</f>
        <v>62521.1</v>
      </c>
      <c r="H14" s="150">
        <f>SUM(H15,H17,H21)</f>
        <v>45828.4</v>
      </c>
      <c r="I14" s="150">
        <f>SUM(I15,I17,I21)</f>
        <v>44585</v>
      </c>
    </row>
    <row r="15" spans="1:9" s="78" customFormat="1" ht="25.5" x14ac:dyDescent="0.2">
      <c r="A15" s="69" t="s">
        <v>311</v>
      </c>
      <c r="B15" s="71" t="s">
        <v>10</v>
      </c>
      <c r="C15" s="71">
        <v>1</v>
      </c>
      <c r="D15" s="71" t="s">
        <v>397</v>
      </c>
      <c r="E15" s="71" t="s">
        <v>575</v>
      </c>
      <c r="F15" s="71"/>
      <c r="G15" s="72">
        <f>G16</f>
        <v>2391.9</v>
      </c>
      <c r="H15" s="72">
        <f>H16</f>
        <v>2191.9</v>
      </c>
      <c r="I15" s="72">
        <f>I16</f>
        <v>2191.9</v>
      </c>
    </row>
    <row r="16" spans="1:9" s="73" customFormat="1" ht="51" x14ac:dyDescent="0.2">
      <c r="A16" s="74" t="s">
        <v>64</v>
      </c>
      <c r="B16" s="76" t="s">
        <v>10</v>
      </c>
      <c r="C16" s="76">
        <v>1</v>
      </c>
      <c r="D16" s="76" t="s">
        <v>397</v>
      </c>
      <c r="E16" s="76" t="s">
        <v>575</v>
      </c>
      <c r="F16" s="77" t="s">
        <v>65</v>
      </c>
      <c r="G16" s="56">
        <f>' первое чтение вед стр-ра'!G18</f>
        <v>2391.9</v>
      </c>
      <c r="H16" s="56">
        <f>' первое чтение вед стр-ра'!H18</f>
        <v>2191.9</v>
      </c>
      <c r="I16" s="56">
        <f>' первое чтение вед стр-ра'!I18</f>
        <v>2191.9</v>
      </c>
    </row>
    <row r="17" spans="1:9" s="26" customFormat="1" ht="25.5" x14ac:dyDescent="0.2">
      <c r="A17" s="18" t="s">
        <v>311</v>
      </c>
      <c r="B17" s="19" t="s">
        <v>10</v>
      </c>
      <c r="C17" s="19">
        <v>1</v>
      </c>
      <c r="D17" s="19" t="s">
        <v>397</v>
      </c>
      <c r="E17" s="19" t="s">
        <v>574</v>
      </c>
      <c r="F17" s="19"/>
      <c r="G17" s="20">
        <f>SUM(G18:G20)</f>
        <v>57730.2</v>
      </c>
      <c r="H17" s="20">
        <f>SUM(H18:H20)</f>
        <v>42554.5</v>
      </c>
      <c r="I17" s="20">
        <f>SUM(I18:I20)</f>
        <v>41311.1</v>
      </c>
    </row>
    <row r="18" spans="1:9" s="68" customFormat="1" ht="51" x14ac:dyDescent="0.2">
      <c r="A18" s="74" t="s">
        <v>64</v>
      </c>
      <c r="B18" s="76" t="s">
        <v>10</v>
      </c>
      <c r="C18" s="76">
        <v>1</v>
      </c>
      <c r="D18" s="76" t="s">
        <v>397</v>
      </c>
      <c r="E18" s="76" t="s">
        <v>574</v>
      </c>
      <c r="F18" s="77" t="s">
        <v>65</v>
      </c>
      <c r="G18" s="56">
        <f>' первое чтение вед стр-ра'!G27</f>
        <v>40010.5</v>
      </c>
      <c r="H18" s="56">
        <f>' первое чтение вед стр-ра'!H27</f>
        <v>39222.6</v>
      </c>
      <c r="I18" s="56">
        <f>' первое чтение вед стр-ра'!I27</f>
        <v>39222.6</v>
      </c>
    </row>
    <row r="19" spans="1:9" ht="25.5" x14ac:dyDescent="0.2">
      <c r="A19" s="30" t="s">
        <v>400</v>
      </c>
      <c r="B19" s="24" t="s">
        <v>10</v>
      </c>
      <c r="C19" s="24">
        <v>1</v>
      </c>
      <c r="D19" s="24" t="s">
        <v>397</v>
      </c>
      <c r="E19" s="24" t="s">
        <v>574</v>
      </c>
      <c r="F19" s="27" t="s">
        <v>66</v>
      </c>
      <c r="G19" s="56">
        <f>' первое чтение вед стр-ра'!G28</f>
        <v>17494.7</v>
      </c>
      <c r="H19" s="56">
        <f>' первое чтение вед стр-ра'!H28</f>
        <v>3289.9000000000005</v>
      </c>
      <c r="I19" s="56">
        <f>' первое чтение вед стр-ра'!I28</f>
        <v>2046.4999999999998</v>
      </c>
    </row>
    <row r="20" spans="1:9" s="26" customFormat="1" x14ac:dyDescent="0.2">
      <c r="A20" s="28" t="s">
        <v>70</v>
      </c>
      <c r="B20" s="24" t="s">
        <v>10</v>
      </c>
      <c r="C20" s="24">
        <v>1</v>
      </c>
      <c r="D20" s="24" t="s">
        <v>397</v>
      </c>
      <c r="E20" s="24" t="s">
        <v>574</v>
      </c>
      <c r="F20" s="24" t="s">
        <v>71</v>
      </c>
      <c r="G20" s="56">
        <f>' первое чтение вед стр-ра'!G29</f>
        <v>225</v>
      </c>
      <c r="H20" s="56">
        <f>' первое чтение вед стр-ра'!H29</f>
        <v>42</v>
      </c>
      <c r="I20" s="56">
        <f>' первое чтение вед стр-ра'!I29</f>
        <v>42</v>
      </c>
    </row>
    <row r="21" spans="1:9" s="12" customFormat="1" ht="25.5" x14ac:dyDescent="0.2">
      <c r="A21" s="18" t="s">
        <v>311</v>
      </c>
      <c r="B21" s="19" t="s">
        <v>10</v>
      </c>
      <c r="C21" s="19">
        <v>1</v>
      </c>
      <c r="D21" s="19" t="s">
        <v>397</v>
      </c>
      <c r="E21" s="19" t="s">
        <v>573</v>
      </c>
      <c r="F21" s="19"/>
      <c r="G21" s="20">
        <f>G22+G23</f>
        <v>2399.0000000000005</v>
      </c>
      <c r="H21" s="20">
        <f>H22+H23</f>
        <v>1082.0000000000002</v>
      </c>
      <c r="I21" s="20">
        <f>I22+I23</f>
        <v>1082.0000000000002</v>
      </c>
    </row>
    <row r="22" spans="1:9" s="114" customFormat="1" ht="51" x14ac:dyDescent="0.2">
      <c r="A22" s="30" t="s">
        <v>64</v>
      </c>
      <c r="B22" s="19" t="s">
        <v>10</v>
      </c>
      <c r="C22" s="19">
        <v>1</v>
      </c>
      <c r="D22" s="19" t="s">
        <v>397</v>
      </c>
      <c r="E22" s="19" t="s">
        <v>573</v>
      </c>
      <c r="F22" s="27" t="s">
        <v>65</v>
      </c>
      <c r="G22" s="25">
        <f>' первое чтение вед стр-ра'!G33</f>
        <v>2277.4000000000005</v>
      </c>
      <c r="H22" s="25">
        <f>' первое чтение вед стр-ра'!H33</f>
        <v>1082.0000000000002</v>
      </c>
      <c r="I22" s="25">
        <f>' первое чтение вед стр-ра'!I33</f>
        <v>1082.0000000000002</v>
      </c>
    </row>
    <row r="23" spans="1:9" s="78" customFormat="1" ht="25.5" x14ac:dyDescent="0.2">
      <c r="A23" s="74" t="s">
        <v>400</v>
      </c>
      <c r="B23" s="71" t="s">
        <v>10</v>
      </c>
      <c r="C23" s="71">
        <v>1</v>
      </c>
      <c r="D23" s="71" t="s">
        <v>397</v>
      </c>
      <c r="E23" s="71" t="s">
        <v>573</v>
      </c>
      <c r="F23" s="77" t="s">
        <v>66</v>
      </c>
      <c r="G23" s="25">
        <f>' первое чтение вед стр-ра'!G34</f>
        <v>121.60000000000005</v>
      </c>
      <c r="H23" s="25">
        <f>' первое чтение вед стр-ра'!H34</f>
        <v>0</v>
      </c>
      <c r="I23" s="25">
        <f>' первое чтение вед стр-ра'!I34</f>
        <v>0</v>
      </c>
    </row>
    <row r="24" spans="1:9" s="73" customFormat="1" ht="25.5" x14ac:dyDescent="0.2">
      <c r="A24" s="140" t="s">
        <v>572</v>
      </c>
      <c r="B24" s="133" t="s">
        <v>10</v>
      </c>
      <c r="C24" s="133" t="s">
        <v>427</v>
      </c>
      <c r="D24" s="133"/>
      <c r="E24" s="133"/>
      <c r="F24" s="139"/>
      <c r="G24" s="132">
        <f>SUM(G25,G27)</f>
        <v>5764.2</v>
      </c>
      <c r="H24" s="132">
        <f>SUM(H25,H27)</f>
        <v>5130.8999999999996</v>
      </c>
      <c r="I24" s="132">
        <f>SUM(I25,I27)</f>
        <v>4968.8</v>
      </c>
    </row>
    <row r="25" spans="1:9" ht="25.5" x14ac:dyDescent="0.2">
      <c r="A25" s="113" t="s">
        <v>141</v>
      </c>
      <c r="B25" s="5" t="s">
        <v>10</v>
      </c>
      <c r="C25" s="5">
        <v>4</v>
      </c>
      <c r="D25" s="5" t="s">
        <v>397</v>
      </c>
      <c r="E25" s="5" t="s">
        <v>571</v>
      </c>
      <c r="F25" s="5"/>
      <c r="G25" s="6">
        <f>G26</f>
        <v>5639.2</v>
      </c>
      <c r="H25" s="6">
        <f>H26</f>
        <v>5005.8999999999996</v>
      </c>
      <c r="I25" s="6">
        <f>I26</f>
        <v>4843.8</v>
      </c>
    </row>
    <row r="26" spans="1:9" s="26" customFormat="1" ht="25.5" x14ac:dyDescent="0.2">
      <c r="A26" s="28" t="s">
        <v>130</v>
      </c>
      <c r="B26" s="24" t="s">
        <v>10</v>
      </c>
      <c r="C26" s="24">
        <v>4</v>
      </c>
      <c r="D26" s="24" t="s">
        <v>397</v>
      </c>
      <c r="E26" s="24" t="s">
        <v>571</v>
      </c>
      <c r="F26" s="24" t="s">
        <v>63</v>
      </c>
      <c r="G26" s="25">
        <f>' первое чтение вед стр-ра'!G59</f>
        <v>5639.2</v>
      </c>
      <c r="H26" s="25">
        <f>' первое чтение вед стр-ра'!H59</f>
        <v>5005.8999999999996</v>
      </c>
      <c r="I26" s="25">
        <f>' первое чтение вед стр-ра'!I59</f>
        <v>4843.8</v>
      </c>
    </row>
    <row r="27" spans="1:9" ht="24.75" customHeight="1" x14ac:dyDescent="0.2">
      <c r="A27" s="18" t="s">
        <v>138</v>
      </c>
      <c r="B27" s="19" t="s">
        <v>10</v>
      </c>
      <c r="C27" s="19">
        <v>4</v>
      </c>
      <c r="D27" s="19" t="s">
        <v>397</v>
      </c>
      <c r="E27" s="19" t="s">
        <v>570</v>
      </c>
      <c r="F27" s="19"/>
      <c r="G27" s="20">
        <f>G28</f>
        <v>125</v>
      </c>
      <c r="H27" s="20">
        <f>H28</f>
        <v>125</v>
      </c>
      <c r="I27" s="20">
        <f>I28</f>
        <v>125</v>
      </c>
    </row>
    <row r="28" spans="1:9" s="26" customFormat="1" ht="25.5" x14ac:dyDescent="0.2">
      <c r="A28" s="28" t="s">
        <v>130</v>
      </c>
      <c r="B28" s="24" t="s">
        <v>10</v>
      </c>
      <c r="C28" s="24">
        <v>4</v>
      </c>
      <c r="D28" s="24" t="s">
        <v>397</v>
      </c>
      <c r="E28" s="24">
        <v>79050</v>
      </c>
      <c r="F28" s="24" t="s">
        <v>63</v>
      </c>
      <c r="G28" s="25">
        <f>' первое чтение вед стр-ра'!G55</f>
        <v>125</v>
      </c>
      <c r="H28" s="25">
        <f>' первое чтение вед стр-ра'!H55</f>
        <v>125</v>
      </c>
      <c r="I28" s="25">
        <f>' первое чтение вед стр-ра'!I55</f>
        <v>125</v>
      </c>
    </row>
    <row r="29" spans="1:9" s="78" customFormat="1" ht="25.5" x14ac:dyDescent="0.2">
      <c r="A29" s="135" t="s">
        <v>569</v>
      </c>
      <c r="B29" s="134" t="s">
        <v>10</v>
      </c>
      <c r="C29" s="133" t="s">
        <v>424</v>
      </c>
      <c r="D29" s="133"/>
      <c r="E29" s="133"/>
      <c r="F29" s="133"/>
      <c r="G29" s="132">
        <f>SUM(G30,G32,G35,G37,G43,G46,G49,G51)+G39</f>
        <v>24392.200000000004</v>
      </c>
      <c r="H29" s="132">
        <f t="shared" ref="H29:I29" si="0">SUM(H30,H32,H35,H37,H43,H46,H49,H51)+H39</f>
        <v>24304.6</v>
      </c>
      <c r="I29" s="132">
        <f t="shared" si="0"/>
        <v>23451.3</v>
      </c>
    </row>
    <row r="30" spans="1:9" s="78" customFormat="1" x14ac:dyDescent="0.2">
      <c r="A30" s="69" t="s">
        <v>265</v>
      </c>
      <c r="B30" s="71" t="s">
        <v>10</v>
      </c>
      <c r="C30" s="71">
        <v>5</v>
      </c>
      <c r="D30" s="71" t="s">
        <v>397</v>
      </c>
      <c r="E30" s="71" t="s">
        <v>568</v>
      </c>
      <c r="F30" s="71"/>
      <c r="G30" s="72">
        <f>G31</f>
        <v>2000</v>
      </c>
      <c r="H30" s="72">
        <f>H31</f>
        <v>2000</v>
      </c>
      <c r="I30" s="72">
        <f>I31</f>
        <v>2000</v>
      </c>
    </row>
    <row r="31" spans="1:9" s="138" customFormat="1" ht="15.75" x14ac:dyDescent="0.25">
      <c r="A31" s="28" t="s">
        <v>70</v>
      </c>
      <c r="B31" s="24" t="s">
        <v>10</v>
      </c>
      <c r="C31" s="24">
        <v>5</v>
      </c>
      <c r="D31" s="24" t="s">
        <v>397</v>
      </c>
      <c r="E31" s="24" t="s">
        <v>568</v>
      </c>
      <c r="F31" s="24" t="s">
        <v>71</v>
      </c>
      <c r="G31" s="56">
        <f>' первое чтение вед стр-ра'!G40</f>
        <v>2000</v>
      </c>
      <c r="H31" s="56">
        <f>' первое чтение вед стр-ра'!H40</f>
        <v>2000</v>
      </c>
      <c r="I31" s="56">
        <f>' первое чтение вед стр-ра'!I40</f>
        <v>2000</v>
      </c>
    </row>
    <row r="32" spans="1:9" s="9" customFormat="1" x14ac:dyDescent="0.2">
      <c r="A32" s="18" t="s">
        <v>172</v>
      </c>
      <c r="B32" s="19" t="s">
        <v>10</v>
      </c>
      <c r="C32" s="19">
        <v>5</v>
      </c>
      <c r="D32" s="19" t="s">
        <v>397</v>
      </c>
      <c r="E32" s="19" t="s">
        <v>567</v>
      </c>
      <c r="F32" s="19"/>
      <c r="G32" s="20">
        <f>G34+G33</f>
        <v>112.3</v>
      </c>
      <c r="H32" s="20">
        <f>H34+H33</f>
        <v>0</v>
      </c>
      <c r="I32" s="20">
        <f>I34+I33</f>
        <v>0</v>
      </c>
    </row>
    <row r="33" spans="1:9" ht="25.5" x14ac:dyDescent="0.2">
      <c r="A33" s="30" t="s">
        <v>400</v>
      </c>
      <c r="B33" s="24" t="s">
        <v>10</v>
      </c>
      <c r="C33" s="24">
        <v>5</v>
      </c>
      <c r="D33" s="24" t="s">
        <v>397</v>
      </c>
      <c r="E33" s="24" t="s">
        <v>567</v>
      </c>
      <c r="F33" s="27" t="s">
        <v>66</v>
      </c>
      <c r="G33" s="25">
        <f>' первое чтение вед стр-ра'!G146</f>
        <v>0.6</v>
      </c>
      <c r="H33" s="25">
        <f>' первое чтение вед стр-ра'!H146</f>
        <v>0</v>
      </c>
      <c r="I33" s="25">
        <f>' первое чтение вед стр-ра'!I146</f>
        <v>0</v>
      </c>
    </row>
    <row r="34" spans="1:9" s="26" customFormat="1" x14ac:dyDescent="0.2">
      <c r="A34" s="28" t="s">
        <v>67</v>
      </c>
      <c r="B34" s="24" t="s">
        <v>10</v>
      </c>
      <c r="C34" s="24">
        <v>5</v>
      </c>
      <c r="D34" s="24" t="s">
        <v>397</v>
      </c>
      <c r="E34" s="24" t="s">
        <v>567</v>
      </c>
      <c r="F34" s="24" t="s">
        <v>68</v>
      </c>
      <c r="G34" s="25">
        <f>' первое чтение вед стр-ра'!G147</f>
        <v>111.7</v>
      </c>
      <c r="H34" s="25">
        <f>' первое чтение вед стр-ра'!H147</f>
        <v>0</v>
      </c>
      <c r="I34" s="25">
        <f>' первое чтение вед стр-ра'!I147</f>
        <v>0</v>
      </c>
    </row>
    <row r="35" spans="1:9" s="149" customFormat="1" ht="15" x14ac:dyDescent="0.2">
      <c r="A35" s="69" t="s">
        <v>214</v>
      </c>
      <c r="B35" s="71" t="s">
        <v>10</v>
      </c>
      <c r="C35" s="71">
        <v>5</v>
      </c>
      <c r="D35" s="71" t="s">
        <v>397</v>
      </c>
      <c r="E35" s="71" t="s">
        <v>566</v>
      </c>
      <c r="F35" s="71"/>
      <c r="G35" s="72">
        <f>G36</f>
        <v>3373.5</v>
      </c>
      <c r="H35" s="72">
        <f>H36</f>
        <v>0</v>
      </c>
      <c r="I35" s="72">
        <f>I36</f>
        <v>0</v>
      </c>
    </row>
    <row r="36" spans="1:9" s="68" customFormat="1" x14ac:dyDescent="0.2">
      <c r="A36" s="81" t="s">
        <v>67</v>
      </c>
      <c r="B36" s="76" t="s">
        <v>10</v>
      </c>
      <c r="C36" s="76">
        <v>5</v>
      </c>
      <c r="D36" s="76" t="s">
        <v>397</v>
      </c>
      <c r="E36" s="76" t="s">
        <v>566</v>
      </c>
      <c r="F36" s="76" t="s">
        <v>68</v>
      </c>
      <c r="G36" s="56">
        <f>' первое чтение вед стр-ра'!G43+' первое чтение вед стр-ра'!G256</f>
        <v>3373.5</v>
      </c>
      <c r="H36" s="56">
        <f>' первое чтение вед стр-ра'!H43+' первое чтение вед стр-ра'!H256</f>
        <v>0</v>
      </c>
      <c r="I36" s="56">
        <f>' первое чтение вед стр-ра'!I43+' первое чтение вед стр-ра'!I256</f>
        <v>0</v>
      </c>
    </row>
    <row r="37" spans="1:9" x14ac:dyDescent="0.2">
      <c r="A37" s="18" t="s">
        <v>266</v>
      </c>
      <c r="B37" s="19" t="s">
        <v>10</v>
      </c>
      <c r="C37" s="19">
        <v>5</v>
      </c>
      <c r="D37" s="19" t="s">
        <v>397</v>
      </c>
      <c r="E37" s="19" t="s">
        <v>565</v>
      </c>
      <c r="F37" s="19"/>
      <c r="G37" s="20">
        <f>G38</f>
        <v>1100</v>
      </c>
      <c r="H37" s="20">
        <f>H38</f>
        <v>1100</v>
      </c>
      <c r="I37" s="20">
        <f>I38</f>
        <v>1100</v>
      </c>
    </row>
    <row r="38" spans="1:9" x14ac:dyDescent="0.2">
      <c r="A38" s="28" t="s">
        <v>70</v>
      </c>
      <c r="B38" s="24" t="s">
        <v>10</v>
      </c>
      <c r="C38" s="24">
        <v>5</v>
      </c>
      <c r="D38" s="24" t="s">
        <v>397</v>
      </c>
      <c r="E38" s="24" t="s">
        <v>565</v>
      </c>
      <c r="F38" s="24" t="s">
        <v>71</v>
      </c>
      <c r="G38" s="25">
        <f>' первое чтение вед стр-ра'!G45</f>
        <v>1100</v>
      </c>
      <c r="H38" s="25">
        <f>' первое чтение вед стр-ра'!H45</f>
        <v>1100</v>
      </c>
      <c r="I38" s="25">
        <f>' первое чтение вед стр-ра'!I45</f>
        <v>1100</v>
      </c>
    </row>
    <row r="39" spans="1:9" s="197" customFormat="1" ht="38.25" x14ac:dyDescent="0.2">
      <c r="A39" s="49" t="s">
        <v>775</v>
      </c>
      <c r="B39" s="19" t="s">
        <v>10</v>
      </c>
      <c r="C39" s="19">
        <v>5</v>
      </c>
      <c r="D39" s="19" t="s">
        <v>397</v>
      </c>
      <c r="E39" s="19" t="s">
        <v>774</v>
      </c>
      <c r="F39" s="19"/>
      <c r="G39" s="20">
        <f>SUM(G40:G42)</f>
        <v>14887.600000000002</v>
      </c>
      <c r="H39" s="20">
        <f t="shared" ref="H39:I39" si="1">SUM(H40:H42)</f>
        <v>19637.399999999998</v>
      </c>
      <c r="I39" s="20">
        <f t="shared" si="1"/>
        <v>18784.099999999999</v>
      </c>
    </row>
    <row r="40" spans="1:9" s="197" customFormat="1" ht="51" x14ac:dyDescent="0.2">
      <c r="A40" s="23" t="s">
        <v>64</v>
      </c>
      <c r="B40" s="24" t="s">
        <v>10</v>
      </c>
      <c r="C40" s="24">
        <v>5</v>
      </c>
      <c r="D40" s="24" t="s">
        <v>397</v>
      </c>
      <c r="E40" s="24" t="s">
        <v>774</v>
      </c>
      <c r="F40" s="24" t="s">
        <v>65</v>
      </c>
      <c r="G40" s="25">
        <f>' первое чтение вед стр-ра'!G70</f>
        <v>11260.800000000001</v>
      </c>
      <c r="H40" s="25">
        <f>' первое чтение вед стр-ра'!H70</f>
        <v>15875.3</v>
      </c>
      <c r="I40" s="25">
        <f>' первое чтение вед стр-ра'!I70</f>
        <v>15875.3</v>
      </c>
    </row>
    <row r="41" spans="1:9" s="197" customFormat="1" ht="25.5" x14ac:dyDescent="0.2">
      <c r="A41" s="28" t="s">
        <v>74</v>
      </c>
      <c r="B41" s="24" t="s">
        <v>10</v>
      </c>
      <c r="C41" s="24">
        <v>5</v>
      </c>
      <c r="D41" s="24" t="s">
        <v>397</v>
      </c>
      <c r="E41" s="24" t="s">
        <v>774</v>
      </c>
      <c r="F41" s="24" t="s">
        <v>66</v>
      </c>
      <c r="G41" s="25">
        <f>' первое чтение вед стр-ра'!G71</f>
        <v>3576.1</v>
      </c>
      <c r="H41" s="25">
        <f>' первое чтение вед стр-ра'!H71</f>
        <v>3762.1</v>
      </c>
      <c r="I41" s="25">
        <f>' первое чтение вед стр-ра'!I71</f>
        <v>2908.8</v>
      </c>
    </row>
    <row r="42" spans="1:9" s="197" customFormat="1" x14ac:dyDescent="0.2">
      <c r="A42" s="28" t="s">
        <v>70</v>
      </c>
      <c r="B42" s="24" t="s">
        <v>10</v>
      </c>
      <c r="C42" s="24">
        <v>5</v>
      </c>
      <c r="D42" s="24" t="s">
        <v>397</v>
      </c>
      <c r="E42" s="24" t="s">
        <v>774</v>
      </c>
      <c r="F42" s="24" t="s">
        <v>71</v>
      </c>
      <c r="G42" s="25">
        <f>' первое чтение вед стр-ра'!G72</f>
        <v>50.7</v>
      </c>
      <c r="H42" s="25">
        <f>' первое чтение вед стр-ра'!H72</f>
        <v>0</v>
      </c>
      <c r="I42" s="25">
        <f>' первое чтение вед стр-ра'!I72</f>
        <v>0</v>
      </c>
    </row>
    <row r="43" spans="1:9" s="26" customFormat="1" ht="25.5" x14ac:dyDescent="0.2">
      <c r="A43" s="18" t="s">
        <v>132</v>
      </c>
      <c r="B43" s="19" t="s">
        <v>10</v>
      </c>
      <c r="C43" s="19">
        <v>5</v>
      </c>
      <c r="D43" s="19" t="s">
        <v>397</v>
      </c>
      <c r="E43" s="19" t="s">
        <v>564</v>
      </c>
      <c r="F43" s="19"/>
      <c r="G43" s="20">
        <f>G44+G45</f>
        <v>486.20000000000005</v>
      </c>
      <c r="H43" s="20">
        <f>H44+H45</f>
        <v>486.20000000000005</v>
      </c>
      <c r="I43" s="20">
        <f>I44+I45</f>
        <v>486.20000000000005</v>
      </c>
    </row>
    <row r="44" spans="1:9" s="9" customFormat="1" ht="51" x14ac:dyDescent="0.2">
      <c r="A44" s="30" t="s">
        <v>64</v>
      </c>
      <c r="B44" s="24" t="s">
        <v>10</v>
      </c>
      <c r="C44" s="24">
        <v>5</v>
      </c>
      <c r="D44" s="24" t="s">
        <v>397</v>
      </c>
      <c r="E44" s="24">
        <v>71960</v>
      </c>
      <c r="F44" s="27" t="s">
        <v>65</v>
      </c>
      <c r="G44" s="25">
        <f>' первое чтение вед стр-ра'!G21</f>
        <v>457.1</v>
      </c>
      <c r="H44" s="25">
        <f>' первое чтение вед стр-ра'!H21</f>
        <v>457.1</v>
      </c>
      <c r="I44" s="25">
        <f>' первое чтение вед стр-ра'!I21</f>
        <v>457.1</v>
      </c>
    </row>
    <row r="45" spans="1:9" ht="25.5" x14ac:dyDescent="0.2">
      <c r="A45" s="30" t="s">
        <v>400</v>
      </c>
      <c r="B45" s="24" t="s">
        <v>10</v>
      </c>
      <c r="C45" s="24">
        <v>5</v>
      </c>
      <c r="D45" s="24" t="s">
        <v>397</v>
      </c>
      <c r="E45" s="24">
        <v>71960</v>
      </c>
      <c r="F45" s="27" t="s">
        <v>66</v>
      </c>
      <c r="G45" s="25">
        <f>' первое чтение вед стр-ра'!G22</f>
        <v>29.1</v>
      </c>
      <c r="H45" s="25">
        <f>' первое чтение вед стр-ра'!H22</f>
        <v>29.1</v>
      </c>
      <c r="I45" s="25">
        <f>' первое чтение вед стр-ра'!I22</f>
        <v>29.1</v>
      </c>
    </row>
    <row r="46" spans="1:9" s="73" customFormat="1" x14ac:dyDescent="0.2">
      <c r="A46" s="69" t="s">
        <v>133</v>
      </c>
      <c r="B46" s="71" t="s">
        <v>10</v>
      </c>
      <c r="C46" s="71">
        <v>5</v>
      </c>
      <c r="D46" s="71" t="s">
        <v>397</v>
      </c>
      <c r="E46" s="71">
        <v>79060</v>
      </c>
      <c r="F46" s="71"/>
      <c r="G46" s="72">
        <f>G47+G48</f>
        <v>115.00000000000001</v>
      </c>
      <c r="H46" s="72">
        <f>H47+H48</f>
        <v>115.00000000000001</v>
      </c>
      <c r="I46" s="72">
        <f>I47+I48</f>
        <v>115.00000000000001</v>
      </c>
    </row>
    <row r="47" spans="1:9" s="78" customFormat="1" ht="51" x14ac:dyDescent="0.2">
      <c r="A47" s="74" t="s">
        <v>64</v>
      </c>
      <c r="B47" s="76" t="s">
        <v>10</v>
      </c>
      <c r="C47" s="76">
        <v>5</v>
      </c>
      <c r="D47" s="76" t="s">
        <v>397</v>
      </c>
      <c r="E47" s="76">
        <v>79060</v>
      </c>
      <c r="F47" s="77" t="s">
        <v>65</v>
      </c>
      <c r="G47" s="56">
        <f>' первое чтение вед стр-ра'!G24</f>
        <v>113.10000000000001</v>
      </c>
      <c r="H47" s="56">
        <f>' первое чтение вед стр-ра'!H24</f>
        <v>113.10000000000001</v>
      </c>
      <c r="I47" s="56">
        <f>' первое чтение вед стр-ра'!I24</f>
        <v>113.10000000000001</v>
      </c>
    </row>
    <row r="48" spans="1:9" s="73" customFormat="1" ht="25.5" x14ac:dyDescent="0.2">
      <c r="A48" s="74" t="s">
        <v>400</v>
      </c>
      <c r="B48" s="76" t="s">
        <v>10</v>
      </c>
      <c r="C48" s="76">
        <v>5</v>
      </c>
      <c r="D48" s="76" t="s">
        <v>397</v>
      </c>
      <c r="E48" s="76">
        <v>79060</v>
      </c>
      <c r="F48" s="77" t="s">
        <v>66</v>
      </c>
      <c r="G48" s="56">
        <f>' первое чтение вед стр-ра'!G25</f>
        <v>1.9</v>
      </c>
      <c r="H48" s="56">
        <f>' первое чтение вед стр-ра'!H25</f>
        <v>1.9</v>
      </c>
      <c r="I48" s="56">
        <f>' первое чтение вед стр-ра'!I25</f>
        <v>1.9</v>
      </c>
    </row>
    <row r="49" spans="1:11" s="73" customFormat="1" ht="25.5" x14ac:dyDescent="0.2">
      <c r="A49" s="83" t="s">
        <v>139</v>
      </c>
      <c r="B49" s="71" t="s">
        <v>10</v>
      </c>
      <c r="C49" s="71">
        <v>5</v>
      </c>
      <c r="D49" s="71" t="s">
        <v>397</v>
      </c>
      <c r="E49" s="71" t="s">
        <v>563</v>
      </c>
      <c r="F49" s="71"/>
      <c r="G49" s="72">
        <f>G50</f>
        <v>966</v>
      </c>
      <c r="H49" s="72">
        <f>H50</f>
        <v>966</v>
      </c>
      <c r="I49" s="72">
        <f>I50</f>
        <v>966</v>
      </c>
    </row>
    <row r="50" spans="1:11" s="68" customFormat="1" x14ac:dyDescent="0.2">
      <c r="A50" s="81" t="s">
        <v>67</v>
      </c>
      <c r="B50" s="76" t="s">
        <v>10</v>
      </c>
      <c r="C50" s="76">
        <v>5</v>
      </c>
      <c r="D50" s="76" t="s">
        <v>397</v>
      </c>
      <c r="E50" s="71" t="s">
        <v>563</v>
      </c>
      <c r="F50" s="76" t="s">
        <v>68</v>
      </c>
      <c r="G50" s="56">
        <f>' первое чтение вед стр-ра'!G57</f>
        <v>966</v>
      </c>
      <c r="H50" s="56">
        <f>' первое чтение вед стр-ра'!H57</f>
        <v>966</v>
      </c>
      <c r="I50" s="56">
        <f>' первое чтение вед стр-ра'!I57</f>
        <v>966</v>
      </c>
    </row>
    <row r="51" spans="1:11" s="68" customFormat="1" ht="38.25" x14ac:dyDescent="0.2">
      <c r="A51" s="69" t="s">
        <v>660</v>
      </c>
      <c r="B51" s="76" t="s">
        <v>10</v>
      </c>
      <c r="C51" s="76" t="s">
        <v>424</v>
      </c>
      <c r="D51" s="76" t="s">
        <v>397</v>
      </c>
      <c r="E51" s="71" t="s">
        <v>662</v>
      </c>
      <c r="F51" s="76"/>
      <c r="G51" s="56">
        <f>G52</f>
        <v>1351.6</v>
      </c>
      <c r="H51" s="56">
        <f t="shared" ref="H51:I51" si="2">H52</f>
        <v>0</v>
      </c>
      <c r="I51" s="56">
        <f t="shared" si="2"/>
        <v>0</v>
      </c>
    </row>
    <row r="52" spans="1:11" s="68" customFormat="1" x14ac:dyDescent="0.2">
      <c r="A52" s="81" t="s">
        <v>70</v>
      </c>
      <c r="B52" s="76" t="s">
        <v>10</v>
      </c>
      <c r="C52" s="76" t="s">
        <v>424</v>
      </c>
      <c r="D52" s="76" t="s">
        <v>397</v>
      </c>
      <c r="E52" s="71" t="s">
        <v>662</v>
      </c>
      <c r="F52" s="76" t="s">
        <v>71</v>
      </c>
      <c r="G52" s="56">
        <f>' первое чтение вед стр-ра'!G154</f>
        <v>1351.6</v>
      </c>
      <c r="H52" s="56">
        <f>' первое чтение вед стр-ра'!H154</f>
        <v>0</v>
      </c>
      <c r="I52" s="56">
        <f>' первое чтение вед стр-ра'!I154</f>
        <v>0</v>
      </c>
    </row>
    <row r="53" spans="1:11" s="26" customFormat="1" ht="38.25" x14ac:dyDescent="0.2">
      <c r="A53" s="39" t="s">
        <v>562</v>
      </c>
      <c r="B53" s="40" t="s">
        <v>12</v>
      </c>
      <c r="C53" s="40"/>
      <c r="D53" s="40"/>
      <c r="E53" s="40"/>
      <c r="F53" s="40"/>
      <c r="G53" s="38">
        <f>SUM(G54,G56,G58,G60,G62,G64,G68,G70,G73)</f>
        <v>17708</v>
      </c>
      <c r="H53" s="38">
        <f>SUM(H54,H56,H58,H60,H62,H64,H68,H70,H73)</f>
        <v>9065.2000000000007</v>
      </c>
      <c r="I53" s="38">
        <f>SUM(I54,I56,I58,I60,I62,I64,I68,I70,I73)</f>
        <v>9065.2000000000007</v>
      </c>
    </row>
    <row r="54" spans="1:11" x14ac:dyDescent="0.2">
      <c r="A54" s="18" t="s">
        <v>199</v>
      </c>
      <c r="B54" s="19" t="s">
        <v>12</v>
      </c>
      <c r="C54" s="19">
        <v>0</v>
      </c>
      <c r="D54" s="19" t="s">
        <v>397</v>
      </c>
      <c r="E54" s="19" t="s">
        <v>561</v>
      </c>
      <c r="F54" s="19"/>
      <c r="G54" s="20">
        <f>G55</f>
        <v>1500</v>
      </c>
      <c r="H54" s="20">
        <f>H55</f>
        <v>0</v>
      </c>
      <c r="I54" s="20">
        <f>I55</f>
        <v>0</v>
      </c>
    </row>
    <row r="55" spans="1:11" s="26" customFormat="1" ht="25.5" x14ac:dyDescent="0.2">
      <c r="A55" s="30" t="s">
        <v>400</v>
      </c>
      <c r="B55" s="24" t="s">
        <v>12</v>
      </c>
      <c r="C55" s="24">
        <v>0</v>
      </c>
      <c r="D55" s="24" t="s">
        <v>397</v>
      </c>
      <c r="E55" s="24" t="s">
        <v>561</v>
      </c>
      <c r="F55" s="27" t="s">
        <v>66</v>
      </c>
      <c r="G55" s="25">
        <f>' первое чтение вед стр-ра'!G217</f>
        <v>1500</v>
      </c>
      <c r="H55" s="25">
        <f>' первое чтение вед стр-ра'!H217</f>
        <v>0</v>
      </c>
      <c r="I55" s="25">
        <f>' первое чтение вед стр-ра'!I217</f>
        <v>0</v>
      </c>
    </row>
    <row r="56" spans="1:11" s="26" customFormat="1" ht="38.25" x14ac:dyDescent="0.2">
      <c r="A56" s="18" t="s">
        <v>200</v>
      </c>
      <c r="B56" s="19" t="s">
        <v>12</v>
      </c>
      <c r="C56" s="19">
        <v>0</v>
      </c>
      <c r="D56" s="19" t="s">
        <v>397</v>
      </c>
      <c r="E56" s="19" t="s">
        <v>560</v>
      </c>
      <c r="F56" s="19"/>
      <c r="G56" s="20">
        <f>G57</f>
        <v>500</v>
      </c>
      <c r="H56" s="20">
        <f>H57</f>
        <v>0</v>
      </c>
      <c r="I56" s="20">
        <f>I57</f>
        <v>0</v>
      </c>
    </row>
    <row r="57" spans="1:11" ht="25.5" x14ac:dyDescent="0.2">
      <c r="A57" s="30" t="s">
        <v>400</v>
      </c>
      <c r="B57" s="24" t="s">
        <v>12</v>
      </c>
      <c r="C57" s="24">
        <v>0</v>
      </c>
      <c r="D57" s="24" t="s">
        <v>397</v>
      </c>
      <c r="E57" s="24" t="s">
        <v>560</v>
      </c>
      <c r="F57" s="27" t="s">
        <v>66</v>
      </c>
      <c r="G57" s="25">
        <f>' первое чтение вед стр-ра'!G219</f>
        <v>500</v>
      </c>
      <c r="H57" s="25">
        <f>' первое чтение вед стр-ра'!H219</f>
        <v>0</v>
      </c>
      <c r="I57" s="25">
        <f>' первое чтение вед стр-ра'!I219</f>
        <v>0</v>
      </c>
    </row>
    <row r="58" spans="1:11" s="26" customFormat="1" ht="25.5" x14ac:dyDescent="0.2">
      <c r="A58" s="18" t="s">
        <v>185</v>
      </c>
      <c r="B58" s="5" t="s">
        <v>12</v>
      </c>
      <c r="C58" s="5">
        <v>0</v>
      </c>
      <c r="D58" s="5" t="s">
        <v>397</v>
      </c>
      <c r="E58" s="5" t="s">
        <v>559</v>
      </c>
      <c r="F58" s="5"/>
      <c r="G58" s="6">
        <f>G59</f>
        <v>500</v>
      </c>
      <c r="H58" s="6">
        <f>H59</f>
        <v>0</v>
      </c>
      <c r="I58" s="6">
        <f>I59</f>
        <v>0</v>
      </c>
    </row>
    <row r="59" spans="1:11" s="26" customFormat="1" ht="25.5" x14ac:dyDescent="0.2">
      <c r="A59" s="30" t="s">
        <v>400</v>
      </c>
      <c r="B59" s="24" t="s">
        <v>12</v>
      </c>
      <c r="C59" s="24">
        <v>0</v>
      </c>
      <c r="D59" s="24" t="s">
        <v>397</v>
      </c>
      <c r="E59" s="24" t="s">
        <v>559</v>
      </c>
      <c r="F59" s="27" t="s">
        <v>66</v>
      </c>
      <c r="G59" s="25">
        <f>' первое чтение вед стр-ра'!G197</f>
        <v>500</v>
      </c>
      <c r="H59" s="25">
        <f>' первое чтение вед стр-ра'!H197</f>
        <v>0</v>
      </c>
      <c r="I59" s="25">
        <f>' первое чтение вед стр-ра'!I197</f>
        <v>0</v>
      </c>
    </row>
    <row r="60" spans="1:11" s="26" customFormat="1" x14ac:dyDescent="0.2">
      <c r="A60" s="18" t="s">
        <v>186</v>
      </c>
      <c r="B60" s="5" t="s">
        <v>12</v>
      </c>
      <c r="C60" s="5">
        <v>0</v>
      </c>
      <c r="D60" s="5" t="s">
        <v>397</v>
      </c>
      <c r="E60" s="5" t="s">
        <v>558</v>
      </c>
      <c r="F60" s="5"/>
      <c r="G60" s="6">
        <f>G61</f>
        <v>300</v>
      </c>
      <c r="H60" s="6">
        <f>H61</f>
        <v>0</v>
      </c>
      <c r="I60" s="6">
        <f>I61</f>
        <v>0</v>
      </c>
      <c r="J60" s="21"/>
      <c r="K60" s="21"/>
    </row>
    <row r="61" spans="1:11" ht="25.5" x14ac:dyDescent="0.2">
      <c r="A61" s="30" t="s">
        <v>400</v>
      </c>
      <c r="B61" s="24" t="s">
        <v>12</v>
      </c>
      <c r="C61" s="24">
        <v>0</v>
      </c>
      <c r="D61" s="24" t="s">
        <v>397</v>
      </c>
      <c r="E61" s="24" t="s">
        <v>558</v>
      </c>
      <c r="F61" s="27" t="s">
        <v>66</v>
      </c>
      <c r="G61" s="25">
        <f>' первое чтение вед стр-ра'!G199</f>
        <v>300</v>
      </c>
      <c r="H61" s="25">
        <f>' первое чтение вед стр-ра'!H199</f>
        <v>0</v>
      </c>
      <c r="I61" s="25">
        <f>' первое чтение вед стр-ра'!I199</f>
        <v>0</v>
      </c>
    </row>
    <row r="62" spans="1:11" s="26" customFormat="1" ht="25.5" x14ac:dyDescent="0.2">
      <c r="A62" s="18" t="s">
        <v>188</v>
      </c>
      <c r="B62" s="19" t="s">
        <v>12</v>
      </c>
      <c r="C62" s="19" t="s">
        <v>398</v>
      </c>
      <c r="D62" s="19" t="s">
        <v>397</v>
      </c>
      <c r="E62" s="19" t="s">
        <v>557</v>
      </c>
      <c r="F62" s="19"/>
      <c r="G62" s="20">
        <f>G63</f>
        <v>200</v>
      </c>
      <c r="H62" s="20">
        <f>H63</f>
        <v>0</v>
      </c>
      <c r="I62" s="20">
        <f>I63</f>
        <v>0</v>
      </c>
    </row>
    <row r="63" spans="1:11" s="26" customFormat="1" ht="25.5" x14ac:dyDescent="0.2">
      <c r="A63" s="30" t="s">
        <v>400</v>
      </c>
      <c r="B63" s="24" t="s">
        <v>12</v>
      </c>
      <c r="C63" s="24">
        <v>0</v>
      </c>
      <c r="D63" s="24" t="s">
        <v>397</v>
      </c>
      <c r="E63" s="24" t="s">
        <v>557</v>
      </c>
      <c r="F63" s="27" t="s">
        <v>66</v>
      </c>
      <c r="G63" s="25">
        <f>' первое чтение вед стр-ра'!G201</f>
        <v>200</v>
      </c>
      <c r="H63" s="25">
        <f>' первое чтение вед стр-ра'!H201</f>
        <v>0</v>
      </c>
      <c r="I63" s="25">
        <f>' первое чтение вед стр-ра'!I201</f>
        <v>0</v>
      </c>
      <c r="J63" s="21"/>
      <c r="K63" s="21"/>
    </row>
    <row r="64" spans="1:11" x14ac:dyDescent="0.2">
      <c r="A64" s="18" t="s">
        <v>190</v>
      </c>
      <c r="B64" s="5" t="s">
        <v>12</v>
      </c>
      <c r="C64" s="5">
        <v>0</v>
      </c>
      <c r="D64" s="5" t="s">
        <v>397</v>
      </c>
      <c r="E64" s="5" t="s">
        <v>556</v>
      </c>
      <c r="F64" s="5"/>
      <c r="G64" s="6">
        <f>G67+G65+G66</f>
        <v>4286.2</v>
      </c>
      <c r="H64" s="6">
        <f t="shared" ref="H64:I64" si="3">H67+H65+H66</f>
        <v>0</v>
      </c>
      <c r="I64" s="6">
        <f t="shared" si="3"/>
        <v>0</v>
      </c>
    </row>
    <row r="65" spans="1:11" s="26" customFormat="1" ht="25.5" x14ac:dyDescent="0.2">
      <c r="A65" s="30" t="s">
        <v>400</v>
      </c>
      <c r="B65" s="24" t="s">
        <v>12</v>
      </c>
      <c r="C65" s="24">
        <v>0</v>
      </c>
      <c r="D65" s="24" t="s">
        <v>397</v>
      </c>
      <c r="E65" s="24" t="s">
        <v>556</v>
      </c>
      <c r="F65" s="27" t="s">
        <v>66</v>
      </c>
      <c r="G65" s="25">
        <f>' первое чтение вед стр-ра'!G203</f>
        <v>3202.4</v>
      </c>
      <c r="H65" s="25">
        <f>' первое чтение вед стр-ра'!H203</f>
        <v>0</v>
      </c>
      <c r="I65" s="25">
        <f>' первое чтение вед стр-ра'!I203</f>
        <v>0</v>
      </c>
      <c r="J65" s="21"/>
      <c r="K65" s="21"/>
    </row>
    <row r="66" spans="1:11" s="26" customFormat="1" ht="25.5" x14ac:dyDescent="0.2">
      <c r="A66" s="28" t="s">
        <v>130</v>
      </c>
      <c r="B66" s="24" t="s">
        <v>12</v>
      </c>
      <c r="C66" s="24">
        <v>0</v>
      </c>
      <c r="D66" s="24" t="s">
        <v>397</v>
      </c>
      <c r="E66" s="24" t="s">
        <v>556</v>
      </c>
      <c r="F66" s="27" t="s">
        <v>63</v>
      </c>
      <c r="G66" s="25">
        <f>' первое чтение вед стр-ра'!G604+' первое чтение вед стр-ра'!G61</f>
        <v>1073.8</v>
      </c>
      <c r="H66" s="25">
        <f>' первое чтение вед стр-ра'!H604+' первое чтение вед стр-ра'!H61</f>
        <v>0</v>
      </c>
      <c r="I66" s="25">
        <f>' первое чтение вед стр-ра'!I604+' первое чтение вед стр-ра'!I61</f>
        <v>0</v>
      </c>
      <c r="J66" s="21"/>
      <c r="K66" s="21"/>
    </row>
    <row r="67" spans="1:11" s="26" customFormat="1" x14ac:dyDescent="0.2">
      <c r="A67" s="28" t="s">
        <v>70</v>
      </c>
      <c r="B67" s="24" t="s">
        <v>12</v>
      </c>
      <c r="C67" s="24">
        <v>0</v>
      </c>
      <c r="D67" s="24" t="s">
        <v>397</v>
      </c>
      <c r="E67" s="24" t="s">
        <v>556</v>
      </c>
      <c r="F67" s="27" t="s">
        <v>71</v>
      </c>
      <c r="G67" s="25">
        <f>' первое чтение вед стр-ра'!G204</f>
        <v>10</v>
      </c>
      <c r="H67" s="25">
        <f>' первое чтение вед стр-ра'!H204</f>
        <v>0</v>
      </c>
      <c r="I67" s="25">
        <f>' первое чтение вед стр-ра'!I204</f>
        <v>0</v>
      </c>
      <c r="J67" s="21"/>
      <c r="K67" s="21"/>
    </row>
    <row r="68" spans="1:11" s="9" customFormat="1" x14ac:dyDescent="0.2">
      <c r="A68" s="18" t="s">
        <v>193</v>
      </c>
      <c r="B68" s="5" t="s">
        <v>12</v>
      </c>
      <c r="C68" s="5">
        <v>0</v>
      </c>
      <c r="D68" s="5" t="s">
        <v>397</v>
      </c>
      <c r="E68" s="5" t="s">
        <v>555</v>
      </c>
      <c r="F68" s="5"/>
      <c r="G68" s="6">
        <f>G69</f>
        <v>500</v>
      </c>
      <c r="H68" s="6">
        <f>H69</f>
        <v>0</v>
      </c>
      <c r="I68" s="6">
        <f>I69</f>
        <v>0</v>
      </c>
    </row>
    <row r="69" spans="1:11" s="7" customFormat="1" ht="25.5" x14ac:dyDescent="0.2">
      <c r="A69" s="30" t="s">
        <v>400</v>
      </c>
      <c r="B69" s="24" t="s">
        <v>12</v>
      </c>
      <c r="C69" s="24">
        <v>0</v>
      </c>
      <c r="D69" s="24" t="s">
        <v>397</v>
      </c>
      <c r="E69" s="24" t="s">
        <v>555</v>
      </c>
      <c r="F69" s="27" t="s">
        <v>66</v>
      </c>
      <c r="G69" s="25">
        <f>' первое чтение вед стр-ра'!G206</f>
        <v>500</v>
      </c>
      <c r="H69" s="25">
        <f>' первое чтение вед стр-ра'!H206</f>
        <v>0</v>
      </c>
      <c r="I69" s="25">
        <f>' первое чтение вед стр-ра'!I206</f>
        <v>0</v>
      </c>
    </row>
    <row r="70" spans="1:11" s="7" customFormat="1" x14ac:dyDescent="0.2">
      <c r="A70" s="18" t="s">
        <v>194</v>
      </c>
      <c r="B70" s="5" t="s">
        <v>12</v>
      </c>
      <c r="C70" s="5">
        <v>0</v>
      </c>
      <c r="D70" s="5" t="s">
        <v>397</v>
      </c>
      <c r="E70" s="5" t="s">
        <v>554</v>
      </c>
      <c r="F70" s="5"/>
      <c r="G70" s="6">
        <f>G71+G72</f>
        <v>169</v>
      </c>
      <c r="H70" s="6">
        <f t="shared" ref="H70:I70" si="4">H71+H72</f>
        <v>0</v>
      </c>
      <c r="I70" s="6">
        <f t="shared" si="4"/>
        <v>0</v>
      </c>
    </row>
    <row r="71" spans="1:11" s="7" customFormat="1" ht="25.5" x14ac:dyDescent="0.2">
      <c r="A71" s="30" t="s">
        <v>400</v>
      </c>
      <c r="B71" s="24" t="s">
        <v>12</v>
      </c>
      <c r="C71" s="24">
        <v>0</v>
      </c>
      <c r="D71" s="24" t="s">
        <v>397</v>
      </c>
      <c r="E71" s="24" t="s">
        <v>554</v>
      </c>
      <c r="F71" s="27" t="s">
        <v>66</v>
      </c>
      <c r="G71" s="25">
        <f>' первое чтение вед стр-ра'!G208</f>
        <v>169</v>
      </c>
      <c r="H71" s="25">
        <f>' первое чтение вед стр-ра'!H208</f>
        <v>0</v>
      </c>
      <c r="I71" s="25">
        <f>' первое чтение вед стр-ра'!I208</f>
        <v>0</v>
      </c>
    </row>
    <row r="72" spans="1:11" s="7" customFormat="1" x14ac:dyDescent="0.2">
      <c r="A72" s="28" t="s">
        <v>70</v>
      </c>
      <c r="B72" s="24" t="s">
        <v>12</v>
      </c>
      <c r="C72" s="24">
        <v>0</v>
      </c>
      <c r="D72" s="24" t="s">
        <v>397</v>
      </c>
      <c r="E72" s="24" t="s">
        <v>554</v>
      </c>
      <c r="F72" s="24" t="s">
        <v>71</v>
      </c>
      <c r="G72" s="25">
        <f>' первое чтение вед стр-ра'!G209</f>
        <v>0</v>
      </c>
      <c r="H72" s="25">
        <f>' первое чтение вед стр-ра'!H209</f>
        <v>0</v>
      </c>
      <c r="I72" s="25">
        <f>' первое чтение вед стр-ра'!I209</f>
        <v>0</v>
      </c>
    </row>
    <row r="73" spans="1:11" s="82" customFormat="1" ht="25.5" x14ac:dyDescent="0.2">
      <c r="A73" s="69" t="s">
        <v>196</v>
      </c>
      <c r="B73" s="84" t="s">
        <v>12</v>
      </c>
      <c r="C73" s="84">
        <v>0</v>
      </c>
      <c r="D73" s="84" t="s">
        <v>397</v>
      </c>
      <c r="E73" s="84" t="s">
        <v>553</v>
      </c>
      <c r="F73" s="71"/>
      <c r="G73" s="72">
        <f>G74+G76+G75</f>
        <v>9752.8000000000011</v>
      </c>
      <c r="H73" s="72">
        <f>H74+H76+H75</f>
        <v>9065.2000000000007</v>
      </c>
      <c r="I73" s="72">
        <f>I74+I76+I75</f>
        <v>9065.2000000000007</v>
      </c>
    </row>
    <row r="74" spans="1:11" s="7" customFormat="1" ht="51" x14ac:dyDescent="0.2">
      <c r="A74" s="30" t="s">
        <v>64</v>
      </c>
      <c r="B74" s="24" t="s">
        <v>12</v>
      </c>
      <c r="C74" s="24">
        <v>0</v>
      </c>
      <c r="D74" s="24" t="s">
        <v>397</v>
      </c>
      <c r="E74" s="24" t="s">
        <v>553</v>
      </c>
      <c r="F74" s="27" t="s">
        <v>65</v>
      </c>
      <c r="G74" s="25">
        <f>' первое чтение вед стр-ра'!G211</f>
        <v>8926.6</v>
      </c>
      <c r="H74" s="25">
        <f>' первое чтение вед стр-ра'!H211</f>
        <v>8926.6</v>
      </c>
      <c r="I74" s="25">
        <f>' первое чтение вед стр-ра'!I211</f>
        <v>8926.6</v>
      </c>
    </row>
    <row r="75" spans="1:11" s="68" customFormat="1" ht="24.75" customHeight="1" x14ac:dyDescent="0.2">
      <c r="A75" s="74" t="s">
        <v>400</v>
      </c>
      <c r="B75" s="76" t="s">
        <v>12</v>
      </c>
      <c r="C75" s="76">
        <v>0</v>
      </c>
      <c r="D75" s="76" t="s">
        <v>397</v>
      </c>
      <c r="E75" s="76" t="s">
        <v>553</v>
      </c>
      <c r="F75" s="77" t="s">
        <v>66</v>
      </c>
      <c r="G75" s="25">
        <f>' первое чтение вед стр-ра'!G212</f>
        <v>826.2</v>
      </c>
      <c r="H75" s="25">
        <f>' первое чтение вед стр-ра'!H212</f>
        <v>138.6</v>
      </c>
      <c r="I75" s="25">
        <f>' первое чтение вед стр-ра'!I212</f>
        <v>138.6</v>
      </c>
    </row>
    <row r="76" spans="1:11" s="9" customFormat="1" ht="24.75" customHeight="1" x14ac:dyDescent="0.2">
      <c r="A76" s="30" t="s">
        <v>70</v>
      </c>
      <c r="B76" s="24" t="s">
        <v>12</v>
      </c>
      <c r="C76" s="24">
        <v>0</v>
      </c>
      <c r="D76" s="24" t="s">
        <v>397</v>
      </c>
      <c r="E76" s="24" t="s">
        <v>553</v>
      </c>
      <c r="F76" s="27" t="s">
        <v>71</v>
      </c>
      <c r="G76" s="25">
        <f>' первое чтение вед стр-ра'!G213</f>
        <v>0</v>
      </c>
      <c r="H76" s="25">
        <f>' первое чтение вед стр-ра'!H213</f>
        <v>0</v>
      </c>
      <c r="I76" s="25">
        <f>' первое чтение вед стр-ра'!I213</f>
        <v>0</v>
      </c>
    </row>
    <row r="77" spans="1:11" s="26" customFormat="1" ht="38.25" x14ac:dyDescent="0.2">
      <c r="A77" s="39" t="s">
        <v>552</v>
      </c>
      <c r="B77" s="40" t="s">
        <v>14</v>
      </c>
      <c r="C77" s="40"/>
      <c r="D77" s="40"/>
      <c r="E77" s="40"/>
      <c r="F77" s="40"/>
      <c r="G77" s="38">
        <f>SUM(G78,G87,G96)</f>
        <v>44800.500000000007</v>
      </c>
      <c r="H77" s="38">
        <f>SUM(H78,H87,H96)</f>
        <v>25763.5</v>
      </c>
      <c r="I77" s="38">
        <f>SUM(I78,I87,I96)</f>
        <v>25684.2</v>
      </c>
    </row>
    <row r="78" spans="1:11" s="87" customFormat="1" ht="51" x14ac:dyDescent="0.2">
      <c r="A78" s="135" t="s">
        <v>551</v>
      </c>
      <c r="B78" s="133" t="s">
        <v>14</v>
      </c>
      <c r="C78" s="133" t="s">
        <v>439</v>
      </c>
      <c r="D78" s="133"/>
      <c r="E78" s="133"/>
      <c r="F78" s="133"/>
      <c r="G78" s="132">
        <f>SUM(G79,G83,G85)</f>
        <v>15854.8</v>
      </c>
      <c r="H78" s="132">
        <f t="shared" ref="H78:I78" si="5">SUM(H79,H83,H85)</f>
        <v>14784.4</v>
      </c>
      <c r="I78" s="132">
        <f t="shared" si="5"/>
        <v>14705.1</v>
      </c>
    </row>
    <row r="79" spans="1:11" s="26" customFormat="1" ht="38.25" x14ac:dyDescent="0.2">
      <c r="A79" s="45" t="s">
        <v>148</v>
      </c>
      <c r="B79" s="19" t="s">
        <v>14</v>
      </c>
      <c r="C79" s="19">
        <v>1</v>
      </c>
      <c r="D79" s="19" t="s">
        <v>397</v>
      </c>
      <c r="E79" s="19" t="s">
        <v>550</v>
      </c>
      <c r="F79" s="19"/>
      <c r="G79" s="20">
        <f>G80+G81+G82</f>
        <v>0</v>
      </c>
      <c r="H79" s="20">
        <f>H80+H81+H82</f>
        <v>0</v>
      </c>
      <c r="I79" s="20">
        <f>I80+I81+I82</f>
        <v>0</v>
      </c>
    </row>
    <row r="80" spans="1:11" s="12" customFormat="1" ht="51" x14ac:dyDescent="0.2">
      <c r="A80" s="30" t="s">
        <v>64</v>
      </c>
      <c r="B80" s="24" t="s">
        <v>14</v>
      </c>
      <c r="C80" s="24">
        <v>1</v>
      </c>
      <c r="D80" s="24" t="s">
        <v>397</v>
      </c>
      <c r="E80" s="24" t="s">
        <v>550</v>
      </c>
      <c r="F80" s="27" t="s">
        <v>65</v>
      </c>
      <c r="G80" s="25">
        <f>' первое чтение вед стр-ра'!G76</f>
        <v>0</v>
      </c>
      <c r="H80" s="25">
        <f>' первое чтение вед стр-ра'!H76</f>
        <v>0</v>
      </c>
      <c r="I80" s="25">
        <f>' первое чтение вед стр-ра'!I76</f>
        <v>0</v>
      </c>
    </row>
    <row r="81" spans="1:11" s="78" customFormat="1" ht="25.5" x14ac:dyDescent="0.2">
      <c r="A81" s="74" t="s">
        <v>400</v>
      </c>
      <c r="B81" s="76" t="s">
        <v>14</v>
      </c>
      <c r="C81" s="76">
        <v>1</v>
      </c>
      <c r="D81" s="76" t="s">
        <v>397</v>
      </c>
      <c r="E81" s="76" t="s">
        <v>550</v>
      </c>
      <c r="F81" s="77" t="s">
        <v>66</v>
      </c>
      <c r="G81" s="25">
        <f>' первое чтение вед стр-ра'!G77</f>
        <v>0</v>
      </c>
      <c r="H81" s="25">
        <f>' первое чтение вед стр-ра'!H77</f>
        <v>0</v>
      </c>
      <c r="I81" s="25">
        <f>' первое чтение вед стр-ра'!I77</f>
        <v>0</v>
      </c>
    </row>
    <row r="82" spans="1:11" s="26" customFormat="1" x14ac:dyDescent="0.2">
      <c r="A82" s="28" t="s">
        <v>70</v>
      </c>
      <c r="B82" s="24" t="s">
        <v>14</v>
      </c>
      <c r="C82" s="24">
        <v>1</v>
      </c>
      <c r="D82" s="24" t="s">
        <v>397</v>
      </c>
      <c r="E82" s="24" t="s">
        <v>550</v>
      </c>
      <c r="F82" s="24" t="s">
        <v>71</v>
      </c>
      <c r="G82" s="25">
        <f>' первое чтение вед стр-ра'!G78</f>
        <v>0</v>
      </c>
      <c r="H82" s="25">
        <f>' первое чтение вед стр-ра'!H78</f>
        <v>0</v>
      </c>
      <c r="I82" s="25">
        <f>' первое чтение вед стр-ра'!I78</f>
        <v>0</v>
      </c>
    </row>
    <row r="83" spans="1:11" s="148" customFormat="1" ht="15" x14ac:dyDescent="0.2">
      <c r="A83" s="49" t="s">
        <v>149</v>
      </c>
      <c r="B83" s="19" t="s">
        <v>14</v>
      </c>
      <c r="C83" s="19">
        <v>1</v>
      </c>
      <c r="D83" s="19" t="s">
        <v>397</v>
      </c>
      <c r="E83" s="19" t="s">
        <v>549</v>
      </c>
      <c r="F83" s="19"/>
      <c r="G83" s="20">
        <f>G84</f>
        <v>0</v>
      </c>
      <c r="H83" s="20">
        <f>H84</f>
        <v>0</v>
      </c>
      <c r="I83" s="20">
        <f>I84</f>
        <v>0</v>
      </c>
    </row>
    <row r="84" spans="1:11" s="9" customFormat="1" ht="25.5" x14ac:dyDescent="0.2">
      <c r="A84" s="28" t="s">
        <v>130</v>
      </c>
      <c r="B84" s="24" t="s">
        <v>14</v>
      </c>
      <c r="C84" s="24">
        <v>1</v>
      </c>
      <c r="D84" s="24" t="s">
        <v>397</v>
      </c>
      <c r="E84" s="24" t="s">
        <v>549</v>
      </c>
      <c r="F84" s="27" t="s">
        <v>63</v>
      </c>
      <c r="G84" s="25">
        <f>' первое чтение вед стр-ра'!G610</f>
        <v>0</v>
      </c>
      <c r="H84" s="25">
        <f>' первое чтение вед стр-ра'!H610</f>
        <v>0</v>
      </c>
      <c r="I84" s="25">
        <f>' первое чтение вед стр-ра'!I610</f>
        <v>0</v>
      </c>
    </row>
    <row r="85" spans="1:11" s="9" customFormat="1" ht="63.75" x14ac:dyDescent="0.2">
      <c r="A85" s="18" t="s">
        <v>623</v>
      </c>
      <c r="B85" s="24" t="s">
        <v>14</v>
      </c>
      <c r="C85" s="24" t="s">
        <v>439</v>
      </c>
      <c r="D85" s="24" t="s">
        <v>397</v>
      </c>
      <c r="E85" s="24" t="s">
        <v>622</v>
      </c>
      <c r="F85" s="27"/>
      <c r="G85" s="25">
        <f>G86</f>
        <v>15854.8</v>
      </c>
      <c r="H85" s="25">
        <f t="shared" ref="H85:I85" si="6">H86</f>
        <v>14784.4</v>
      </c>
      <c r="I85" s="25">
        <f t="shared" si="6"/>
        <v>14705.1</v>
      </c>
    </row>
    <row r="86" spans="1:11" s="9" customFormat="1" ht="25.5" x14ac:dyDescent="0.2">
      <c r="A86" s="28" t="s">
        <v>130</v>
      </c>
      <c r="B86" s="24" t="s">
        <v>14</v>
      </c>
      <c r="C86" s="24" t="s">
        <v>439</v>
      </c>
      <c r="D86" s="24" t="s">
        <v>397</v>
      </c>
      <c r="E86" s="24" t="s">
        <v>622</v>
      </c>
      <c r="F86" s="27" t="s">
        <v>63</v>
      </c>
      <c r="G86" s="25">
        <f>' первое чтение вед стр-ра'!G80</f>
        <v>15854.8</v>
      </c>
      <c r="H86" s="25">
        <f>' первое чтение вед стр-ра'!H80</f>
        <v>14784.4</v>
      </c>
      <c r="I86" s="25">
        <f>' первое чтение вед стр-ра'!I80</f>
        <v>14705.1</v>
      </c>
    </row>
    <row r="87" spans="1:11" ht="38.25" x14ac:dyDescent="0.2">
      <c r="A87" s="131" t="s">
        <v>548</v>
      </c>
      <c r="B87" s="130" t="s">
        <v>14</v>
      </c>
      <c r="C87" s="130" t="s">
        <v>434</v>
      </c>
      <c r="D87" s="130"/>
      <c r="E87" s="130"/>
      <c r="F87" s="130"/>
      <c r="G87" s="129">
        <f>SUM(G88,G91,G93)</f>
        <v>20647.300000000003</v>
      </c>
      <c r="H87" s="129">
        <f>SUM(H88,H91,H93)</f>
        <v>3167.3</v>
      </c>
      <c r="I87" s="129">
        <f>SUM(I88,I91,I93)</f>
        <v>3167.3</v>
      </c>
    </row>
    <row r="88" spans="1:11" s="26" customFormat="1" ht="25.5" x14ac:dyDescent="0.2">
      <c r="A88" s="17" t="s">
        <v>152</v>
      </c>
      <c r="B88" s="19" t="s">
        <v>14</v>
      </c>
      <c r="C88" s="19">
        <v>2</v>
      </c>
      <c r="D88" s="19" t="s">
        <v>397</v>
      </c>
      <c r="E88" s="19" t="s">
        <v>547</v>
      </c>
      <c r="F88" s="5"/>
      <c r="G88" s="6">
        <f>G89+G90</f>
        <v>20392.300000000003</v>
      </c>
      <c r="H88" s="6">
        <f>H89+H90</f>
        <v>3167.3</v>
      </c>
      <c r="I88" s="6">
        <f>I89+I90</f>
        <v>3167.3</v>
      </c>
      <c r="J88" s="21"/>
      <c r="K88" s="21"/>
    </row>
    <row r="89" spans="1:11" s="78" customFormat="1" ht="25.5" x14ac:dyDescent="0.2">
      <c r="A89" s="74" t="s">
        <v>400</v>
      </c>
      <c r="B89" s="76" t="s">
        <v>14</v>
      </c>
      <c r="C89" s="76">
        <v>2</v>
      </c>
      <c r="D89" s="76" t="s">
        <v>397</v>
      </c>
      <c r="E89" s="76" t="s">
        <v>547</v>
      </c>
      <c r="F89" s="77" t="s">
        <v>66</v>
      </c>
      <c r="G89" s="56">
        <f>' первое чтение вед стр-ра'!G261+' первое чтение вед стр-ра'!G282+' первое чтение вед стр-ра'!G333+' первое чтение вед стр-ра'!G31+' первое чтение вед стр-ра'!G82</f>
        <v>2189.8999999999996</v>
      </c>
      <c r="H89" s="56">
        <f>' первое чтение вед стр-ра'!H261+' первое чтение вед стр-ра'!H282+' первое чтение вед стр-ра'!H333+' первое чтение вед стр-ра'!H31+' первое чтение вед стр-ра'!H82</f>
        <v>465.70000000000005</v>
      </c>
      <c r="I89" s="56">
        <f>' первое чтение вед стр-ра'!I261+' первое чтение вед стр-ра'!I282+' первое чтение вед стр-ра'!I333+' первое чтение вед стр-ра'!I31+' первое чтение вед стр-ра'!I82</f>
        <v>465.70000000000005</v>
      </c>
    </row>
    <row r="90" spans="1:11" s="26" customFormat="1" ht="25.5" x14ac:dyDescent="0.2">
      <c r="A90" s="28" t="s">
        <v>130</v>
      </c>
      <c r="B90" s="24" t="s">
        <v>14</v>
      </c>
      <c r="C90" s="24">
        <v>2</v>
      </c>
      <c r="D90" s="24" t="s">
        <v>397</v>
      </c>
      <c r="E90" s="24" t="s">
        <v>547</v>
      </c>
      <c r="F90" s="27" t="s">
        <v>63</v>
      </c>
      <c r="G90" s="56">
        <f>' первое чтение вед стр-ра'!G49+' первое чтение вед стр-ра'!G169+' первое чтение вед стр-ра'!G262+' первое чтение вед стр-ра'!G283+' первое чтение вед стр-ра'!G324+' первое чтение вед стр-ра'!G334+' первое чтение вед стр-ра'!G428+' первое чтение вед стр-ра'!G442+' первое чтение вед стр-ра'!G83</f>
        <v>18202.400000000001</v>
      </c>
      <c r="H90" s="56">
        <f>' первое чтение вед стр-ра'!H49+' первое чтение вед стр-ра'!H169+' первое чтение вед стр-ра'!H262+' первое чтение вед стр-ра'!H283+' первое чтение вед стр-ра'!H324+' первое чтение вед стр-ра'!H334+' первое чтение вед стр-ра'!H428+' первое чтение вед стр-ра'!H442+' первое чтение вед стр-ра'!H83</f>
        <v>2701.6000000000004</v>
      </c>
      <c r="I90" s="56">
        <f>' первое чтение вед стр-ра'!I49+' первое чтение вед стр-ра'!I169+' первое чтение вед стр-ра'!I262+' первое чтение вед стр-ра'!I283+' первое чтение вед стр-ра'!I324+' первое чтение вед стр-ра'!I334+' первое чтение вед стр-ра'!I428+' первое чтение вед стр-ра'!I442+' первое чтение вед стр-ра'!I83</f>
        <v>2701.6000000000004</v>
      </c>
    </row>
    <row r="91" spans="1:11" s="78" customFormat="1" x14ac:dyDescent="0.2">
      <c r="A91" s="83" t="s">
        <v>153</v>
      </c>
      <c r="B91" s="71" t="s">
        <v>14</v>
      </c>
      <c r="C91" s="71">
        <v>2</v>
      </c>
      <c r="D91" s="71" t="s">
        <v>397</v>
      </c>
      <c r="E91" s="71" t="s">
        <v>546</v>
      </c>
      <c r="F91" s="84"/>
      <c r="G91" s="85">
        <f>G92</f>
        <v>220</v>
      </c>
      <c r="H91" s="85">
        <f t="shared" ref="H91:I91" si="7">H92</f>
        <v>0</v>
      </c>
      <c r="I91" s="85">
        <f t="shared" si="7"/>
        <v>0</v>
      </c>
    </row>
    <row r="92" spans="1:11" s="78" customFormat="1" ht="25.5" x14ac:dyDescent="0.2">
      <c r="A92" s="74" t="s">
        <v>130</v>
      </c>
      <c r="B92" s="76" t="s">
        <v>14</v>
      </c>
      <c r="C92" s="76" t="s">
        <v>434</v>
      </c>
      <c r="D92" s="76" t="s">
        <v>397</v>
      </c>
      <c r="E92" s="76" t="s">
        <v>546</v>
      </c>
      <c r="F92" s="77" t="s">
        <v>63</v>
      </c>
      <c r="G92" s="56">
        <f>' первое чтение вед стр-ра'!G85</f>
        <v>220</v>
      </c>
      <c r="H92" s="56">
        <f>' первое чтение вед стр-ра'!H85</f>
        <v>0</v>
      </c>
      <c r="I92" s="56">
        <f>' первое чтение вед стр-ра'!I85</f>
        <v>0</v>
      </c>
    </row>
    <row r="93" spans="1:11" ht="25.5" x14ac:dyDescent="0.2">
      <c r="A93" s="17" t="s">
        <v>365</v>
      </c>
      <c r="B93" s="19" t="s">
        <v>14</v>
      </c>
      <c r="C93" s="19">
        <v>2</v>
      </c>
      <c r="D93" s="19" t="s">
        <v>397</v>
      </c>
      <c r="E93" s="19" t="s">
        <v>545</v>
      </c>
      <c r="F93" s="5"/>
      <c r="G93" s="6">
        <f>G94+G95</f>
        <v>35</v>
      </c>
      <c r="H93" s="6">
        <f t="shared" ref="H93:I93" si="8">H94+H95</f>
        <v>0</v>
      </c>
      <c r="I93" s="6">
        <f t="shared" si="8"/>
        <v>0</v>
      </c>
    </row>
    <row r="94" spans="1:11" x14ac:dyDescent="0.2">
      <c r="A94" s="28" t="s">
        <v>67</v>
      </c>
      <c r="B94" s="19" t="s">
        <v>14</v>
      </c>
      <c r="C94" s="19">
        <v>2</v>
      </c>
      <c r="D94" s="19" t="s">
        <v>397</v>
      </c>
      <c r="E94" s="19" t="s">
        <v>545</v>
      </c>
      <c r="F94" s="27" t="s">
        <v>68</v>
      </c>
      <c r="G94" s="25">
        <f>' первое чтение вед стр-ра'!G87</f>
        <v>0</v>
      </c>
      <c r="H94" s="25">
        <f>' первое чтение вед стр-ра'!H87</f>
        <v>0</v>
      </c>
      <c r="I94" s="25">
        <f>' первое чтение вед стр-ра'!I87</f>
        <v>0</v>
      </c>
    </row>
    <row r="95" spans="1:11" s="197" customFormat="1" ht="25.5" x14ac:dyDescent="0.2">
      <c r="A95" s="28" t="s">
        <v>130</v>
      </c>
      <c r="B95" s="19" t="s">
        <v>14</v>
      </c>
      <c r="C95" s="19" t="s">
        <v>434</v>
      </c>
      <c r="D95" s="19" t="s">
        <v>397</v>
      </c>
      <c r="E95" s="19" t="s">
        <v>545</v>
      </c>
      <c r="F95" s="27" t="s">
        <v>63</v>
      </c>
      <c r="G95" s="25">
        <f>' первое чтение вед стр-ра'!G88</f>
        <v>35</v>
      </c>
      <c r="H95" s="25">
        <f>' первое чтение вед стр-ра'!H88</f>
        <v>0</v>
      </c>
      <c r="I95" s="25">
        <f>' первое чтение вед стр-ра'!I88</f>
        <v>0</v>
      </c>
    </row>
    <row r="96" spans="1:11" s="73" customFormat="1" ht="38.25" x14ac:dyDescent="0.2">
      <c r="A96" s="140" t="s">
        <v>544</v>
      </c>
      <c r="B96" s="133" t="s">
        <v>14</v>
      </c>
      <c r="C96" s="133" t="s">
        <v>430</v>
      </c>
      <c r="D96" s="134"/>
      <c r="E96" s="134"/>
      <c r="F96" s="139"/>
      <c r="G96" s="132">
        <f>SUM(G97,G100)+G102</f>
        <v>8298.4</v>
      </c>
      <c r="H96" s="132">
        <f t="shared" ref="H96:I96" si="9">SUM(H97,H100)+H102</f>
        <v>7811.7999999999993</v>
      </c>
      <c r="I96" s="132">
        <f t="shared" si="9"/>
        <v>7811.7999999999993</v>
      </c>
    </row>
    <row r="97" spans="1:9" s="26" customFormat="1" ht="89.25" x14ac:dyDescent="0.2">
      <c r="A97" s="45" t="s">
        <v>144</v>
      </c>
      <c r="B97" s="19" t="s">
        <v>14</v>
      </c>
      <c r="C97" s="19">
        <v>3</v>
      </c>
      <c r="D97" s="19" t="s">
        <v>397</v>
      </c>
      <c r="E97" s="19" t="s">
        <v>543</v>
      </c>
      <c r="F97" s="19"/>
      <c r="G97" s="20">
        <f>G98+G99</f>
        <v>8019.5999999999995</v>
      </c>
      <c r="H97" s="20">
        <f>H98+H99</f>
        <v>7811.7999999999993</v>
      </c>
      <c r="I97" s="20">
        <f>I98+I99</f>
        <v>7811.7999999999993</v>
      </c>
    </row>
    <row r="98" spans="1:9" ht="51" x14ac:dyDescent="0.2">
      <c r="A98" s="30" t="s">
        <v>64</v>
      </c>
      <c r="B98" s="24" t="s">
        <v>14</v>
      </c>
      <c r="C98" s="24">
        <v>3</v>
      </c>
      <c r="D98" s="24" t="s">
        <v>397</v>
      </c>
      <c r="E98" s="19" t="s">
        <v>543</v>
      </c>
      <c r="F98" s="27" t="s">
        <v>65</v>
      </c>
      <c r="G98" s="25">
        <f>' первое чтение вед стр-ра'!G63</f>
        <v>7757.7999999999993</v>
      </c>
      <c r="H98" s="25">
        <f>' первое чтение вед стр-ра'!H63</f>
        <v>7757.7999999999993</v>
      </c>
      <c r="I98" s="25">
        <f>' первое чтение вед стр-ра'!I63</f>
        <v>7757.7999999999993</v>
      </c>
    </row>
    <row r="99" spans="1:9" s="78" customFormat="1" ht="25.5" x14ac:dyDescent="0.2">
      <c r="A99" s="74" t="s">
        <v>400</v>
      </c>
      <c r="B99" s="76" t="s">
        <v>14</v>
      </c>
      <c r="C99" s="76">
        <v>3</v>
      </c>
      <c r="D99" s="76" t="s">
        <v>397</v>
      </c>
      <c r="E99" s="71" t="s">
        <v>543</v>
      </c>
      <c r="F99" s="77" t="s">
        <v>66</v>
      </c>
      <c r="G99" s="25">
        <f>' первое чтение вед стр-ра'!G64</f>
        <v>261.8</v>
      </c>
      <c r="H99" s="25">
        <f>' первое чтение вед стр-ра'!H64</f>
        <v>54</v>
      </c>
      <c r="I99" s="25">
        <f>' первое чтение вед стр-ра'!I64</f>
        <v>54</v>
      </c>
    </row>
    <row r="100" spans="1:9" s="68" customFormat="1" ht="51" x14ac:dyDescent="0.2">
      <c r="A100" s="88" t="s">
        <v>145</v>
      </c>
      <c r="B100" s="71" t="s">
        <v>14</v>
      </c>
      <c r="C100" s="71">
        <v>3</v>
      </c>
      <c r="D100" s="71" t="s">
        <v>397</v>
      </c>
      <c r="E100" s="71" t="s">
        <v>542</v>
      </c>
      <c r="F100" s="71"/>
      <c r="G100" s="72">
        <f>G101</f>
        <v>228.8</v>
      </c>
      <c r="H100" s="72">
        <f>H101</f>
        <v>0</v>
      </c>
      <c r="I100" s="72">
        <f>I101</f>
        <v>0</v>
      </c>
    </row>
    <row r="101" spans="1:9" s="78" customFormat="1" ht="25.5" x14ac:dyDescent="0.2">
      <c r="A101" s="74" t="s">
        <v>400</v>
      </c>
      <c r="B101" s="76" t="s">
        <v>14</v>
      </c>
      <c r="C101" s="76">
        <v>3</v>
      </c>
      <c r="D101" s="76" t="s">
        <v>397</v>
      </c>
      <c r="E101" s="76" t="s">
        <v>542</v>
      </c>
      <c r="F101" s="77" t="s">
        <v>66</v>
      </c>
      <c r="G101" s="56">
        <f>' первое чтение вед стр-ра'!G66</f>
        <v>228.8</v>
      </c>
      <c r="H101" s="56">
        <f>' первое чтение вед стр-ра'!H66</f>
        <v>0</v>
      </c>
      <c r="I101" s="56">
        <f>' первое чтение вед стр-ра'!I66</f>
        <v>0</v>
      </c>
    </row>
    <row r="102" spans="1:9" s="68" customFormat="1" ht="25.5" x14ac:dyDescent="0.2">
      <c r="A102" s="69" t="s">
        <v>749</v>
      </c>
      <c r="B102" s="71" t="s">
        <v>14</v>
      </c>
      <c r="C102" s="71">
        <v>3</v>
      </c>
      <c r="D102" s="71" t="s">
        <v>397</v>
      </c>
      <c r="E102" s="71" t="s">
        <v>697</v>
      </c>
      <c r="F102" s="71"/>
      <c r="G102" s="72">
        <f>G103</f>
        <v>50</v>
      </c>
      <c r="H102" s="72">
        <f>H103</f>
        <v>0</v>
      </c>
      <c r="I102" s="72">
        <f>I103</f>
        <v>0</v>
      </c>
    </row>
    <row r="103" spans="1:9" s="78" customFormat="1" ht="25.5" x14ac:dyDescent="0.2">
      <c r="A103" s="74" t="s">
        <v>400</v>
      </c>
      <c r="B103" s="76" t="s">
        <v>14</v>
      </c>
      <c r="C103" s="76">
        <v>3</v>
      </c>
      <c r="D103" s="76" t="s">
        <v>397</v>
      </c>
      <c r="E103" s="76" t="s">
        <v>697</v>
      </c>
      <c r="F103" s="77" t="s">
        <v>66</v>
      </c>
      <c r="G103" s="56">
        <f>' первое чтение вед стр-ра'!G606</f>
        <v>50</v>
      </c>
      <c r="H103" s="56">
        <f>' первое чтение вед стр-ра'!H606</f>
        <v>0</v>
      </c>
      <c r="I103" s="56">
        <f>' первое чтение вед стр-ра'!I606</f>
        <v>0</v>
      </c>
    </row>
    <row r="104" spans="1:9" s="9" customFormat="1" ht="38.25" x14ac:dyDescent="0.2">
      <c r="A104" s="137" t="s">
        <v>541</v>
      </c>
      <c r="B104" s="40" t="s">
        <v>16</v>
      </c>
      <c r="C104" s="40"/>
      <c r="D104" s="40"/>
      <c r="E104" s="40"/>
      <c r="F104" s="141"/>
      <c r="G104" s="38">
        <f>SUM(G105,G120,G123,G142,G151)</f>
        <v>660472.43014999991</v>
      </c>
      <c r="H104" s="38">
        <f>SUM(H105,H120,H123,H142,H151)</f>
        <v>566317.16</v>
      </c>
      <c r="I104" s="38">
        <f>SUM(I105,I120,I123,I142,I151)</f>
        <v>828215.33200000005</v>
      </c>
    </row>
    <row r="105" spans="1:9" s="26" customFormat="1" ht="38.25" x14ac:dyDescent="0.2">
      <c r="A105" s="136" t="s">
        <v>540</v>
      </c>
      <c r="B105" s="107" t="s">
        <v>16</v>
      </c>
      <c r="C105" s="130" t="s">
        <v>439</v>
      </c>
      <c r="D105" s="130"/>
      <c r="E105" s="130"/>
      <c r="F105" s="147"/>
      <c r="G105" s="129">
        <f>SUM(G106,G112,G116)+G108+G118+G114+G110</f>
        <v>106963.7</v>
      </c>
      <c r="H105" s="129">
        <f>SUM(H106,H112,H116)+H108+H118+H114+H110</f>
        <v>104684.5</v>
      </c>
      <c r="I105" s="129">
        <f>SUM(I106,I112,I116)+I108+I118+I114+I110</f>
        <v>106825.5</v>
      </c>
    </row>
    <row r="106" spans="1:9" s="26" customFormat="1" ht="38.25" x14ac:dyDescent="0.2">
      <c r="A106" s="18" t="s">
        <v>309</v>
      </c>
      <c r="B106" s="19" t="s">
        <v>16</v>
      </c>
      <c r="C106" s="19">
        <v>1</v>
      </c>
      <c r="D106" s="19" t="s">
        <v>397</v>
      </c>
      <c r="E106" s="19" t="s">
        <v>539</v>
      </c>
      <c r="F106" s="19"/>
      <c r="G106" s="20">
        <f>G107</f>
        <v>2000</v>
      </c>
      <c r="H106" s="20">
        <f>H107</f>
        <v>0</v>
      </c>
      <c r="I106" s="20">
        <f>I107</f>
        <v>0</v>
      </c>
    </row>
    <row r="107" spans="1:9" ht="25.5" x14ac:dyDescent="0.2">
      <c r="A107" s="28" t="s">
        <v>80</v>
      </c>
      <c r="B107" s="24" t="s">
        <v>16</v>
      </c>
      <c r="C107" s="24">
        <v>1</v>
      </c>
      <c r="D107" s="24" t="s">
        <v>397</v>
      </c>
      <c r="E107" s="24" t="s">
        <v>539</v>
      </c>
      <c r="F107" s="24" t="s">
        <v>69</v>
      </c>
      <c r="G107" s="25">
        <f>' первое чтение вед стр-ра'!G139+' первое чтение вед стр-ра'!G227</f>
        <v>2000</v>
      </c>
      <c r="H107" s="25">
        <f>' первое чтение вед стр-ра'!H139+' первое чтение вед стр-ра'!H227</f>
        <v>0</v>
      </c>
      <c r="I107" s="25">
        <f>' первое чтение вед стр-ра'!I139+' первое чтение вед стр-ра'!I227</f>
        <v>0</v>
      </c>
    </row>
    <row r="108" spans="1:9" ht="51" x14ac:dyDescent="0.2">
      <c r="A108" s="18" t="s">
        <v>338</v>
      </c>
      <c r="B108" s="19" t="s">
        <v>16</v>
      </c>
      <c r="C108" s="19">
        <v>1</v>
      </c>
      <c r="D108" s="19" t="s">
        <v>397</v>
      </c>
      <c r="E108" s="19" t="s">
        <v>538</v>
      </c>
      <c r="F108" s="19"/>
      <c r="G108" s="20">
        <f>G109</f>
        <v>654.70000000000005</v>
      </c>
      <c r="H108" s="20">
        <f>H109</f>
        <v>0</v>
      </c>
      <c r="I108" s="20">
        <f>I109</f>
        <v>654.70000000000005</v>
      </c>
    </row>
    <row r="109" spans="1:9" ht="25.5" x14ac:dyDescent="0.2">
      <c r="A109" s="28" t="s">
        <v>80</v>
      </c>
      <c r="B109" s="24" t="s">
        <v>16</v>
      </c>
      <c r="C109" s="24">
        <v>1</v>
      </c>
      <c r="D109" s="24" t="s">
        <v>397</v>
      </c>
      <c r="E109" s="24" t="s">
        <v>538</v>
      </c>
      <c r="F109" s="24" t="s">
        <v>69</v>
      </c>
      <c r="G109" s="25">
        <f>' первое чтение вед стр-ра'!G131</f>
        <v>654.70000000000005</v>
      </c>
      <c r="H109" s="25">
        <f>' первое чтение вед стр-ра'!H131</f>
        <v>0</v>
      </c>
      <c r="I109" s="25">
        <f>' первое чтение вед стр-ра'!I131</f>
        <v>654.70000000000005</v>
      </c>
    </row>
    <row r="110" spans="1:9" s="26" customFormat="1" ht="49.5" customHeight="1" x14ac:dyDescent="0.2">
      <c r="A110" s="18" t="s">
        <v>362</v>
      </c>
      <c r="B110" s="19" t="s">
        <v>16</v>
      </c>
      <c r="C110" s="19">
        <v>1</v>
      </c>
      <c r="D110" s="19" t="s">
        <v>397</v>
      </c>
      <c r="E110" s="19" t="s">
        <v>537</v>
      </c>
      <c r="F110" s="19"/>
      <c r="G110" s="20">
        <f>G111</f>
        <v>0</v>
      </c>
      <c r="H110" s="20">
        <f>H111</f>
        <v>0</v>
      </c>
      <c r="I110" s="20">
        <f>I111</f>
        <v>0</v>
      </c>
    </row>
    <row r="111" spans="1:9" s="26" customFormat="1" ht="25.5" customHeight="1" x14ac:dyDescent="0.2">
      <c r="A111" s="28" t="s">
        <v>67</v>
      </c>
      <c r="B111" s="19" t="s">
        <v>16</v>
      </c>
      <c r="C111" s="19">
        <v>1</v>
      </c>
      <c r="D111" s="19" t="s">
        <v>397</v>
      </c>
      <c r="E111" s="19" t="s">
        <v>537</v>
      </c>
      <c r="F111" s="19" t="s">
        <v>68</v>
      </c>
      <c r="G111" s="20">
        <f>' первое чтение вед стр-ра'!G133</f>
        <v>0</v>
      </c>
      <c r="H111" s="20">
        <f>' первое чтение вед стр-ра'!H133</f>
        <v>0</v>
      </c>
      <c r="I111" s="20">
        <f>' первое чтение вед стр-ра'!I133</f>
        <v>0</v>
      </c>
    </row>
    <row r="112" spans="1:9" s="26" customFormat="1" ht="49.5" customHeight="1" x14ac:dyDescent="0.2">
      <c r="A112" s="18" t="s">
        <v>536</v>
      </c>
      <c r="B112" s="19" t="s">
        <v>16</v>
      </c>
      <c r="C112" s="19">
        <v>1</v>
      </c>
      <c r="D112" s="19" t="s">
        <v>397</v>
      </c>
      <c r="E112" s="19">
        <v>51350</v>
      </c>
      <c r="F112" s="19"/>
      <c r="G112" s="20">
        <f>G113</f>
        <v>2618.5</v>
      </c>
      <c r="H112" s="20">
        <f>H113</f>
        <v>0</v>
      </c>
      <c r="I112" s="20">
        <f>I113</f>
        <v>1309.3</v>
      </c>
    </row>
    <row r="113" spans="1:9" s="26" customFormat="1" ht="25.5" customHeight="1" x14ac:dyDescent="0.2">
      <c r="A113" s="28" t="s">
        <v>67</v>
      </c>
      <c r="B113" s="19" t="s">
        <v>16</v>
      </c>
      <c r="C113" s="19">
        <v>1</v>
      </c>
      <c r="D113" s="19" t="s">
        <v>397</v>
      </c>
      <c r="E113" s="19">
        <v>51350</v>
      </c>
      <c r="F113" s="19" t="s">
        <v>68</v>
      </c>
      <c r="G113" s="20">
        <f>' первое чтение вед стр-ра'!G135</f>
        <v>2618.5</v>
      </c>
      <c r="H113" s="20">
        <f>' первое чтение вед стр-ра'!H135</f>
        <v>0</v>
      </c>
      <c r="I113" s="20">
        <f>' первое чтение вед стр-ра'!I135</f>
        <v>1309.3</v>
      </c>
    </row>
    <row r="114" spans="1:9" s="26" customFormat="1" ht="30.75" customHeight="1" x14ac:dyDescent="0.2">
      <c r="A114" s="18" t="s">
        <v>319</v>
      </c>
      <c r="B114" s="19" t="s">
        <v>16</v>
      </c>
      <c r="C114" s="19">
        <v>1</v>
      </c>
      <c r="D114" s="19" t="s">
        <v>397</v>
      </c>
      <c r="E114" s="19" t="s">
        <v>535</v>
      </c>
      <c r="F114" s="19"/>
      <c r="G114" s="20">
        <f>G115</f>
        <v>19433.5</v>
      </c>
      <c r="H114" s="20">
        <f>H115</f>
        <v>19433.5</v>
      </c>
      <c r="I114" s="20">
        <f>I115</f>
        <v>19433.5</v>
      </c>
    </row>
    <row r="115" spans="1:9" ht="25.5" x14ac:dyDescent="0.2">
      <c r="A115" s="28" t="s">
        <v>80</v>
      </c>
      <c r="B115" s="24" t="s">
        <v>16</v>
      </c>
      <c r="C115" s="24">
        <v>1</v>
      </c>
      <c r="D115" s="24" t="s">
        <v>397</v>
      </c>
      <c r="E115" s="24" t="s">
        <v>535</v>
      </c>
      <c r="F115" s="24" t="s">
        <v>69</v>
      </c>
      <c r="G115" s="25">
        <f>' первое чтение вед стр-ра'!G137</f>
        <v>19433.5</v>
      </c>
      <c r="H115" s="25">
        <f>' первое чтение вед стр-ра'!H137</f>
        <v>19433.5</v>
      </c>
      <c r="I115" s="25">
        <f>' первое чтение вед стр-ра'!I137</f>
        <v>19433.5</v>
      </c>
    </row>
    <row r="116" spans="1:9" s="26" customFormat="1" ht="38.25" x14ac:dyDescent="0.2">
      <c r="A116" s="18" t="s">
        <v>204</v>
      </c>
      <c r="B116" s="19" t="s">
        <v>16</v>
      </c>
      <c r="C116" s="19">
        <v>1</v>
      </c>
      <c r="D116" s="19" t="s">
        <v>397</v>
      </c>
      <c r="E116" s="19" t="s">
        <v>534</v>
      </c>
      <c r="F116" s="19"/>
      <c r="G116" s="20">
        <f>G117</f>
        <v>23875</v>
      </c>
      <c r="H116" s="20">
        <f>H117</f>
        <v>26869</v>
      </c>
      <c r="I116" s="20">
        <f>I117</f>
        <v>27046</v>
      </c>
    </row>
    <row r="117" spans="1:9" ht="25.5" x14ac:dyDescent="0.2">
      <c r="A117" s="28" t="s">
        <v>80</v>
      </c>
      <c r="B117" s="19" t="s">
        <v>16</v>
      </c>
      <c r="C117" s="19">
        <v>1</v>
      </c>
      <c r="D117" s="19" t="s">
        <v>397</v>
      </c>
      <c r="E117" s="19" t="s">
        <v>534</v>
      </c>
      <c r="F117" s="24" t="s">
        <v>69</v>
      </c>
      <c r="G117" s="25">
        <f>' первое чтение вед стр-ра'!G230</f>
        <v>23875</v>
      </c>
      <c r="H117" s="25">
        <f>' первое чтение вед стр-ра'!H230</f>
        <v>26869</v>
      </c>
      <c r="I117" s="25">
        <f>' первое чтение вед стр-ра'!I230</f>
        <v>27046</v>
      </c>
    </row>
    <row r="118" spans="1:9" ht="38.25" x14ac:dyDescent="0.2">
      <c r="A118" s="18" t="s">
        <v>204</v>
      </c>
      <c r="B118" s="19" t="s">
        <v>16</v>
      </c>
      <c r="C118" s="19">
        <v>1</v>
      </c>
      <c r="D118" s="19" t="s">
        <v>397</v>
      </c>
      <c r="E118" s="19" t="s">
        <v>533</v>
      </c>
      <c r="F118" s="19"/>
      <c r="G118" s="20">
        <f>G119</f>
        <v>58382</v>
      </c>
      <c r="H118" s="20">
        <f>H119</f>
        <v>58382</v>
      </c>
      <c r="I118" s="20">
        <f>I119</f>
        <v>58382</v>
      </c>
    </row>
    <row r="119" spans="1:9" s="73" customFormat="1" ht="25.5" x14ac:dyDescent="0.2">
      <c r="A119" s="81" t="s">
        <v>80</v>
      </c>
      <c r="B119" s="71" t="s">
        <v>16</v>
      </c>
      <c r="C119" s="71">
        <v>1</v>
      </c>
      <c r="D119" s="71" t="s">
        <v>397</v>
      </c>
      <c r="E119" s="71" t="s">
        <v>533</v>
      </c>
      <c r="F119" s="76" t="s">
        <v>69</v>
      </c>
      <c r="G119" s="56">
        <f>' первое чтение вед стр-ра'!G232</f>
        <v>58382</v>
      </c>
      <c r="H119" s="56">
        <f>' первое чтение вед стр-ра'!H232</f>
        <v>58382</v>
      </c>
      <c r="I119" s="56">
        <f>' первое чтение вед стр-ра'!I232</f>
        <v>58382</v>
      </c>
    </row>
    <row r="120" spans="1:9" s="73" customFormat="1" x14ac:dyDescent="0.2">
      <c r="A120" s="135" t="s">
        <v>532</v>
      </c>
      <c r="B120" s="133" t="s">
        <v>16</v>
      </c>
      <c r="C120" s="134" t="s">
        <v>434</v>
      </c>
      <c r="D120" s="134"/>
      <c r="E120" s="134"/>
      <c r="F120" s="133"/>
      <c r="G120" s="132">
        <f t="shared" ref="G120:I121" si="10">G121</f>
        <v>4352.7843400000002</v>
      </c>
      <c r="H120" s="132">
        <f t="shared" si="10"/>
        <v>1966.3</v>
      </c>
      <c r="I120" s="132">
        <f t="shared" si="10"/>
        <v>1966.3</v>
      </c>
    </row>
    <row r="121" spans="1:9" s="78" customFormat="1" x14ac:dyDescent="0.2">
      <c r="A121" s="69" t="s">
        <v>347</v>
      </c>
      <c r="B121" s="71" t="s">
        <v>16</v>
      </c>
      <c r="C121" s="71">
        <v>2</v>
      </c>
      <c r="D121" s="71" t="s">
        <v>397</v>
      </c>
      <c r="E121" s="71" t="s">
        <v>531</v>
      </c>
      <c r="F121" s="71"/>
      <c r="G121" s="72">
        <f t="shared" si="10"/>
        <v>4352.7843400000002</v>
      </c>
      <c r="H121" s="72">
        <f t="shared" si="10"/>
        <v>1966.3</v>
      </c>
      <c r="I121" s="72">
        <f t="shared" si="10"/>
        <v>1966.3</v>
      </c>
    </row>
    <row r="122" spans="1:9" s="73" customFormat="1" x14ac:dyDescent="0.2">
      <c r="A122" s="81" t="s">
        <v>67</v>
      </c>
      <c r="B122" s="76" t="s">
        <v>16</v>
      </c>
      <c r="C122" s="76">
        <v>2</v>
      </c>
      <c r="D122" s="76" t="s">
        <v>397</v>
      </c>
      <c r="E122" s="76" t="s">
        <v>531</v>
      </c>
      <c r="F122" s="143">
        <v>300</v>
      </c>
      <c r="G122" s="56">
        <f>' первое чтение вед стр-ра'!G141</f>
        <v>4352.7843400000002</v>
      </c>
      <c r="H122" s="56">
        <f>' первое чтение вед стр-ра'!H141</f>
        <v>1966.3</v>
      </c>
      <c r="I122" s="56">
        <f>' первое чтение вед стр-ра'!I141</f>
        <v>1966.3</v>
      </c>
    </row>
    <row r="123" spans="1:9" s="68" customFormat="1" ht="25.5" x14ac:dyDescent="0.2">
      <c r="A123" s="135" t="s">
        <v>530</v>
      </c>
      <c r="B123" s="133" t="s">
        <v>16</v>
      </c>
      <c r="C123" s="133" t="s">
        <v>430</v>
      </c>
      <c r="D123" s="133"/>
      <c r="E123" s="133"/>
      <c r="F123" s="146"/>
      <c r="G123" s="132">
        <f>SUM(G136)+G140+G124</f>
        <v>525278.10580999998</v>
      </c>
      <c r="H123" s="132">
        <f>SUM(H136)+H140+H124</f>
        <v>440019.45999999996</v>
      </c>
      <c r="I123" s="132">
        <f>SUM(I136)+I140+I124</f>
        <v>699776.63199999998</v>
      </c>
    </row>
    <row r="124" spans="1:9" s="68" customFormat="1" ht="25.5" x14ac:dyDescent="0.2">
      <c r="A124" s="69" t="s">
        <v>611</v>
      </c>
      <c r="B124" s="76" t="s">
        <v>16</v>
      </c>
      <c r="C124" s="76" t="s">
        <v>430</v>
      </c>
      <c r="D124" s="76" t="s">
        <v>612</v>
      </c>
      <c r="E124" s="133"/>
      <c r="F124" s="146"/>
      <c r="G124" s="72">
        <f>G128+G125+G138+G131+G133</f>
        <v>183106.70580999998</v>
      </c>
      <c r="H124" s="72">
        <f>H128+H125+H138</f>
        <v>167110.96</v>
      </c>
      <c r="I124" s="72">
        <f>I128+I125+I138</f>
        <v>83344.032000000007</v>
      </c>
    </row>
    <row r="125" spans="1:9" s="68" customFormat="1" ht="51" x14ac:dyDescent="0.2">
      <c r="A125" s="69" t="s">
        <v>746</v>
      </c>
      <c r="B125" s="71" t="s">
        <v>16</v>
      </c>
      <c r="C125" s="71">
        <v>3</v>
      </c>
      <c r="D125" s="76" t="s">
        <v>612</v>
      </c>
      <c r="E125" s="71" t="s">
        <v>742</v>
      </c>
      <c r="F125" s="146"/>
      <c r="G125" s="72">
        <f>G126+G127</f>
        <v>175340.65198</v>
      </c>
      <c r="H125" s="72">
        <f t="shared" ref="H125:I125" si="11">H126+H127</f>
        <v>140373.2064</v>
      </c>
      <c r="I125" s="72">
        <f t="shared" si="11"/>
        <v>0</v>
      </c>
    </row>
    <row r="126" spans="1:9" s="68" customFormat="1" ht="25.5" x14ac:dyDescent="0.2">
      <c r="A126" s="81" t="s">
        <v>80</v>
      </c>
      <c r="B126" s="71" t="s">
        <v>16</v>
      </c>
      <c r="C126" s="71">
        <v>3</v>
      </c>
      <c r="D126" s="76" t="s">
        <v>612</v>
      </c>
      <c r="E126" s="76" t="s">
        <v>742</v>
      </c>
      <c r="F126" s="143">
        <v>400</v>
      </c>
      <c r="G126" s="56">
        <f>' первое чтение вед стр-ра'!G107</f>
        <v>85831.981480000002</v>
      </c>
      <c r="H126" s="56">
        <f>' первое чтение вед стр-ра'!H107</f>
        <v>72661.518339999995</v>
      </c>
      <c r="I126" s="56">
        <f>' первое чтение вед стр-ра'!I107</f>
        <v>0</v>
      </c>
    </row>
    <row r="127" spans="1:9" s="68" customFormat="1" x14ac:dyDescent="0.2">
      <c r="A127" s="81" t="s">
        <v>70</v>
      </c>
      <c r="B127" s="71" t="s">
        <v>16</v>
      </c>
      <c r="C127" s="71">
        <v>3</v>
      </c>
      <c r="D127" s="76" t="s">
        <v>612</v>
      </c>
      <c r="E127" s="76" t="s">
        <v>742</v>
      </c>
      <c r="F127" s="143">
        <v>800</v>
      </c>
      <c r="G127" s="56">
        <f>' первое чтение вед стр-ра'!G108</f>
        <v>89508.670499999993</v>
      </c>
      <c r="H127" s="56">
        <f>' первое чтение вед стр-ра'!H108</f>
        <v>67711.68806</v>
      </c>
      <c r="I127" s="56">
        <f>' первое чтение вед стр-ра'!I108</f>
        <v>0</v>
      </c>
    </row>
    <row r="128" spans="1:9" s="68" customFormat="1" ht="63.75" x14ac:dyDescent="0.2">
      <c r="A128" s="69" t="s">
        <v>747</v>
      </c>
      <c r="B128" s="71" t="s">
        <v>16</v>
      </c>
      <c r="C128" s="71">
        <v>3</v>
      </c>
      <c r="D128" s="76" t="s">
        <v>612</v>
      </c>
      <c r="E128" s="71" t="s">
        <v>743</v>
      </c>
      <c r="F128" s="146"/>
      <c r="G128" s="72">
        <f>G129+G130</f>
        <v>4335.3439099999996</v>
      </c>
      <c r="H128" s="72">
        <f t="shared" ref="H128:I128" si="12">H129+H130</f>
        <v>26737.7536</v>
      </c>
      <c r="I128" s="72">
        <f t="shared" si="12"/>
        <v>83344.032000000007</v>
      </c>
    </row>
    <row r="129" spans="1:9" s="68" customFormat="1" ht="25.5" x14ac:dyDescent="0.2">
      <c r="A129" s="81" t="s">
        <v>80</v>
      </c>
      <c r="B129" s="71" t="s">
        <v>16</v>
      </c>
      <c r="C129" s="71">
        <v>3</v>
      </c>
      <c r="D129" s="76" t="s">
        <v>612</v>
      </c>
      <c r="E129" s="76" t="s">
        <v>743</v>
      </c>
      <c r="F129" s="143">
        <v>400</v>
      </c>
      <c r="G129" s="56">
        <f>' первое чтение вед стр-ра'!G110</f>
        <v>2106.9</v>
      </c>
      <c r="H129" s="56">
        <f>' первое чтение вед стр-ра'!H110</f>
        <v>13576</v>
      </c>
      <c r="I129" s="56">
        <f>' первое чтение вед стр-ра'!I110</f>
        <v>41849.699999999997</v>
      </c>
    </row>
    <row r="130" spans="1:9" s="68" customFormat="1" x14ac:dyDescent="0.2">
      <c r="A130" s="81" t="s">
        <v>70</v>
      </c>
      <c r="B130" s="71" t="s">
        <v>16</v>
      </c>
      <c r="C130" s="71">
        <v>3</v>
      </c>
      <c r="D130" s="76" t="s">
        <v>612</v>
      </c>
      <c r="E130" s="76" t="s">
        <v>743</v>
      </c>
      <c r="F130" s="143">
        <v>800</v>
      </c>
      <c r="G130" s="56">
        <f>' первое чтение вед стр-ра'!G111</f>
        <v>2228.44391</v>
      </c>
      <c r="H130" s="56">
        <f>' первое чтение вед стр-ра'!H111</f>
        <v>13161.7536</v>
      </c>
      <c r="I130" s="56">
        <f>' первое чтение вед стр-ра'!I111</f>
        <v>41494.332000000002</v>
      </c>
    </row>
    <row r="131" spans="1:9" s="68" customFormat="1" ht="51" x14ac:dyDescent="0.2">
      <c r="A131" s="69" t="s">
        <v>765</v>
      </c>
      <c r="B131" s="71" t="s">
        <v>16</v>
      </c>
      <c r="C131" s="71">
        <v>3</v>
      </c>
      <c r="D131" s="76" t="s">
        <v>612</v>
      </c>
      <c r="E131" s="71" t="s">
        <v>768</v>
      </c>
      <c r="F131" s="146"/>
      <c r="G131" s="72">
        <f>G132</f>
        <v>167.57162</v>
      </c>
      <c r="H131" s="72">
        <f t="shared" ref="H131:I131" si="13">H132</f>
        <v>0</v>
      </c>
      <c r="I131" s="72">
        <f t="shared" si="13"/>
        <v>0</v>
      </c>
    </row>
    <row r="132" spans="1:9" s="68" customFormat="1" ht="25.5" x14ac:dyDescent="0.2">
      <c r="A132" s="81" t="s">
        <v>80</v>
      </c>
      <c r="B132" s="71" t="s">
        <v>16</v>
      </c>
      <c r="C132" s="71">
        <v>3</v>
      </c>
      <c r="D132" s="76" t="s">
        <v>612</v>
      </c>
      <c r="E132" s="76" t="s">
        <v>768</v>
      </c>
      <c r="F132" s="143">
        <v>400</v>
      </c>
      <c r="G132" s="56">
        <f>' первое чтение вед стр-ра'!G115</f>
        <v>167.57162</v>
      </c>
      <c r="H132" s="56">
        <f>' первое чтение вед стр-ра'!H115</f>
        <v>0</v>
      </c>
      <c r="I132" s="56">
        <f>' первое чтение вед стр-ра'!I115</f>
        <v>0</v>
      </c>
    </row>
    <row r="133" spans="1:9" s="68" customFormat="1" ht="51" x14ac:dyDescent="0.2">
      <c r="A133" s="69" t="s">
        <v>765</v>
      </c>
      <c r="B133" s="71" t="s">
        <v>16</v>
      </c>
      <c r="C133" s="71">
        <v>3</v>
      </c>
      <c r="D133" s="76" t="s">
        <v>612</v>
      </c>
      <c r="E133" s="71" t="s">
        <v>769</v>
      </c>
      <c r="F133" s="146"/>
      <c r="G133" s="72">
        <f>G134+G135</f>
        <v>1986.1383000000001</v>
      </c>
      <c r="H133" s="72">
        <f t="shared" ref="H133:I133" si="14">H134+H135</f>
        <v>0</v>
      </c>
      <c r="I133" s="72">
        <f t="shared" si="14"/>
        <v>0</v>
      </c>
    </row>
    <row r="134" spans="1:9" s="68" customFormat="1" ht="25.5" x14ac:dyDescent="0.2">
      <c r="A134" s="81" t="s">
        <v>80</v>
      </c>
      <c r="B134" s="71" t="s">
        <v>16</v>
      </c>
      <c r="C134" s="71">
        <v>3</v>
      </c>
      <c r="D134" s="76" t="s">
        <v>612</v>
      </c>
      <c r="E134" s="76" t="s">
        <v>769</v>
      </c>
      <c r="F134" s="143">
        <v>400</v>
      </c>
      <c r="G134" s="56">
        <f>' первое чтение вед стр-ра'!G117</f>
        <v>262.81376</v>
      </c>
      <c r="H134" s="56">
        <f>' первое чтение вед стр-ра'!H117</f>
        <v>0</v>
      </c>
      <c r="I134" s="56">
        <f>' первое чтение вед стр-ра'!I117</f>
        <v>0</v>
      </c>
    </row>
    <row r="135" spans="1:9" s="68" customFormat="1" x14ac:dyDescent="0.2">
      <c r="A135" s="81" t="s">
        <v>70</v>
      </c>
      <c r="B135" s="71" t="s">
        <v>16</v>
      </c>
      <c r="C135" s="71">
        <v>3</v>
      </c>
      <c r="D135" s="76" t="s">
        <v>612</v>
      </c>
      <c r="E135" s="76" t="s">
        <v>769</v>
      </c>
      <c r="F135" s="143">
        <v>800</v>
      </c>
      <c r="G135" s="56">
        <f>' первое чтение вед стр-ра'!G118</f>
        <v>1723.3245400000001</v>
      </c>
      <c r="H135" s="56">
        <f>' первое чтение вед стр-ра'!H118</f>
        <v>0</v>
      </c>
      <c r="I135" s="56">
        <f>' первое чтение вед стр-ра'!I118</f>
        <v>0</v>
      </c>
    </row>
    <row r="136" spans="1:9" s="73" customFormat="1" ht="25.5" x14ac:dyDescent="0.2">
      <c r="A136" s="69" t="s">
        <v>157</v>
      </c>
      <c r="B136" s="71" t="s">
        <v>16</v>
      </c>
      <c r="C136" s="71">
        <v>3</v>
      </c>
      <c r="D136" s="71" t="s">
        <v>397</v>
      </c>
      <c r="E136" s="71">
        <v>51560</v>
      </c>
      <c r="F136" s="71"/>
      <c r="G136" s="72">
        <f>G137</f>
        <v>340671.4</v>
      </c>
      <c r="H136" s="72">
        <f>H137</f>
        <v>272908.5</v>
      </c>
      <c r="I136" s="72">
        <f>I137</f>
        <v>616432.6</v>
      </c>
    </row>
    <row r="137" spans="1:9" s="78" customFormat="1" x14ac:dyDescent="0.2">
      <c r="A137" s="81" t="s">
        <v>67</v>
      </c>
      <c r="B137" s="76" t="s">
        <v>16</v>
      </c>
      <c r="C137" s="76">
        <v>3</v>
      </c>
      <c r="D137" s="76" t="s">
        <v>397</v>
      </c>
      <c r="E137" s="76">
        <v>51560</v>
      </c>
      <c r="F137" s="76" t="s">
        <v>68</v>
      </c>
      <c r="G137" s="56">
        <f>' первое чтение вед стр-ра'!G143</f>
        <v>340671.4</v>
      </c>
      <c r="H137" s="56">
        <f>' первое чтение вед стр-ра'!H143</f>
        <v>272908.5</v>
      </c>
      <c r="I137" s="56">
        <f>' первое чтение вед стр-ра'!I143</f>
        <v>616432.6</v>
      </c>
    </row>
    <row r="138" spans="1:9" s="78" customFormat="1" ht="51.75" customHeight="1" x14ac:dyDescent="0.2">
      <c r="A138" s="69" t="s">
        <v>747</v>
      </c>
      <c r="B138" s="76" t="s">
        <v>16</v>
      </c>
      <c r="C138" s="76" t="s">
        <v>430</v>
      </c>
      <c r="D138" s="76" t="s">
        <v>612</v>
      </c>
      <c r="E138" s="71" t="s">
        <v>745</v>
      </c>
      <c r="F138" s="77"/>
      <c r="G138" s="56">
        <f>G139</f>
        <v>1277</v>
      </c>
      <c r="H138" s="56">
        <v>0</v>
      </c>
      <c r="I138" s="56">
        <v>0</v>
      </c>
    </row>
    <row r="139" spans="1:9" s="78" customFormat="1" ht="25.5" x14ac:dyDescent="0.2">
      <c r="A139" s="81" t="s">
        <v>80</v>
      </c>
      <c r="B139" s="76" t="s">
        <v>16</v>
      </c>
      <c r="C139" s="76" t="s">
        <v>430</v>
      </c>
      <c r="D139" s="76" t="s">
        <v>612</v>
      </c>
      <c r="E139" s="76" t="s">
        <v>745</v>
      </c>
      <c r="F139" s="77" t="s">
        <v>69</v>
      </c>
      <c r="G139" s="56">
        <f>' первое чтение вед стр-ра'!G113</f>
        <v>1277</v>
      </c>
      <c r="H139" s="56">
        <f>' первое чтение вед стр-ра'!H113</f>
        <v>0</v>
      </c>
      <c r="I139" s="56">
        <f>' первое чтение вед стр-ра'!I113</f>
        <v>0</v>
      </c>
    </row>
    <row r="140" spans="1:9" s="26" customFormat="1" ht="25.5" x14ac:dyDescent="0.2">
      <c r="A140" s="18" t="s">
        <v>340</v>
      </c>
      <c r="B140" s="24" t="s">
        <v>16</v>
      </c>
      <c r="C140" s="24" t="s">
        <v>430</v>
      </c>
      <c r="D140" s="24" t="s">
        <v>397</v>
      </c>
      <c r="E140" s="24" t="s">
        <v>592</v>
      </c>
      <c r="F140" s="27"/>
      <c r="G140" s="25">
        <f>SUM(G141)</f>
        <v>1500</v>
      </c>
      <c r="H140" s="25">
        <f t="shared" ref="H140:I140" si="15">SUM(H141)</f>
        <v>0</v>
      </c>
      <c r="I140" s="25">
        <f t="shared" si="15"/>
        <v>0</v>
      </c>
    </row>
    <row r="141" spans="1:9" s="26" customFormat="1" ht="25.5" x14ac:dyDescent="0.2">
      <c r="A141" s="28" t="s">
        <v>74</v>
      </c>
      <c r="B141" s="24" t="s">
        <v>16</v>
      </c>
      <c r="C141" s="24" t="s">
        <v>430</v>
      </c>
      <c r="D141" s="24" t="s">
        <v>397</v>
      </c>
      <c r="E141" s="24" t="s">
        <v>592</v>
      </c>
      <c r="F141" s="27" t="s">
        <v>66</v>
      </c>
      <c r="G141" s="25">
        <f>' первое чтение вед стр-ра'!G633</f>
        <v>1500</v>
      </c>
      <c r="H141" s="25">
        <f>' первое чтение вед стр-ра'!H633</f>
        <v>0</v>
      </c>
      <c r="I141" s="25">
        <f>' первое чтение вед стр-ра'!I633</f>
        <v>0</v>
      </c>
    </row>
    <row r="142" spans="1:9" s="68" customFormat="1" x14ac:dyDescent="0.2">
      <c r="A142" s="135" t="s">
        <v>529</v>
      </c>
      <c r="B142" s="133" t="s">
        <v>16</v>
      </c>
      <c r="C142" s="133" t="s">
        <v>427</v>
      </c>
      <c r="D142" s="133"/>
      <c r="E142" s="133"/>
      <c r="F142" s="133"/>
      <c r="G142" s="132">
        <f>SUM(G143,)+G145+G149</f>
        <v>20968.740000000002</v>
      </c>
      <c r="H142" s="132">
        <f>SUM(H143,)+H145+H149</f>
        <v>19646.899999999998</v>
      </c>
      <c r="I142" s="132">
        <f>SUM(I143,)+I145+I149</f>
        <v>19646.899999999998</v>
      </c>
    </row>
    <row r="143" spans="1:9" x14ac:dyDescent="0.2">
      <c r="A143" s="18" t="s">
        <v>160</v>
      </c>
      <c r="B143" s="19" t="s">
        <v>16</v>
      </c>
      <c r="C143" s="19">
        <v>4</v>
      </c>
      <c r="D143" s="19" t="s">
        <v>397</v>
      </c>
      <c r="E143" s="19" t="s">
        <v>528</v>
      </c>
      <c r="F143" s="19"/>
      <c r="G143" s="20">
        <f>G144</f>
        <v>194.5</v>
      </c>
      <c r="H143" s="20">
        <f t="shared" ref="H143:I143" si="16">H144</f>
        <v>16812.599999999999</v>
      </c>
      <c r="I143" s="20">
        <f t="shared" si="16"/>
        <v>16812.599999999999</v>
      </c>
    </row>
    <row r="144" spans="1:9" s="9" customFormat="1" ht="25.5" x14ac:dyDescent="0.2">
      <c r="A144" s="28" t="s">
        <v>80</v>
      </c>
      <c r="B144" s="24" t="s">
        <v>16</v>
      </c>
      <c r="C144" s="24">
        <v>4</v>
      </c>
      <c r="D144" s="24" t="s">
        <v>397</v>
      </c>
      <c r="E144" s="24" t="s">
        <v>528</v>
      </c>
      <c r="F144" s="24" t="s">
        <v>69</v>
      </c>
      <c r="G144" s="25">
        <f>' первое чтение вед стр-ра'!G51+' первое чтение вед стр-ра'!G430+' первое чтение вед стр-ра'!G120</f>
        <v>194.5</v>
      </c>
      <c r="H144" s="25">
        <f>' первое чтение вед стр-ра'!H51+' первое чтение вед стр-ра'!H430+' первое чтение вед стр-ра'!H120</f>
        <v>16812.599999999999</v>
      </c>
      <c r="I144" s="25">
        <f>' первое чтение вед стр-ра'!I51+' первое чтение вед стр-ра'!I430+' первое чтение вед стр-ра'!I120</f>
        <v>16812.599999999999</v>
      </c>
    </row>
    <row r="145" spans="1:9" s="144" customFormat="1" x14ac:dyDescent="0.2">
      <c r="A145" s="18" t="s">
        <v>162</v>
      </c>
      <c r="B145" s="24" t="s">
        <v>16</v>
      </c>
      <c r="C145" s="24">
        <v>4</v>
      </c>
      <c r="D145" s="24" t="s">
        <v>397</v>
      </c>
      <c r="E145" s="24" t="s">
        <v>527</v>
      </c>
      <c r="F145" s="19"/>
      <c r="G145" s="20">
        <f>G146+G147+G148</f>
        <v>17722.04</v>
      </c>
      <c r="H145" s="20">
        <f t="shared" ref="H145:I145" si="17">H146+H147+H148</f>
        <v>0</v>
      </c>
      <c r="I145" s="20">
        <f t="shared" si="17"/>
        <v>0</v>
      </c>
    </row>
    <row r="146" spans="1:9" s="9" customFormat="1" ht="25.5" x14ac:dyDescent="0.2">
      <c r="A146" s="30" t="s">
        <v>400</v>
      </c>
      <c r="B146" s="24" t="s">
        <v>16</v>
      </c>
      <c r="C146" s="24">
        <v>4</v>
      </c>
      <c r="D146" s="24" t="s">
        <v>397</v>
      </c>
      <c r="E146" s="24" t="s">
        <v>527</v>
      </c>
      <c r="F146" s="27" t="s">
        <v>66</v>
      </c>
      <c r="G146" s="25">
        <f>' первое чтение вед стр-ра'!G122+' первое чтение вед стр-ра'!G444+' первое чтение вед стр-ра'!G171</f>
        <v>12801.4</v>
      </c>
      <c r="H146" s="25">
        <f>' первое чтение вед стр-ра'!H122+' первое чтение вед стр-ра'!H444</f>
        <v>0</v>
      </c>
      <c r="I146" s="25">
        <f>' первое чтение вед стр-ра'!I122+' первое чтение вед стр-ра'!I444</f>
        <v>0</v>
      </c>
    </row>
    <row r="147" spans="1:9" s="9" customFormat="1" ht="25.5" x14ac:dyDescent="0.2">
      <c r="A147" s="28" t="s">
        <v>80</v>
      </c>
      <c r="B147" s="24" t="s">
        <v>16</v>
      </c>
      <c r="C147" s="24">
        <v>4</v>
      </c>
      <c r="D147" s="24" t="s">
        <v>397</v>
      </c>
      <c r="E147" s="24" t="s">
        <v>527</v>
      </c>
      <c r="F147" s="24" t="s">
        <v>69</v>
      </c>
      <c r="G147" s="25">
        <f>' первое чтение вед стр-ра'!G123+' первое чтение вед стр-ра'!G172+' первое чтение вед стр-ра'!G264</f>
        <v>3931.94</v>
      </c>
      <c r="H147" s="25">
        <f>' первое чтение вед стр-ра'!H123+' первое чтение вед стр-ра'!H172+' первое чтение вед стр-ра'!H264</f>
        <v>0</v>
      </c>
      <c r="I147" s="25">
        <f>' первое чтение вед стр-ра'!I123+' первое чтение вед стр-ра'!I172+' первое чтение вед стр-ра'!I264</f>
        <v>0</v>
      </c>
    </row>
    <row r="148" spans="1:9" s="9" customFormat="1" ht="25.5" x14ac:dyDescent="0.2">
      <c r="A148" s="28" t="s">
        <v>130</v>
      </c>
      <c r="B148" s="24" t="s">
        <v>16</v>
      </c>
      <c r="C148" s="24">
        <v>4</v>
      </c>
      <c r="D148" s="24" t="s">
        <v>397</v>
      </c>
      <c r="E148" s="24" t="s">
        <v>527</v>
      </c>
      <c r="F148" s="24" t="s">
        <v>63</v>
      </c>
      <c r="G148" s="25">
        <f>' первое чтение вед стр-ра'!G53</f>
        <v>988.7</v>
      </c>
      <c r="H148" s="25">
        <f>' первое чтение вед стр-ра'!H53</f>
        <v>0</v>
      </c>
      <c r="I148" s="25">
        <f>' первое чтение вед стр-ра'!I53</f>
        <v>0</v>
      </c>
    </row>
    <row r="149" spans="1:9" s="68" customFormat="1" ht="38.25" x14ac:dyDescent="0.2">
      <c r="A149" s="69" t="s">
        <v>355</v>
      </c>
      <c r="B149" s="76" t="s">
        <v>16</v>
      </c>
      <c r="C149" s="76" t="s">
        <v>427</v>
      </c>
      <c r="D149" s="76" t="s">
        <v>397</v>
      </c>
      <c r="E149" s="76" t="s">
        <v>526</v>
      </c>
      <c r="F149" s="76"/>
      <c r="G149" s="56">
        <f>G150</f>
        <v>3052.2</v>
      </c>
      <c r="H149" s="56">
        <f>H150</f>
        <v>2834.3</v>
      </c>
      <c r="I149" s="56">
        <f>I150</f>
        <v>2834.3</v>
      </c>
    </row>
    <row r="150" spans="1:9" s="9" customFormat="1" ht="25.5" x14ac:dyDescent="0.2">
      <c r="A150" s="28" t="s">
        <v>130</v>
      </c>
      <c r="B150" s="24" t="s">
        <v>16</v>
      </c>
      <c r="C150" s="24" t="s">
        <v>427</v>
      </c>
      <c r="D150" s="24" t="s">
        <v>397</v>
      </c>
      <c r="E150" s="24" t="s">
        <v>526</v>
      </c>
      <c r="F150" s="24" t="s">
        <v>63</v>
      </c>
      <c r="G150" s="25">
        <f>' первое чтение вед стр-ра'!G68</f>
        <v>3052.2</v>
      </c>
      <c r="H150" s="25">
        <f>' первое чтение вед стр-ра'!H68</f>
        <v>2834.3</v>
      </c>
      <c r="I150" s="25">
        <f>' первое чтение вед стр-ра'!I68</f>
        <v>2834.3</v>
      </c>
    </row>
    <row r="151" spans="1:9" s="144" customFormat="1" x14ac:dyDescent="0.2">
      <c r="A151" s="131" t="s">
        <v>525</v>
      </c>
      <c r="B151" s="130" t="s">
        <v>16</v>
      </c>
      <c r="C151" s="130" t="s">
        <v>424</v>
      </c>
      <c r="D151" s="130"/>
      <c r="E151" s="130"/>
      <c r="F151" s="130"/>
      <c r="G151" s="129">
        <f>SUM(G152,G154)</f>
        <v>2909.1</v>
      </c>
      <c r="H151" s="129">
        <f>SUM(H152,H154)</f>
        <v>0</v>
      </c>
      <c r="I151" s="129">
        <f>SUM(I152,I154)</f>
        <v>0</v>
      </c>
    </row>
    <row r="152" spans="1:9" s="9" customFormat="1" x14ac:dyDescent="0.2">
      <c r="A152" s="18" t="s">
        <v>367</v>
      </c>
      <c r="B152" s="19" t="s">
        <v>16</v>
      </c>
      <c r="C152" s="19">
        <v>5</v>
      </c>
      <c r="D152" s="19" t="s">
        <v>397</v>
      </c>
      <c r="E152" s="19" t="s">
        <v>524</v>
      </c>
      <c r="F152" s="19"/>
      <c r="G152" s="20">
        <f>G153</f>
        <v>1708</v>
      </c>
      <c r="H152" s="20">
        <f>H153</f>
        <v>0</v>
      </c>
      <c r="I152" s="20">
        <f>I153</f>
        <v>0</v>
      </c>
    </row>
    <row r="153" spans="1:9" s="145" customFormat="1" ht="25.5" x14ac:dyDescent="0.2">
      <c r="A153" s="30" t="s">
        <v>400</v>
      </c>
      <c r="B153" s="76" t="s">
        <v>16</v>
      </c>
      <c r="C153" s="76">
        <v>5</v>
      </c>
      <c r="D153" s="76" t="s">
        <v>397</v>
      </c>
      <c r="E153" s="76" t="s">
        <v>524</v>
      </c>
      <c r="F153" s="76" t="s">
        <v>66</v>
      </c>
      <c r="G153" s="56">
        <f>' первое чтение вед стр-ра'!G631</f>
        <v>1708</v>
      </c>
      <c r="H153" s="56">
        <f>' первое чтение вед стр-ра'!H631</f>
        <v>0</v>
      </c>
      <c r="I153" s="56">
        <f>' первое чтение вед стр-ра'!I631</f>
        <v>0</v>
      </c>
    </row>
    <row r="154" spans="1:9" s="144" customFormat="1" ht="25.5" x14ac:dyDescent="0.2">
      <c r="A154" s="18" t="s">
        <v>202</v>
      </c>
      <c r="B154" s="19" t="s">
        <v>16</v>
      </c>
      <c r="C154" s="19">
        <v>5</v>
      </c>
      <c r="D154" s="19" t="s">
        <v>397</v>
      </c>
      <c r="E154" s="19" t="s">
        <v>523</v>
      </c>
      <c r="F154" s="19"/>
      <c r="G154" s="20">
        <f>G155</f>
        <v>1201.0999999999999</v>
      </c>
      <c r="H154" s="20">
        <f>H155</f>
        <v>0</v>
      </c>
      <c r="I154" s="20">
        <f>I155</f>
        <v>0</v>
      </c>
    </row>
    <row r="155" spans="1:9" s="9" customFormat="1" ht="25.5" x14ac:dyDescent="0.2">
      <c r="A155" s="30" t="s">
        <v>400</v>
      </c>
      <c r="B155" s="24" t="s">
        <v>16</v>
      </c>
      <c r="C155" s="24">
        <v>5</v>
      </c>
      <c r="D155" s="24" t="s">
        <v>397</v>
      </c>
      <c r="E155" s="24" t="s">
        <v>523</v>
      </c>
      <c r="F155" s="24" t="s">
        <v>66</v>
      </c>
      <c r="G155" s="25">
        <f>' первое чтение вед стр-ра'!G223</f>
        <v>1201.0999999999999</v>
      </c>
      <c r="H155" s="25">
        <f>' первое чтение вед стр-ра'!H223</f>
        <v>0</v>
      </c>
      <c r="I155" s="25">
        <f>' первое чтение вед стр-ра'!I223</f>
        <v>0</v>
      </c>
    </row>
    <row r="156" spans="1:9" ht="25.5" x14ac:dyDescent="0.2">
      <c r="A156" s="39" t="s">
        <v>522</v>
      </c>
      <c r="B156" s="40" t="s">
        <v>29</v>
      </c>
      <c r="C156" s="40"/>
      <c r="D156" s="40"/>
      <c r="E156" s="40"/>
      <c r="F156" s="40"/>
      <c r="G156" s="38">
        <f>SUM(G157,G231,G272)</f>
        <v>1323038.6000000003</v>
      </c>
      <c r="H156" s="38">
        <f t="shared" ref="H156:I156" si="18">SUM(H157,H231,H272)</f>
        <v>1237040.1000000003</v>
      </c>
      <c r="I156" s="38">
        <f t="shared" si="18"/>
        <v>1211554.7000000002</v>
      </c>
    </row>
    <row r="157" spans="1:9" s="73" customFormat="1" ht="38.25" x14ac:dyDescent="0.2">
      <c r="A157" s="135" t="s">
        <v>521</v>
      </c>
      <c r="B157" s="133" t="s">
        <v>29</v>
      </c>
      <c r="C157" s="133" t="s">
        <v>439</v>
      </c>
      <c r="D157" s="133"/>
      <c r="E157" s="133"/>
      <c r="F157" s="133"/>
      <c r="G157" s="132">
        <f>SUM(G158,G163,G167,G172,G175,G179,G182,G184,G186,G189,G201,G205,G209,G213)+G218+G215+G199+G193+G197+G170+G221+G195+G227+G229+G223+G225+G165</f>
        <v>1201310.0000000002</v>
      </c>
      <c r="H157" s="132">
        <f t="shared" ref="H157:I157" si="19">SUM(H158,H163,H167,H172,H175,H179,H182,H184,H186,H189,H201,H205,H209,H213)+H218+H215+H199+H193+H197+H170+H221+H195+H227+H229+H223+H225+H165</f>
        <v>1123664.5000000002</v>
      </c>
      <c r="I157" s="132">
        <f t="shared" si="19"/>
        <v>1098858.4000000001</v>
      </c>
    </row>
    <row r="158" spans="1:9" s="73" customFormat="1" ht="51" x14ac:dyDescent="0.2">
      <c r="A158" s="69" t="s">
        <v>312</v>
      </c>
      <c r="B158" s="71" t="s">
        <v>29</v>
      </c>
      <c r="C158" s="71">
        <v>1</v>
      </c>
      <c r="D158" s="71" t="s">
        <v>397</v>
      </c>
      <c r="E158" s="71" t="s">
        <v>520</v>
      </c>
      <c r="F158" s="71"/>
      <c r="G158" s="72">
        <f>G161+G160+G159+G162</f>
        <v>202807.69999999998</v>
      </c>
      <c r="H158" s="72">
        <f t="shared" ref="H158:I158" si="20">H161+H160+H159+H162</f>
        <v>175673.49999999997</v>
      </c>
      <c r="I158" s="72">
        <f t="shared" si="20"/>
        <v>166587.99999999997</v>
      </c>
    </row>
    <row r="159" spans="1:9" s="73" customFormat="1" ht="51" x14ac:dyDescent="0.2">
      <c r="A159" s="74" t="s">
        <v>64</v>
      </c>
      <c r="B159" s="76" t="s">
        <v>29</v>
      </c>
      <c r="C159" s="76">
        <v>1</v>
      </c>
      <c r="D159" s="76" t="s">
        <v>397</v>
      </c>
      <c r="E159" s="76" t="s">
        <v>520</v>
      </c>
      <c r="F159" s="77" t="s">
        <v>65</v>
      </c>
      <c r="G159" s="72">
        <f>' первое чтение вед стр-ра'!G270</f>
        <v>29924.9</v>
      </c>
      <c r="H159" s="72">
        <f>' первое чтение вед стр-ра'!H270</f>
        <v>29923.3</v>
      </c>
      <c r="I159" s="72">
        <f>' первое чтение вед стр-ра'!I270</f>
        <v>29923.3</v>
      </c>
    </row>
    <row r="160" spans="1:9" ht="25.5" x14ac:dyDescent="0.2">
      <c r="A160" s="30" t="s">
        <v>400</v>
      </c>
      <c r="B160" s="24" t="s">
        <v>29</v>
      </c>
      <c r="C160" s="24">
        <v>1</v>
      </c>
      <c r="D160" s="24" t="s">
        <v>397</v>
      </c>
      <c r="E160" s="24" t="s">
        <v>520</v>
      </c>
      <c r="F160" s="27" t="s">
        <v>66</v>
      </c>
      <c r="G160" s="72">
        <f>' первое чтение вед стр-ра'!G271</f>
        <v>13808</v>
      </c>
      <c r="H160" s="72">
        <f>' первое чтение вед стр-ра'!H271</f>
        <v>10370.299999999999</v>
      </c>
      <c r="I160" s="72">
        <f>' первое чтение вед стр-ра'!I271</f>
        <v>9150</v>
      </c>
    </row>
    <row r="161" spans="1:9" ht="25.5" x14ac:dyDescent="0.2">
      <c r="A161" s="28" t="s">
        <v>130</v>
      </c>
      <c r="B161" s="24" t="s">
        <v>29</v>
      </c>
      <c r="C161" s="24">
        <v>1</v>
      </c>
      <c r="D161" s="24" t="s">
        <v>397</v>
      </c>
      <c r="E161" s="24" t="s">
        <v>520</v>
      </c>
      <c r="F161" s="24" t="s">
        <v>63</v>
      </c>
      <c r="G161" s="72">
        <f>' первое чтение вед стр-ра'!G272</f>
        <v>158865.5</v>
      </c>
      <c r="H161" s="72">
        <f>' первое чтение вед стр-ра'!H272</f>
        <v>135290.6</v>
      </c>
      <c r="I161" s="72">
        <f>' первое чтение вед стр-ра'!I272</f>
        <v>127425.4</v>
      </c>
    </row>
    <row r="162" spans="1:9" s="73" customFormat="1" x14ac:dyDescent="0.2">
      <c r="A162" s="81" t="s">
        <v>70</v>
      </c>
      <c r="B162" s="76" t="s">
        <v>29</v>
      </c>
      <c r="C162" s="76">
        <v>1</v>
      </c>
      <c r="D162" s="76" t="s">
        <v>397</v>
      </c>
      <c r="E162" s="76" t="s">
        <v>520</v>
      </c>
      <c r="F162" s="76" t="s">
        <v>71</v>
      </c>
      <c r="G162" s="72">
        <f>' первое чтение вед стр-ра'!G273</f>
        <v>209.3</v>
      </c>
      <c r="H162" s="72">
        <f>' первое чтение вед стр-ра'!H273</f>
        <v>89.3</v>
      </c>
      <c r="I162" s="72">
        <f>' первое чтение вед стр-ра'!I273</f>
        <v>89.3</v>
      </c>
    </row>
    <row r="163" spans="1:9" ht="51" x14ac:dyDescent="0.2">
      <c r="A163" s="18" t="s">
        <v>312</v>
      </c>
      <c r="B163" s="19" t="s">
        <v>29</v>
      </c>
      <c r="C163" s="19">
        <v>1</v>
      </c>
      <c r="D163" s="19" t="s">
        <v>397</v>
      </c>
      <c r="E163" s="19" t="s">
        <v>519</v>
      </c>
      <c r="F163" s="19"/>
      <c r="G163" s="20">
        <f>G164</f>
        <v>73655.799999999988</v>
      </c>
      <c r="H163" s="20">
        <f>H164</f>
        <v>39999.5</v>
      </c>
      <c r="I163" s="20">
        <f>I164</f>
        <v>28557.599999999999</v>
      </c>
    </row>
    <row r="164" spans="1:9" ht="25.5" x14ac:dyDescent="0.2">
      <c r="A164" s="28" t="s">
        <v>130</v>
      </c>
      <c r="B164" s="24" t="s">
        <v>29</v>
      </c>
      <c r="C164" s="24">
        <v>1</v>
      </c>
      <c r="D164" s="24" t="s">
        <v>397</v>
      </c>
      <c r="E164" s="24" t="s">
        <v>519</v>
      </c>
      <c r="F164" s="24" t="s">
        <v>63</v>
      </c>
      <c r="G164" s="25">
        <f>' первое чтение вед стр-ра'!G303</f>
        <v>73655.799999999988</v>
      </c>
      <c r="H164" s="25">
        <f>' первое чтение вед стр-ра'!H303</f>
        <v>39999.5</v>
      </c>
      <c r="I164" s="25">
        <f>' первое чтение вед стр-ра'!I303</f>
        <v>28557.599999999999</v>
      </c>
    </row>
    <row r="165" spans="1:9" s="197" customFormat="1" ht="76.5" x14ac:dyDescent="0.2">
      <c r="A165" s="18" t="s">
        <v>699</v>
      </c>
      <c r="B165" s="19" t="s">
        <v>29</v>
      </c>
      <c r="C165" s="19">
        <v>1</v>
      </c>
      <c r="D165" s="19" t="s">
        <v>397</v>
      </c>
      <c r="E165" s="19" t="s">
        <v>700</v>
      </c>
      <c r="F165" s="19"/>
      <c r="G165" s="20">
        <f>G166</f>
        <v>3525.6</v>
      </c>
      <c r="H165" s="20">
        <f>H166</f>
        <v>3525.6</v>
      </c>
      <c r="I165" s="20">
        <f>I166</f>
        <v>3525.6</v>
      </c>
    </row>
    <row r="166" spans="1:9" s="197" customFormat="1" ht="25.5" x14ac:dyDescent="0.2">
      <c r="A166" s="28" t="s">
        <v>130</v>
      </c>
      <c r="B166" s="24" t="s">
        <v>29</v>
      </c>
      <c r="C166" s="24">
        <v>1</v>
      </c>
      <c r="D166" s="24" t="s">
        <v>397</v>
      </c>
      <c r="E166" s="24" t="s">
        <v>700</v>
      </c>
      <c r="F166" s="24" t="s">
        <v>63</v>
      </c>
      <c r="G166" s="25">
        <f>' первое чтение вед стр-ра'!G312</f>
        <v>3525.6</v>
      </c>
      <c r="H166" s="25">
        <f>' первое чтение вед стр-ра'!H312</f>
        <v>3525.6</v>
      </c>
      <c r="I166" s="25">
        <f>' первое чтение вед стр-ра'!I312</f>
        <v>3525.6</v>
      </c>
    </row>
    <row r="167" spans="1:9" ht="51" x14ac:dyDescent="0.2">
      <c r="A167" s="18" t="s">
        <v>312</v>
      </c>
      <c r="B167" s="19" t="s">
        <v>29</v>
      </c>
      <c r="C167" s="19">
        <v>1</v>
      </c>
      <c r="D167" s="19" t="s">
        <v>397</v>
      </c>
      <c r="E167" s="19" t="s">
        <v>518</v>
      </c>
      <c r="F167" s="19"/>
      <c r="G167" s="20">
        <f>G169+G168</f>
        <v>146318.29999999999</v>
      </c>
      <c r="H167" s="20">
        <f>H169+H168</f>
        <v>136088.70000000001</v>
      </c>
      <c r="I167" s="20">
        <f>I169+I168</f>
        <v>132624.1</v>
      </c>
    </row>
    <row r="168" spans="1:9" x14ac:dyDescent="0.2">
      <c r="A168" s="28" t="s">
        <v>67</v>
      </c>
      <c r="B168" s="24" t="s">
        <v>29</v>
      </c>
      <c r="C168" s="24">
        <v>1</v>
      </c>
      <c r="D168" s="24" t="s">
        <v>397</v>
      </c>
      <c r="E168" s="24" t="s">
        <v>518</v>
      </c>
      <c r="F168" s="27" t="s">
        <v>68</v>
      </c>
      <c r="G168" s="25">
        <f>' первое чтение вед стр-ра'!G432</f>
        <v>30</v>
      </c>
      <c r="H168" s="25">
        <f>' первое чтение вед стр-ра'!H432</f>
        <v>0</v>
      </c>
      <c r="I168" s="25">
        <f>' первое чтение вед стр-ра'!I432</f>
        <v>0</v>
      </c>
    </row>
    <row r="169" spans="1:9" ht="25.5" x14ac:dyDescent="0.2">
      <c r="A169" s="28" t="s">
        <v>130</v>
      </c>
      <c r="B169" s="24" t="s">
        <v>29</v>
      </c>
      <c r="C169" s="24">
        <v>1</v>
      </c>
      <c r="D169" s="24" t="s">
        <v>397</v>
      </c>
      <c r="E169" s="24" t="s">
        <v>518</v>
      </c>
      <c r="F169" s="24" t="s">
        <v>63</v>
      </c>
      <c r="G169" s="25">
        <f>' первое чтение вед стр-ра'!G433+' первое чтение вед стр-ра'!G328</f>
        <v>146288.29999999999</v>
      </c>
      <c r="H169" s="25">
        <f>' первое чтение вед стр-ра'!H433+' первое чтение вед стр-ра'!H328</f>
        <v>136088.70000000001</v>
      </c>
      <c r="I169" s="25">
        <f>' первое чтение вед стр-ра'!I433+' первое чтение вед стр-ра'!I328</f>
        <v>132624.1</v>
      </c>
    </row>
    <row r="170" spans="1:9" s="197" customFormat="1" ht="25.5" x14ac:dyDescent="0.2">
      <c r="A170" s="18" t="s">
        <v>615</v>
      </c>
      <c r="B170" s="19" t="s">
        <v>29</v>
      </c>
      <c r="C170" s="19">
        <v>1</v>
      </c>
      <c r="D170" s="19" t="s">
        <v>397</v>
      </c>
      <c r="E170" s="19" t="s">
        <v>617</v>
      </c>
      <c r="F170" s="19"/>
      <c r="G170" s="25">
        <f>G171</f>
        <v>15204.7</v>
      </c>
      <c r="H170" s="25">
        <f t="shared" ref="H170:I170" si="21">H171</f>
        <v>14605.6</v>
      </c>
      <c r="I170" s="25">
        <f t="shared" si="21"/>
        <v>14605.6</v>
      </c>
    </row>
    <row r="171" spans="1:9" s="197" customFormat="1" ht="25.5" x14ac:dyDescent="0.2">
      <c r="A171" s="28" t="s">
        <v>130</v>
      </c>
      <c r="B171" s="24" t="s">
        <v>29</v>
      </c>
      <c r="C171" s="24">
        <v>1</v>
      </c>
      <c r="D171" s="24" t="s">
        <v>397</v>
      </c>
      <c r="E171" s="24" t="s">
        <v>617</v>
      </c>
      <c r="F171" s="24" t="s">
        <v>63</v>
      </c>
      <c r="G171" s="25">
        <f>' первое чтение вед стр-ра'!G330</f>
        <v>15204.7</v>
      </c>
      <c r="H171" s="25">
        <f>' первое чтение вед стр-ра'!H330</f>
        <v>14605.6</v>
      </c>
      <c r="I171" s="25">
        <f>' первое чтение вед стр-ра'!I330</f>
        <v>14605.6</v>
      </c>
    </row>
    <row r="172" spans="1:9" ht="51" x14ac:dyDescent="0.2">
      <c r="A172" s="18" t="s">
        <v>221</v>
      </c>
      <c r="B172" s="19" t="s">
        <v>29</v>
      </c>
      <c r="C172" s="19">
        <v>1</v>
      </c>
      <c r="D172" s="19" t="s">
        <v>397</v>
      </c>
      <c r="E172" s="19" t="s">
        <v>517</v>
      </c>
      <c r="F172" s="19"/>
      <c r="G172" s="20">
        <f>G173+G174</f>
        <v>712.9</v>
      </c>
      <c r="H172" s="20">
        <f t="shared" ref="H172:I172" si="22">H173+H174</f>
        <v>592.79999999999995</v>
      </c>
      <c r="I172" s="20">
        <f t="shared" si="22"/>
        <v>592.79999999999995</v>
      </c>
    </row>
    <row r="173" spans="1:9" ht="25.5" x14ac:dyDescent="0.2">
      <c r="A173" s="30" t="s">
        <v>400</v>
      </c>
      <c r="B173" s="24" t="s">
        <v>29</v>
      </c>
      <c r="C173" s="24">
        <v>1</v>
      </c>
      <c r="D173" s="24" t="s">
        <v>397</v>
      </c>
      <c r="E173" s="24" t="s">
        <v>517</v>
      </c>
      <c r="F173" s="27" t="s">
        <v>66</v>
      </c>
      <c r="G173" s="25">
        <f>' первое чтение вед стр-ра'!G309</f>
        <v>661.8</v>
      </c>
      <c r="H173" s="25">
        <f>' первое чтение вед стр-ра'!H309</f>
        <v>540.79999999999995</v>
      </c>
      <c r="I173" s="25">
        <f>' первое чтение вед стр-ра'!I309</f>
        <v>540.79999999999995</v>
      </c>
    </row>
    <row r="174" spans="1:9" s="197" customFormat="1" x14ac:dyDescent="0.2">
      <c r="A174" s="30" t="s">
        <v>70</v>
      </c>
      <c r="B174" s="24" t="s">
        <v>29</v>
      </c>
      <c r="C174" s="24">
        <v>1</v>
      </c>
      <c r="D174" s="24" t="s">
        <v>397</v>
      </c>
      <c r="E174" s="24" t="s">
        <v>517</v>
      </c>
      <c r="F174" s="27" t="s">
        <v>71</v>
      </c>
      <c r="G174" s="25">
        <f>' первое чтение вед стр-ра'!G310</f>
        <v>51.1</v>
      </c>
      <c r="H174" s="25">
        <f>' первое чтение вед стр-ра'!H310</f>
        <v>52</v>
      </c>
      <c r="I174" s="25">
        <f>' первое чтение вед стр-ра'!I310</f>
        <v>52</v>
      </c>
    </row>
    <row r="175" spans="1:9" s="73" customFormat="1" ht="51" x14ac:dyDescent="0.2">
      <c r="A175" s="69" t="s">
        <v>221</v>
      </c>
      <c r="B175" s="71" t="s">
        <v>29</v>
      </c>
      <c r="C175" s="71">
        <v>1</v>
      </c>
      <c r="D175" s="71" t="s">
        <v>397</v>
      </c>
      <c r="E175" s="71" t="s">
        <v>516</v>
      </c>
      <c r="F175" s="71"/>
      <c r="G175" s="72">
        <f>G176+G177+G178</f>
        <v>7009.5000000000009</v>
      </c>
      <c r="H175" s="72">
        <f>H176+H177+H178</f>
        <v>3720.1</v>
      </c>
      <c r="I175" s="72">
        <f>I176+I177+I178</f>
        <v>2905.9999999999995</v>
      </c>
    </row>
    <row r="176" spans="1:9" s="73" customFormat="1" ht="51" x14ac:dyDescent="0.2">
      <c r="A176" s="74" t="s">
        <v>64</v>
      </c>
      <c r="B176" s="76" t="s">
        <v>29</v>
      </c>
      <c r="C176" s="76">
        <v>1</v>
      </c>
      <c r="D176" s="76" t="s">
        <v>397</v>
      </c>
      <c r="E176" s="76" t="s">
        <v>516</v>
      </c>
      <c r="F176" s="77" t="s">
        <v>65</v>
      </c>
      <c r="G176" s="56">
        <f>' первое чтение вед стр-ра'!G305</f>
        <v>3.3</v>
      </c>
      <c r="H176" s="56">
        <f>' первое чтение вед стр-ра'!H305</f>
        <v>0</v>
      </c>
      <c r="I176" s="56">
        <f>' первое чтение вед стр-ра'!I305</f>
        <v>0</v>
      </c>
    </row>
    <row r="177" spans="1:9" ht="25.5" x14ac:dyDescent="0.2">
      <c r="A177" s="30" t="s">
        <v>400</v>
      </c>
      <c r="B177" s="24" t="s">
        <v>29</v>
      </c>
      <c r="C177" s="24">
        <v>1</v>
      </c>
      <c r="D177" s="24" t="s">
        <v>397</v>
      </c>
      <c r="E177" s="24" t="s">
        <v>516</v>
      </c>
      <c r="F177" s="27" t="s">
        <v>66</v>
      </c>
      <c r="G177" s="56">
        <f>' первое чтение вед стр-ра'!G306</f>
        <v>6561.4000000000005</v>
      </c>
      <c r="H177" s="56">
        <f>' первое чтение вед стр-ра'!H306</f>
        <v>3467</v>
      </c>
      <c r="I177" s="56">
        <f>' первое чтение вед стр-ра'!I306</f>
        <v>2652.8999999999996</v>
      </c>
    </row>
    <row r="178" spans="1:9" x14ac:dyDescent="0.2">
      <c r="A178" s="28" t="s">
        <v>70</v>
      </c>
      <c r="B178" s="24" t="s">
        <v>29</v>
      </c>
      <c r="C178" s="24">
        <v>1</v>
      </c>
      <c r="D178" s="24" t="s">
        <v>397</v>
      </c>
      <c r="E178" s="24" t="s">
        <v>516</v>
      </c>
      <c r="F178" s="24" t="s">
        <v>71</v>
      </c>
      <c r="G178" s="56">
        <f>' первое чтение вед стр-ра'!G307</f>
        <v>444.79999999999995</v>
      </c>
      <c r="H178" s="56">
        <f>' первое чтение вед стр-ра'!H307</f>
        <v>253.10000000000002</v>
      </c>
      <c r="I178" s="56">
        <f>' первое чтение вед стр-ра'!I307</f>
        <v>253.10000000000002</v>
      </c>
    </row>
    <row r="179" spans="1:9" s="73" customFormat="1" ht="25.5" x14ac:dyDescent="0.2">
      <c r="A179" s="69" t="s">
        <v>313</v>
      </c>
      <c r="B179" s="71" t="s">
        <v>29</v>
      </c>
      <c r="C179" s="71">
        <v>1</v>
      </c>
      <c r="D179" s="71" t="s">
        <v>397</v>
      </c>
      <c r="E179" s="71" t="s">
        <v>515</v>
      </c>
      <c r="F179" s="71"/>
      <c r="G179" s="72">
        <f>G181+G180</f>
        <v>326.3</v>
      </c>
      <c r="H179" s="72">
        <f>H181+H180</f>
        <v>59.4</v>
      </c>
      <c r="I179" s="72">
        <f>I181+I180</f>
        <v>59.4</v>
      </c>
    </row>
    <row r="180" spans="1:9" ht="25.5" x14ac:dyDescent="0.2">
      <c r="A180" s="30" t="s">
        <v>400</v>
      </c>
      <c r="B180" s="24" t="s">
        <v>29</v>
      </c>
      <c r="C180" s="24">
        <v>1</v>
      </c>
      <c r="D180" s="24" t="s">
        <v>397</v>
      </c>
      <c r="E180" s="24" t="s">
        <v>515</v>
      </c>
      <c r="F180" s="24" t="s">
        <v>66</v>
      </c>
      <c r="G180" s="25">
        <f>' первое чтение вед стр-ра'!G347</f>
        <v>4.5</v>
      </c>
      <c r="H180" s="25">
        <f>' первое чтение вед стр-ра'!H347</f>
        <v>0</v>
      </c>
      <c r="I180" s="25">
        <f>' первое чтение вед стр-ра'!I347</f>
        <v>0</v>
      </c>
    </row>
    <row r="181" spans="1:9" s="73" customFormat="1" ht="25.5" x14ac:dyDescent="0.2">
      <c r="A181" s="81" t="s">
        <v>130</v>
      </c>
      <c r="B181" s="76" t="s">
        <v>29</v>
      </c>
      <c r="C181" s="76">
        <v>1</v>
      </c>
      <c r="D181" s="76" t="s">
        <v>397</v>
      </c>
      <c r="E181" s="76" t="s">
        <v>515</v>
      </c>
      <c r="F181" s="76" t="s">
        <v>63</v>
      </c>
      <c r="G181" s="56">
        <f>' первое чтение вед стр-ра'!G348+' первое чтение вед стр-ра'!G438</f>
        <v>321.8</v>
      </c>
      <c r="H181" s="56">
        <f>' первое чтение вед стр-ра'!H348+' первое чтение вед стр-ра'!H438</f>
        <v>59.4</v>
      </c>
      <c r="I181" s="56">
        <f>' первое чтение вед стр-ра'!I348+' первое чтение вед стр-ра'!I438</f>
        <v>59.4</v>
      </c>
    </row>
    <row r="182" spans="1:9" ht="25.5" x14ac:dyDescent="0.2">
      <c r="A182" s="18" t="s">
        <v>313</v>
      </c>
      <c r="B182" s="19" t="s">
        <v>29</v>
      </c>
      <c r="C182" s="19">
        <v>1</v>
      </c>
      <c r="D182" s="19" t="s">
        <v>397</v>
      </c>
      <c r="E182" s="19" t="s">
        <v>514</v>
      </c>
      <c r="F182" s="19"/>
      <c r="G182" s="20">
        <f>G183</f>
        <v>140</v>
      </c>
      <c r="H182" s="20">
        <f>H183</f>
        <v>0</v>
      </c>
      <c r="I182" s="20">
        <f>I183</f>
        <v>0</v>
      </c>
    </row>
    <row r="183" spans="1:9" ht="25.5" x14ac:dyDescent="0.2">
      <c r="A183" s="28" t="s">
        <v>130</v>
      </c>
      <c r="B183" s="24" t="s">
        <v>29</v>
      </c>
      <c r="C183" s="24">
        <v>1</v>
      </c>
      <c r="D183" s="24" t="s">
        <v>397</v>
      </c>
      <c r="E183" s="24" t="s">
        <v>514</v>
      </c>
      <c r="F183" s="24" t="s">
        <v>63</v>
      </c>
      <c r="G183" s="25">
        <f>' первое чтение вед стр-ра'!G345</f>
        <v>140</v>
      </c>
      <c r="H183" s="25">
        <f>' первое чтение вед стр-ра'!H345</f>
        <v>0</v>
      </c>
      <c r="I183" s="25">
        <f>' первое чтение вед стр-ра'!I345</f>
        <v>0</v>
      </c>
    </row>
    <row r="184" spans="1:9" ht="25.5" x14ac:dyDescent="0.2">
      <c r="A184" s="18" t="s">
        <v>164</v>
      </c>
      <c r="B184" s="19" t="s">
        <v>29</v>
      </c>
      <c r="C184" s="19">
        <v>1</v>
      </c>
      <c r="D184" s="19" t="s">
        <v>397</v>
      </c>
      <c r="E184" s="19" t="s">
        <v>513</v>
      </c>
      <c r="F184" s="19"/>
      <c r="G184" s="20">
        <f>G185</f>
        <v>121.1</v>
      </c>
      <c r="H184" s="20">
        <f t="shared" ref="H184:I184" si="23">H185</f>
        <v>121.1</v>
      </c>
      <c r="I184" s="20">
        <f t="shared" si="23"/>
        <v>121.1</v>
      </c>
    </row>
    <row r="185" spans="1:9" ht="25.5" x14ac:dyDescent="0.2">
      <c r="A185" s="30" t="s">
        <v>400</v>
      </c>
      <c r="B185" s="24" t="s">
        <v>29</v>
      </c>
      <c r="C185" s="24">
        <v>1</v>
      </c>
      <c r="D185" s="24" t="s">
        <v>397</v>
      </c>
      <c r="E185" s="24" t="s">
        <v>513</v>
      </c>
      <c r="F185" s="27" t="s">
        <v>66</v>
      </c>
      <c r="G185" s="25">
        <f>' первое чтение вед стр-ра'!G127</f>
        <v>121.1</v>
      </c>
      <c r="H185" s="25">
        <f>' первое чтение вед стр-ра'!H127</f>
        <v>121.1</v>
      </c>
      <c r="I185" s="25">
        <f>' первое чтение вед стр-ра'!I127</f>
        <v>121.1</v>
      </c>
    </row>
    <row r="186" spans="1:9" ht="37.5" customHeight="1" x14ac:dyDescent="0.2">
      <c r="A186" s="18" t="s">
        <v>314</v>
      </c>
      <c r="B186" s="19" t="s">
        <v>29</v>
      </c>
      <c r="C186" s="19">
        <v>1</v>
      </c>
      <c r="D186" s="19" t="s">
        <v>397</v>
      </c>
      <c r="E186" s="19" t="s">
        <v>512</v>
      </c>
      <c r="F186" s="19"/>
      <c r="G186" s="20">
        <f>G187+G188</f>
        <v>783.30000000000007</v>
      </c>
      <c r="H186" s="20">
        <f>H187+H188</f>
        <v>0</v>
      </c>
      <c r="I186" s="20">
        <f>I187+I188</f>
        <v>0</v>
      </c>
    </row>
    <row r="187" spans="1:9" ht="51" x14ac:dyDescent="0.2">
      <c r="A187" s="30" t="s">
        <v>64</v>
      </c>
      <c r="B187" s="24" t="s">
        <v>29</v>
      </c>
      <c r="C187" s="24">
        <v>1</v>
      </c>
      <c r="D187" s="24" t="s">
        <v>397</v>
      </c>
      <c r="E187" s="24" t="s">
        <v>512</v>
      </c>
      <c r="F187" s="27" t="s">
        <v>65</v>
      </c>
      <c r="G187" s="25">
        <f>' первое чтение вед стр-ра'!G350</f>
        <v>43.1</v>
      </c>
      <c r="H187" s="25">
        <f>' первое чтение вед стр-ра'!H350</f>
        <v>0</v>
      </c>
      <c r="I187" s="25">
        <f>' первое чтение вед стр-ра'!I350</f>
        <v>0</v>
      </c>
    </row>
    <row r="188" spans="1:9" ht="25.5" x14ac:dyDescent="0.2">
      <c r="A188" s="28" t="s">
        <v>130</v>
      </c>
      <c r="B188" s="24" t="s">
        <v>29</v>
      </c>
      <c r="C188" s="24">
        <v>1</v>
      </c>
      <c r="D188" s="24" t="s">
        <v>397</v>
      </c>
      <c r="E188" s="24" t="s">
        <v>512</v>
      </c>
      <c r="F188" s="24" t="s">
        <v>63</v>
      </c>
      <c r="G188" s="25">
        <f>' первое чтение вед стр-ра'!G351</f>
        <v>740.2</v>
      </c>
      <c r="H188" s="25">
        <f>' первое чтение вед стр-ра'!H351</f>
        <v>0</v>
      </c>
      <c r="I188" s="25">
        <f>' первое чтение вед стр-ра'!I351</f>
        <v>0</v>
      </c>
    </row>
    <row r="189" spans="1:9" s="73" customFormat="1" ht="25.5" x14ac:dyDescent="0.2">
      <c r="A189" s="69" t="s">
        <v>228</v>
      </c>
      <c r="B189" s="71" t="s">
        <v>29</v>
      </c>
      <c r="C189" s="71">
        <v>1</v>
      </c>
      <c r="D189" s="71" t="s">
        <v>397</v>
      </c>
      <c r="E189" s="71" t="s">
        <v>511</v>
      </c>
      <c r="F189" s="71"/>
      <c r="G189" s="72">
        <f>G192+G191+G190</f>
        <v>567.70000000000005</v>
      </c>
      <c r="H189" s="72">
        <f>H192+H191+H190</f>
        <v>516.1</v>
      </c>
      <c r="I189" s="72">
        <f>I192+I191+I190</f>
        <v>516.1</v>
      </c>
    </row>
    <row r="190" spans="1:9" ht="51" x14ac:dyDescent="0.2">
      <c r="A190" s="30" t="s">
        <v>64</v>
      </c>
      <c r="B190" s="24" t="s">
        <v>29</v>
      </c>
      <c r="C190" s="24">
        <v>1</v>
      </c>
      <c r="D190" s="24" t="s">
        <v>397</v>
      </c>
      <c r="E190" s="24" t="s">
        <v>511</v>
      </c>
      <c r="F190" s="24" t="s">
        <v>65</v>
      </c>
      <c r="G190" s="25">
        <f>' первое чтение вед стр-ра'!G353</f>
        <v>20.6</v>
      </c>
      <c r="H190" s="25">
        <f>' первое чтение вед стр-ра'!H353</f>
        <v>20.6</v>
      </c>
      <c r="I190" s="25">
        <f>' первое чтение вед стр-ра'!I353</f>
        <v>20.6</v>
      </c>
    </row>
    <row r="191" spans="1:9" s="73" customFormat="1" ht="25.5" x14ac:dyDescent="0.2">
      <c r="A191" s="74" t="s">
        <v>400</v>
      </c>
      <c r="B191" s="76" t="s">
        <v>29</v>
      </c>
      <c r="C191" s="76">
        <v>1</v>
      </c>
      <c r="D191" s="76" t="s">
        <v>397</v>
      </c>
      <c r="E191" s="76" t="s">
        <v>511</v>
      </c>
      <c r="F191" s="76" t="s">
        <v>66</v>
      </c>
      <c r="G191" s="25">
        <f>' первое чтение вед стр-ра'!G354</f>
        <v>51.6</v>
      </c>
      <c r="H191" s="25">
        <f>' первое чтение вед стр-ра'!H354</f>
        <v>0</v>
      </c>
      <c r="I191" s="25">
        <f>' первое чтение вед стр-ра'!I354</f>
        <v>0</v>
      </c>
    </row>
    <row r="192" spans="1:9" s="73" customFormat="1" ht="25.5" x14ac:dyDescent="0.2">
      <c r="A192" s="81" t="s">
        <v>130</v>
      </c>
      <c r="B192" s="76" t="s">
        <v>29</v>
      </c>
      <c r="C192" s="76">
        <v>1</v>
      </c>
      <c r="D192" s="76" t="s">
        <v>397</v>
      </c>
      <c r="E192" s="76" t="s">
        <v>511</v>
      </c>
      <c r="F192" s="76" t="s">
        <v>63</v>
      </c>
      <c r="G192" s="25">
        <f>' первое чтение вед стр-ра'!G355</f>
        <v>495.5</v>
      </c>
      <c r="H192" s="25">
        <f>' первое чтение вед стр-ра'!H355</f>
        <v>495.5</v>
      </c>
      <c r="I192" s="25">
        <f>' первое чтение вед стр-ра'!I355</f>
        <v>495.5</v>
      </c>
    </row>
    <row r="193" spans="1:9" s="73" customFormat="1" ht="25.5" x14ac:dyDescent="0.2">
      <c r="A193" s="18" t="s">
        <v>382</v>
      </c>
      <c r="B193" s="76" t="s">
        <v>29</v>
      </c>
      <c r="C193" s="76">
        <v>1</v>
      </c>
      <c r="D193" s="76" t="s">
        <v>397</v>
      </c>
      <c r="E193" s="19" t="s">
        <v>422</v>
      </c>
      <c r="F193" s="19"/>
      <c r="G193" s="20">
        <f>G194</f>
        <v>125</v>
      </c>
      <c r="H193" s="20">
        <f t="shared" ref="H193:I193" si="24">H194</f>
        <v>0</v>
      </c>
      <c r="I193" s="20">
        <f t="shared" si="24"/>
        <v>0</v>
      </c>
    </row>
    <row r="194" spans="1:9" s="73" customFormat="1" ht="25.5" x14ac:dyDescent="0.2">
      <c r="A194" s="28" t="s">
        <v>130</v>
      </c>
      <c r="B194" s="76" t="s">
        <v>29</v>
      </c>
      <c r="C194" s="76">
        <v>1</v>
      </c>
      <c r="D194" s="76" t="s">
        <v>397</v>
      </c>
      <c r="E194" s="24" t="s">
        <v>422</v>
      </c>
      <c r="F194" s="24" t="s">
        <v>63</v>
      </c>
      <c r="G194" s="25">
        <f>' первое чтение вед стр-ра'!G278</f>
        <v>125</v>
      </c>
      <c r="H194" s="25">
        <f>' первое чтение вед стр-ра'!H278</f>
        <v>0</v>
      </c>
      <c r="I194" s="25">
        <f>' первое чтение вед стр-ра'!I278</f>
        <v>0</v>
      </c>
    </row>
    <row r="195" spans="1:9" s="73" customFormat="1" ht="25.5" x14ac:dyDescent="0.2">
      <c r="A195" s="18" t="s">
        <v>382</v>
      </c>
      <c r="B195" s="76" t="s">
        <v>29</v>
      </c>
      <c r="C195" s="76">
        <v>1</v>
      </c>
      <c r="D195" s="76" t="s">
        <v>397</v>
      </c>
      <c r="E195" s="19" t="s">
        <v>631</v>
      </c>
      <c r="F195" s="19"/>
      <c r="G195" s="25">
        <f>G196</f>
        <v>1250</v>
      </c>
      <c r="H195" s="25">
        <f t="shared" ref="H195:I195" si="25">H196</f>
        <v>0</v>
      </c>
      <c r="I195" s="25">
        <f t="shared" si="25"/>
        <v>0</v>
      </c>
    </row>
    <row r="196" spans="1:9" s="73" customFormat="1" ht="25.5" x14ac:dyDescent="0.2">
      <c r="A196" s="28" t="s">
        <v>130</v>
      </c>
      <c r="B196" s="76" t="s">
        <v>29</v>
      </c>
      <c r="C196" s="76">
        <v>1</v>
      </c>
      <c r="D196" s="76" t="s">
        <v>397</v>
      </c>
      <c r="E196" s="24" t="s">
        <v>631</v>
      </c>
      <c r="F196" s="24" t="s">
        <v>63</v>
      </c>
      <c r="G196" s="25">
        <f>' первое чтение вед стр-ра'!G280</f>
        <v>1250</v>
      </c>
      <c r="H196" s="25">
        <f>' первое чтение вед стр-ра'!H280</f>
        <v>0</v>
      </c>
      <c r="I196" s="25">
        <f>' первое чтение вед стр-ра'!I280</f>
        <v>0</v>
      </c>
    </row>
    <row r="197" spans="1:9" s="73" customFormat="1" ht="38.25" x14ac:dyDescent="0.2">
      <c r="A197" s="18" t="s">
        <v>602</v>
      </c>
      <c r="B197" s="76" t="s">
        <v>29</v>
      </c>
      <c r="C197" s="76">
        <v>1</v>
      </c>
      <c r="D197" s="76" t="s">
        <v>397</v>
      </c>
      <c r="E197" s="19" t="s">
        <v>610</v>
      </c>
      <c r="F197" s="19"/>
      <c r="G197" s="20">
        <f>G198</f>
        <v>0</v>
      </c>
      <c r="H197" s="20">
        <f t="shared" ref="H197:I197" si="26">H198</f>
        <v>0</v>
      </c>
      <c r="I197" s="20">
        <f t="shared" si="26"/>
        <v>0</v>
      </c>
    </row>
    <row r="198" spans="1:9" s="73" customFormat="1" ht="25.5" x14ac:dyDescent="0.2">
      <c r="A198" s="28" t="s">
        <v>130</v>
      </c>
      <c r="B198" s="76" t="s">
        <v>29</v>
      </c>
      <c r="C198" s="76">
        <v>1</v>
      </c>
      <c r="D198" s="76" t="s">
        <v>397</v>
      </c>
      <c r="E198" s="24" t="s">
        <v>610</v>
      </c>
      <c r="F198" s="24" t="s">
        <v>63</v>
      </c>
      <c r="G198" s="25">
        <f>' первое чтение вед стр-ра'!G287</f>
        <v>0</v>
      </c>
      <c r="H198" s="25">
        <f>' первое чтение вед стр-ра'!H287</f>
        <v>0</v>
      </c>
      <c r="I198" s="25">
        <f>' первое чтение вед стр-ра'!I287</f>
        <v>0</v>
      </c>
    </row>
    <row r="199" spans="1:9" s="73" customFormat="1" ht="38.25" x14ac:dyDescent="0.2">
      <c r="A199" s="18" t="s">
        <v>602</v>
      </c>
      <c r="B199" s="19" t="s">
        <v>29</v>
      </c>
      <c r="C199" s="19">
        <v>1</v>
      </c>
      <c r="D199" s="19" t="s">
        <v>397</v>
      </c>
      <c r="E199" s="19" t="s">
        <v>604</v>
      </c>
      <c r="F199" s="76"/>
      <c r="G199" s="20">
        <f>G200</f>
        <v>0</v>
      </c>
      <c r="H199" s="20">
        <f t="shared" ref="H199:I199" si="27">H200</f>
        <v>0</v>
      </c>
      <c r="I199" s="20">
        <f t="shared" si="27"/>
        <v>0</v>
      </c>
    </row>
    <row r="200" spans="1:9" s="73" customFormat="1" ht="25.5" x14ac:dyDescent="0.2">
      <c r="A200" s="81" t="s">
        <v>130</v>
      </c>
      <c r="B200" s="19" t="s">
        <v>29</v>
      </c>
      <c r="C200" s="19">
        <v>1</v>
      </c>
      <c r="D200" s="19" t="s">
        <v>397</v>
      </c>
      <c r="E200" s="19" t="s">
        <v>604</v>
      </c>
      <c r="F200" s="76" t="s">
        <v>63</v>
      </c>
      <c r="G200" s="25">
        <f>' первое чтение вед стр-ра'!G285</f>
        <v>0</v>
      </c>
      <c r="H200" s="25">
        <f>' первое чтение вед стр-ра'!H285</f>
        <v>0</v>
      </c>
      <c r="I200" s="25">
        <f>' первое чтение вед стр-ра'!I285</f>
        <v>0</v>
      </c>
    </row>
    <row r="201" spans="1:9" ht="51" x14ac:dyDescent="0.2">
      <c r="A201" s="54" t="s">
        <v>326</v>
      </c>
      <c r="B201" s="19" t="s">
        <v>29</v>
      </c>
      <c r="C201" s="19">
        <v>1</v>
      </c>
      <c r="D201" s="19" t="s">
        <v>397</v>
      </c>
      <c r="E201" s="19">
        <v>71800</v>
      </c>
      <c r="F201" s="19"/>
      <c r="G201" s="20">
        <f>G204+G202+G203</f>
        <v>264200</v>
      </c>
      <c r="H201" s="20">
        <f>H204+H202+H203</f>
        <v>264200</v>
      </c>
      <c r="I201" s="20">
        <f>I204+I202+I203</f>
        <v>264200</v>
      </c>
    </row>
    <row r="202" spans="1:9" s="73" customFormat="1" ht="51" x14ac:dyDescent="0.2">
      <c r="A202" s="74" t="s">
        <v>64</v>
      </c>
      <c r="B202" s="76" t="s">
        <v>29</v>
      </c>
      <c r="C202" s="76">
        <v>1</v>
      </c>
      <c r="D202" s="76" t="s">
        <v>397</v>
      </c>
      <c r="E202" s="76">
        <v>71800</v>
      </c>
      <c r="F202" s="77" t="s">
        <v>65</v>
      </c>
      <c r="G202" s="56">
        <f>' первое чтение вед стр-ра'!G266</f>
        <v>47990</v>
      </c>
      <c r="H202" s="56">
        <f>' первое чтение вед стр-ра'!H266</f>
        <v>47990</v>
      </c>
      <c r="I202" s="56">
        <f>' первое чтение вед стр-ра'!I266</f>
        <v>47990</v>
      </c>
    </row>
    <row r="203" spans="1:9" ht="25.5" x14ac:dyDescent="0.2">
      <c r="A203" s="30" t="s">
        <v>400</v>
      </c>
      <c r="B203" s="24" t="s">
        <v>29</v>
      </c>
      <c r="C203" s="24">
        <v>1</v>
      </c>
      <c r="D203" s="24" t="s">
        <v>397</v>
      </c>
      <c r="E203" s="24">
        <v>71800</v>
      </c>
      <c r="F203" s="27" t="s">
        <v>66</v>
      </c>
      <c r="G203" s="56">
        <f>' первое чтение вед стр-ра'!G267</f>
        <v>189.2</v>
      </c>
      <c r="H203" s="56">
        <f>' первое чтение вед стр-ра'!H267</f>
        <v>189.2</v>
      </c>
      <c r="I203" s="56">
        <f>' первое чтение вед стр-ра'!I267</f>
        <v>189.2</v>
      </c>
    </row>
    <row r="204" spans="1:9" s="78" customFormat="1" ht="25.5" x14ac:dyDescent="0.2">
      <c r="A204" s="81" t="s">
        <v>130</v>
      </c>
      <c r="B204" s="76" t="s">
        <v>29</v>
      </c>
      <c r="C204" s="76">
        <v>1</v>
      </c>
      <c r="D204" s="76" t="s">
        <v>397</v>
      </c>
      <c r="E204" s="76">
        <v>71800</v>
      </c>
      <c r="F204" s="76" t="s">
        <v>63</v>
      </c>
      <c r="G204" s="56">
        <f>' первое чтение вед стр-ра'!G268</f>
        <v>216020.8</v>
      </c>
      <c r="H204" s="56">
        <f>' первое чтение вед стр-ра'!H268</f>
        <v>216020.8</v>
      </c>
      <c r="I204" s="56">
        <f>' первое чтение вед стр-ра'!I268</f>
        <v>216020.8</v>
      </c>
    </row>
    <row r="205" spans="1:9" ht="25.5" x14ac:dyDescent="0.2">
      <c r="A205" s="18" t="s">
        <v>215</v>
      </c>
      <c r="B205" s="19" t="s">
        <v>29</v>
      </c>
      <c r="C205" s="19">
        <v>1</v>
      </c>
      <c r="D205" s="19" t="s">
        <v>397</v>
      </c>
      <c r="E205" s="19">
        <v>71820</v>
      </c>
      <c r="F205" s="19"/>
      <c r="G205" s="20">
        <f>G206+G208+G207</f>
        <v>50552</v>
      </c>
      <c r="H205" s="20">
        <f>H206+H208+H207</f>
        <v>50552</v>
      </c>
      <c r="I205" s="20">
        <f>I206+I208+I207</f>
        <v>50552</v>
      </c>
    </row>
    <row r="206" spans="1:9" s="73" customFormat="1" ht="51" x14ac:dyDescent="0.2">
      <c r="A206" s="74" t="s">
        <v>64</v>
      </c>
      <c r="B206" s="76" t="s">
        <v>29</v>
      </c>
      <c r="C206" s="76">
        <v>1</v>
      </c>
      <c r="D206" s="76" t="s">
        <v>397</v>
      </c>
      <c r="E206" s="76">
        <v>71820</v>
      </c>
      <c r="F206" s="77" t="s">
        <v>65</v>
      </c>
      <c r="G206" s="56">
        <f>' первое чтение вед стр-ра'!G289</f>
        <v>35906.6</v>
      </c>
      <c r="H206" s="56">
        <f>' первое чтение вед стр-ра'!H289</f>
        <v>35906.6</v>
      </c>
      <c r="I206" s="56">
        <f>' первое чтение вед стр-ра'!I289</f>
        <v>35906.6</v>
      </c>
    </row>
    <row r="207" spans="1:9" s="73" customFormat="1" ht="25.5" x14ac:dyDescent="0.2">
      <c r="A207" s="74" t="s">
        <v>400</v>
      </c>
      <c r="B207" s="76" t="s">
        <v>29</v>
      </c>
      <c r="C207" s="76" t="s">
        <v>439</v>
      </c>
      <c r="D207" s="76" t="s">
        <v>397</v>
      </c>
      <c r="E207" s="76">
        <v>71820</v>
      </c>
      <c r="F207" s="77" t="s">
        <v>66</v>
      </c>
      <c r="G207" s="56">
        <f>' первое чтение вед стр-ра'!G290</f>
        <v>14203.5</v>
      </c>
      <c r="H207" s="56">
        <f>' первое чтение вед стр-ра'!H290</f>
        <v>14203.5</v>
      </c>
      <c r="I207" s="56">
        <f>' первое чтение вед стр-ра'!I290</f>
        <v>14203.5</v>
      </c>
    </row>
    <row r="208" spans="1:9" x14ac:dyDescent="0.2">
      <c r="A208" s="28" t="s">
        <v>70</v>
      </c>
      <c r="B208" s="24" t="s">
        <v>29</v>
      </c>
      <c r="C208" s="24">
        <v>1</v>
      </c>
      <c r="D208" s="24" t="s">
        <v>397</v>
      </c>
      <c r="E208" s="24">
        <v>71820</v>
      </c>
      <c r="F208" s="24" t="s">
        <v>71</v>
      </c>
      <c r="G208" s="56">
        <f>' первое чтение вед стр-ра'!G291</f>
        <v>441.9</v>
      </c>
      <c r="H208" s="56">
        <f>' первое чтение вед стр-ра'!H291</f>
        <v>441.9</v>
      </c>
      <c r="I208" s="56">
        <f>' первое чтение вед стр-ра'!I291</f>
        <v>441.9</v>
      </c>
    </row>
    <row r="209" spans="1:9" ht="63.75" x14ac:dyDescent="0.2">
      <c r="A209" s="18" t="s">
        <v>510</v>
      </c>
      <c r="B209" s="19" t="s">
        <v>29</v>
      </c>
      <c r="C209" s="19">
        <v>1</v>
      </c>
      <c r="D209" s="19" t="s">
        <v>397</v>
      </c>
      <c r="E209" s="19">
        <v>71830</v>
      </c>
      <c r="F209" s="19"/>
      <c r="G209" s="20">
        <f>G212+G211+G210</f>
        <v>425320</v>
      </c>
      <c r="H209" s="20">
        <f>H212+H211+H210</f>
        <v>425320</v>
      </c>
      <c r="I209" s="20">
        <f>I212+I211+I210</f>
        <v>425320</v>
      </c>
    </row>
    <row r="210" spans="1:9" s="73" customFormat="1" ht="51" x14ac:dyDescent="0.2">
      <c r="A210" s="74" t="s">
        <v>64</v>
      </c>
      <c r="B210" s="76" t="s">
        <v>29</v>
      </c>
      <c r="C210" s="76">
        <v>1</v>
      </c>
      <c r="D210" s="76" t="s">
        <v>397</v>
      </c>
      <c r="E210" s="76">
        <v>71830</v>
      </c>
      <c r="F210" s="77" t="s">
        <v>65</v>
      </c>
      <c r="G210" s="56">
        <f>' первое чтение вед стр-ра'!G293</f>
        <v>68800.900000000009</v>
      </c>
      <c r="H210" s="56">
        <f>' первое чтение вед стр-ра'!H293</f>
        <v>68800.900000000009</v>
      </c>
      <c r="I210" s="56">
        <f>' первое чтение вед стр-ра'!I293</f>
        <v>68800.900000000009</v>
      </c>
    </row>
    <row r="211" spans="1:9" s="73" customFormat="1" ht="25.5" x14ac:dyDescent="0.2">
      <c r="A211" s="74" t="s">
        <v>400</v>
      </c>
      <c r="B211" s="76" t="s">
        <v>29</v>
      </c>
      <c r="C211" s="76">
        <v>1</v>
      </c>
      <c r="D211" s="76" t="s">
        <v>397</v>
      </c>
      <c r="E211" s="76">
        <v>71830</v>
      </c>
      <c r="F211" s="77" t="s">
        <v>66</v>
      </c>
      <c r="G211" s="56">
        <f>' первое чтение вед стр-ра'!G294</f>
        <v>2061.1</v>
      </c>
      <c r="H211" s="56">
        <f>' первое чтение вед стр-ра'!H294</f>
        <v>2061.1</v>
      </c>
      <c r="I211" s="56">
        <f>' первое чтение вед стр-ра'!I294</f>
        <v>2061.1</v>
      </c>
    </row>
    <row r="212" spans="1:9" s="73" customFormat="1" ht="25.5" x14ac:dyDescent="0.2">
      <c r="A212" s="81" t="s">
        <v>130</v>
      </c>
      <c r="B212" s="76" t="s">
        <v>29</v>
      </c>
      <c r="C212" s="76">
        <v>1</v>
      </c>
      <c r="D212" s="76" t="s">
        <v>397</v>
      </c>
      <c r="E212" s="76">
        <v>71830</v>
      </c>
      <c r="F212" s="76" t="s">
        <v>63</v>
      </c>
      <c r="G212" s="56">
        <f>' первое чтение вед стр-ра'!G295</f>
        <v>354458</v>
      </c>
      <c r="H212" s="56">
        <f>' первое чтение вед стр-ра'!H295</f>
        <v>354458</v>
      </c>
      <c r="I212" s="56">
        <f>' первое чтение вед стр-ра'!I295</f>
        <v>354458</v>
      </c>
    </row>
    <row r="213" spans="1:9" ht="38.25" x14ac:dyDescent="0.2">
      <c r="A213" s="18" t="s">
        <v>216</v>
      </c>
      <c r="B213" s="19" t="s">
        <v>29</v>
      </c>
      <c r="C213" s="19">
        <v>1</v>
      </c>
      <c r="D213" s="19" t="s">
        <v>397</v>
      </c>
      <c r="E213" s="19">
        <v>71840</v>
      </c>
      <c r="F213" s="19"/>
      <c r="G213" s="20">
        <f>G214</f>
        <v>3880.1</v>
      </c>
      <c r="H213" s="20">
        <f>H214</f>
        <v>3880.1</v>
      </c>
      <c r="I213" s="20">
        <f>I214</f>
        <v>3880.1</v>
      </c>
    </row>
    <row r="214" spans="1:9" ht="25.5" x14ac:dyDescent="0.2">
      <c r="A214" s="30" t="s">
        <v>400</v>
      </c>
      <c r="B214" s="24" t="s">
        <v>29</v>
      </c>
      <c r="C214" s="24">
        <v>1</v>
      </c>
      <c r="D214" s="24" t="s">
        <v>397</v>
      </c>
      <c r="E214" s="24">
        <v>71840</v>
      </c>
      <c r="F214" s="27" t="s">
        <v>66</v>
      </c>
      <c r="G214" s="25">
        <f>' первое чтение вед стр-ра'!G297</f>
        <v>3880.1</v>
      </c>
      <c r="H214" s="25">
        <f>' первое чтение вед стр-ра'!H297</f>
        <v>3880.1</v>
      </c>
      <c r="I214" s="25">
        <f>' первое чтение вед стр-ра'!I297</f>
        <v>3880.1</v>
      </c>
    </row>
    <row r="215" spans="1:9" ht="25.5" x14ac:dyDescent="0.2">
      <c r="A215" s="18" t="s">
        <v>217</v>
      </c>
      <c r="B215" s="24" t="s">
        <v>29</v>
      </c>
      <c r="C215" s="19" t="s">
        <v>439</v>
      </c>
      <c r="D215" s="19" t="s">
        <v>397</v>
      </c>
      <c r="E215" s="19" t="s">
        <v>509</v>
      </c>
      <c r="F215" s="19"/>
      <c r="G215" s="20">
        <f>G217+G216</f>
        <v>365</v>
      </c>
      <c r="H215" s="20">
        <f>H217+H216</f>
        <v>365</v>
      </c>
      <c r="I215" s="20">
        <f>I217+I216</f>
        <v>365</v>
      </c>
    </row>
    <row r="216" spans="1:9" ht="25.5" x14ac:dyDescent="0.2">
      <c r="A216" s="30" t="s">
        <v>400</v>
      </c>
      <c r="B216" s="24" t="s">
        <v>29</v>
      </c>
      <c r="C216" s="24" t="s">
        <v>439</v>
      </c>
      <c r="D216" s="24" t="s">
        <v>397</v>
      </c>
      <c r="E216" s="19" t="s">
        <v>509</v>
      </c>
      <c r="F216" s="24" t="s">
        <v>66</v>
      </c>
      <c r="G216" s="25">
        <f>' первое чтение вед стр-ра'!G314</f>
        <v>57.7</v>
      </c>
      <c r="H216" s="25">
        <f>' первое чтение вед стр-ра'!H314</f>
        <v>57.7</v>
      </c>
      <c r="I216" s="25">
        <f>' первое чтение вед стр-ра'!I314</f>
        <v>57.7</v>
      </c>
    </row>
    <row r="217" spans="1:9" ht="25.5" x14ac:dyDescent="0.2">
      <c r="A217" s="28" t="s">
        <v>130</v>
      </c>
      <c r="B217" s="24" t="s">
        <v>29</v>
      </c>
      <c r="C217" s="24" t="s">
        <v>439</v>
      </c>
      <c r="D217" s="24" t="s">
        <v>397</v>
      </c>
      <c r="E217" s="19" t="s">
        <v>509</v>
      </c>
      <c r="F217" s="24" t="s">
        <v>63</v>
      </c>
      <c r="G217" s="25">
        <f>' первое чтение вед стр-ра'!G315+' первое чтение вед стр-ра'!G326+' первое чтение вед стр-ра'!G336</f>
        <v>307.3</v>
      </c>
      <c r="H217" s="25">
        <f>' первое чтение вед стр-ра'!H315+' первое чтение вед стр-ра'!H326+' первое чтение вед стр-ра'!H336</f>
        <v>307.3</v>
      </c>
      <c r="I217" s="25">
        <f>' первое чтение вед стр-ра'!I315+' первое чтение вед стр-ра'!I326+' первое чтение вед стр-ра'!I336</f>
        <v>307.3</v>
      </c>
    </row>
    <row r="218" spans="1:9" ht="25.5" x14ac:dyDescent="0.2">
      <c r="A218" s="18" t="s">
        <v>175</v>
      </c>
      <c r="B218" s="24" t="s">
        <v>29</v>
      </c>
      <c r="C218" s="19" t="s">
        <v>439</v>
      </c>
      <c r="D218" s="19" t="s">
        <v>397</v>
      </c>
      <c r="E218" s="19" t="s">
        <v>508</v>
      </c>
      <c r="F218" s="19"/>
      <c r="G218" s="20">
        <f>G220+G219</f>
        <v>4445</v>
      </c>
      <c r="H218" s="20">
        <f>H220+H219</f>
        <v>4445</v>
      </c>
      <c r="I218" s="20">
        <f>I220+I219</f>
        <v>4445</v>
      </c>
    </row>
    <row r="219" spans="1:9" ht="25.5" x14ac:dyDescent="0.2">
      <c r="A219" s="30" t="s">
        <v>400</v>
      </c>
      <c r="B219" s="24" t="s">
        <v>29</v>
      </c>
      <c r="C219" s="24" t="s">
        <v>439</v>
      </c>
      <c r="D219" s="24" t="s">
        <v>397</v>
      </c>
      <c r="E219" s="24" t="s">
        <v>508</v>
      </c>
      <c r="F219" s="24" t="s">
        <v>66</v>
      </c>
      <c r="G219" s="25">
        <f>' первое чтение вед стр-ра'!G340</f>
        <v>101.25</v>
      </c>
      <c r="H219" s="25">
        <f>' первое чтение вед стр-ра'!H340</f>
        <v>101.25</v>
      </c>
      <c r="I219" s="25">
        <f>' первое чтение вед стр-ра'!I340</f>
        <v>101.25</v>
      </c>
    </row>
    <row r="220" spans="1:9" s="73" customFormat="1" ht="25.5" x14ac:dyDescent="0.2">
      <c r="A220" s="81" t="s">
        <v>130</v>
      </c>
      <c r="B220" s="76" t="s">
        <v>29</v>
      </c>
      <c r="C220" s="76" t="s">
        <v>439</v>
      </c>
      <c r="D220" s="76" t="s">
        <v>397</v>
      </c>
      <c r="E220" s="76" t="s">
        <v>508</v>
      </c>
      <c r="F220" s="76" t="s">
        <v>63</v>
      </c>
      <c r="G220" s="56">
        <f>' первое чтение вед стр-ра'!G341+' первое чтение вед стр-ра'!G436</f>
        <v>4343.75</v>
      </c>
      <c r="H220" s="56">
        <f>' первое чтение вед стр-ра'!H341+' первое чтение вед стр-ра'!H436</f>
        <v>4343.75</v>
      </c>
      <c r="I220" s="56">
        <f>' первое чтение вед стр-ра'!I341+' первое чтение вед стр-ра'!I436</f>
        <v>4343.75</v>
      </c>
    </row>
    <row r="221" spans="1:9" s="73" customFormat="1" ht="25.5" x14ac:dyDescent="0.2">
      <c r="A221" s="18" t="s">
        <v>613</v>
      </c>
      <c r="B221" s="24" t="s">
        <v>29</v>
      </c>
      <c r="C221" s="24" t="s">
        <v>439</v>
      </c>
      <c r="D221" s="24" t="s">
        <v>397</v>
      </c>
      <c r="E221" s="19" t="s">
        <v>614</v>
      </c>
      <c r="F221" s="19"/>
      <c r="G221" s="56">
        <f>G222</f>
        <v>0</v>
      </c>
      <c r="H221" s="56">
        <f t="shared" ref="H221:I221" si="28">H222</f>
        <v>0</v>
      </c>
      <c r="I221" s="56">
        <f t="shared" si="28"/>
        <v>0</v>
      </c>
    </row>
    <row r="222" spans="1:9" s="73" customFormat="1" ht="25.5" x14ac:dyDescent="0.2">
      <c r="A222" s="28" t="s">
        <v>74</v>
      </c>
      <c r="B222" s="76" t="s">
        <v>29</v>
      </c>
      <c r="C222" s="76" t="s">
        <v>439</v>
      </c>
      <c r="D222" s="76" t="s">
        <v>397</v>
      </c>
      <c r="E222" s="24" t="s">
        <v>614</v>
      </c>
      <c r="F222" s="24" t="s">
        <v>66</v>
      </c>
      <c r="G222" s="56">
        <f>' первое чтение вед стр-ра'!G275</f>
        <v>0</v>
      </c>
      <c r="H222" s="56">
        <f>' первое чтение вед стр-ра'!H275</f>
        <v>0</v>
      </c>
      <c r="I222" s="56">
        <f>' первое чтение вед стр-ра'!I275</f>
        <v>0</v>
      </c>
    </row>
    <row r="223" spans="1:9" s="197" customFormat="1" ht="25.5" x14ac:dyDescent="0.2">
      <c r="A223" s="18" t="s">
        <v>666</v>
      </c>
      <c r="B223" s="19" t="s">
        <v>29</v>
      </c>
      <c r="C223" s="19" t="s">
        <v>439</v>
      </c>
      <c r="D223" s="19" t="s">
        <v>397</v>
      </c>
      <c r="E223" s="19" t="s">
        <v>668</v>
      </c>
      <c r="F223" s="19"/>
      <c r="G223" s="20">
        <f>G224</f>
        <v>0</v>
      </c>
      <c r="H223" s="20">
        <f t="shared" ref="H223:I227" si="29">H224</f>
        <v>0</v>
      </c>
      <c r="I223" s="20">
        <f t="shared" si="29"/>
        <v>0</v>
      </c>
    </row>
    <row r="224" spans="1:9" s="197" customFormat="1" ht="25.5" x14ac:dyDescent="0.2">
      <c r="A224" s="28" t="s">
        <v>130</v>
      </c>
      <c r="B224" s="24" t="s">
        <v>29</v>
      </c>
      <c r="C224" s="24" t="s">
        <v>439</v>
      </c>
      <c r="D224" s="24" t="s">
        <v>397</v>
      </c>
      <c r="E224" s="24" t="s">
        <v>668</v>
      </c>
      <c r="F224" s="24" t="s">
        <v>63</v>
      </c>
      <c r="G224" s="25">
        <f>' первое чтение вед стр-ра'!G343</f>
        <v>0</v>
      </c>
      <c r="H224" s="25">
        <f>' первое чтение вед стр-ра'!H343</f>
        <v>0</v>
      </c>
      <c r="I224" s="25">
        <f>' первое чтение вед стр-ра'!I343</f>
        <v>0</v>
      </c>
    </row>
    <row r="225" spans="1:9" s="197" customFormat="1" ht="25.5" x14ac:dyDescent="0.2">
      <c r="A225" s="18" t="s">
        <v>666</v>
      </c>
      <c r="B225" s="19" t="s">
        <v>29</v>
      </c>
      <c r="C225" s="19" t="s">
        <v>439</v>
      </c>
      <c r="D225" s="19" t="s">
        <v>397</v>
      </c>
      <c r="E225" s="19" t="s">
        <v>680</v>
      </c>
      <c r="F225" s="19"/>
      <c r="G225" s="25">
        <f>G226</f>
        <v>0</v>
      </c>
      <c r="H225" s="25">
        <f t="shared" ref="H225:I225" si="30">H226</f>
        <v>0</v>
      </c>
      <c r="I225" s="25">
        <f t="shared" si="30"/>
        <v>0</v>
      </c>
    </row>
    <row r="226" spans="1:9" s="197" customFormat="1" ht="25.5" x14ac:dyDescent="0.2">
      <c r="A226" s="28" t="s">
        <v>130</v>
      </c>
      <c r="B226" s="24" t="s">
        <v>29</v>
      </c>
      <c r="C226" s="24" t="s">
        <v>439</v>
      </c>
      <c r="D226" s="24" t="s">
        <v>397</v>
      </c>
      <c r="E226" s="24" t="s">
        <v>680</v>
      </c>
      <c r="F226" s="24" t="s">
        <v>63</v>
      </c>
      <c r="G226" s="25">
        <f>' первое чтение вед стр-ра'!G338</f>
        <v>0</v>
      </c>
      <c r="H226" s="25">
        <f>' первое чтение вед стр-ра'!H338</f>
        <v>0</v>
      </c>
      <c r="I226" s="25">
        <f>' первое чтение вед стр-ра'!I338</f>
        <v>0</v>
      </c>
    </row>
    <row r="227" spans="1:9" s="73" customFormat="1" ht="38.25" x14ac:dyDescent="0.2">
      <c r="A227" s="18" t="s">
        <v>658</v>
      </c>
      <c r="B227" s="71" t="s">
        <v>29</v>
      </c>
      <c r="C227" s="71" t="s">
        <v>439</v>
      </c>
      <c r="D227" s="71" t="s">
        <v>397</v>
      </c>
      <c r="E227" s="19" t="s">
        <v>656</v>
      </c>
      <c r="F227" s="19"/>
      <c r="G227" s="72">
        <f>G228</f>
        <v>0</v>
      </c>
      <c r="H227" s="72">
        <f t="shared" si="29"/>
        <v>0</v>
      </c>
      <c r="I227" s="72">
        <f t="shared" si="29"/>
        <v>0</v>
      </c>
    </row>
    <row r="228" spans="1:9" s="73" customFormat="1" ht="25.5" x14ac:dyDescent="0.2">
      <c r="A228" s="28" t="s">
        <v>130</v>
      </c>
      <c r="B228" s="76" t="s">
        <v>29</v>
      </c>
      <c r="C228" s="76" t="s">
        <v>439</v>
      </c>
      <c r="D228" s="76" t="s">
        <v>397</v>
      </c>
      <c r="E228" s="24" t="s">
        <v>656</v>
      </c>
      <c r="F228" s="24" t="s">
        <v>63</v>
      </c>
      <c r="G228" s="56">
        <f>' первое чтение вед стр-ра'!G299</f>
        <v>0</v>
      </c>
      <c r="H228" s="56">
        <f>' первое чтение вед стр-ра'!H299</f>
        <v>0</v>
      </c>
      <c r="I228" s="56">
        <f>' первое чтение вед стр-ра'!I299</f>
        <v>0</v>
      </c>
    </row>
    <row r="229" spans="1:9" s="73" customFormat="1" ht="38.25" x14ac:dyDescent="0.2">
      <c r="A229" s="28" t="s">
        <v>658</v>
      </c>
      <c r="B229" s="76" t="s">
        <v>29</v>
      </c>
      <c r="C229" s="76" t="s">
        <v>439</v>
      </c>
      <c r="D229" s="76" t="s">
        <v>397</v>
      </c>
      <c r="E229" s="24" t="s">
        <v>657</v>
      </c>
      <c r="F229" s="24"/>
      <c r="G229" s="56">
        <f>G230</f>
        <v>0</v>
      </c>
      <c r="H229" s="56">
        <f t="shared" ref="H229:I229" si="31">H230</f>
        <v>0</v>
      </c>
      <c r="I229" s="56">
        <f t="shared" si="31"/>
        <v>0</v>
      </c>
    </row>
    <row r="230" spans="1:9" s="73" customFormat="1" ht="25.5" x14ac:dyDescent="0.2">
      <c r="A230" s="28" t="s">
        <v>130</v>
      </c>
      <c r="B230" s="76" t="s">
        <v>29</v>
      </c>
      <c r="C230" s="76" t="s">
        <v>439</v>
      </c>
      <c r="D230" s="76" t="s">
        <v>397</v>
      </c>
      <c r="E230" s="24" t="s">
        <v>657</v>
      </c>
      <c r="F230" s="24" t="s">
        <v>63</v>
      </c>
      <c r="G230" s="56">
        <f>' первое чтение вед стр-ра'!G301</f>
        <v>0</v>
      </c>
      <c r="H230" s="56">
        <f>' первое чтение вед стр-ра'!H301</f>
        <v>0</v>
      </c>
      <c r="I230" s="56">
        <f>' первое чтение вед стр-ра'!I301</f>
        <v>0</v>
      </c>
    </row>
    <row r="231" spans="1:9" s="73" customFormat="1" x14ac:dyDescent="0.2">
      <c r="A231" s="135" t="s">
        <v>507</v>
      </c>
      <c r="B231" s="133" t="s">
        <v>29</v>
      </c>
      <c r="C231" s="133" t="s">
        <v>434</v>
      </c>
      <c r="D231" s="133"/>
      <c r="E231" s="133"/>
      <c r="F231" s="133"/>
      <c r="G231" s="132">
        <f>SUM(G232,G235,G239,G246,G249,G251,G255,G258,G262)+G243+G237+G264+G266+G253+G260+G269</f>
        <v>54121</v>
      </c>
      <c r="H231" s="132">
        <f t="shared" ref="H231:I231" si="32">SUM(H232,H235,H239,H246,H249,H251,H255,H258,H262)+H243+H237+H264+H266+H253+H260+H269</f>
        <v>53944</v>
      </c>
      <c r="I231" s="132">
        <f t="shared" si="32"/>
        <v>53964</v>
      </c>
    </row>
    <row r="232" spans="1:9" s="73" customFormat="1" x14ac:dyDescent="0.2">
      <c r="A232" s="69" t="s">
        <v>315</v>
      </c>
      <c r="B232" s="71" t="s">
        <v>29</v>
      </c>
      <c r="C232" s="71">
        <v>2</v>
      </c>
      <c r="D232" s="71" t="s">
        <v>397</v>
      </c>
      <c r="E232" s="71" t="s">
        <v>506</v>
      </c>
      <c r="F232" s="71"/>
      <c r="G232" s="72">
        <f>G234+G233</f>
        <v>250</v>
      </c>
      <c r="H232" s="72">
        <f>H234+H233</f>
        <v>0</v>
      </c>
      <c r="I232" s="72">
        <f>I234+I233</f>
        <v>0</v>
      </c>
    </row>
    <row r="233" spans="1:9" x14ac:dyDescent="0.2">
      <c r="A233" s="28" t="s">
        <v>67</v>
      </c>
      <c r="B233" s="19" t="s">
        <v>29</v>
      </c>
      <c r="C233" s="19">
        <v>2</v>
      </c>
      <c r="D233" s="19" t="s">
        <v>397</v>
      </c>
      <c r="E233" s="19" t="s">
        <v>506</v>
      </c>
      <c r="F233" s="24" t="s">
        <v>68</v>
      </c>
      <c r="G233" s="25">
        <f>' первое чтение вед стр-ра'!G320</f>
        <v>20</v>
      </c>
      <c r="H233" s="25">
        <f>' первое чтение вед стр-ра'!H320</f>
        <v>0</v>
      </c>
      <c r="I233" s="25">
        <f>' первое чтение вед стр-ра'!I320</f>
        <v>0</v>
      </c>
    </row>
    <row r="234" spans="1:9" s="73" customFormat="1" ht="25.5" x14ac:dyDescent="0.2">
      <c r="A234" s="81" t="s">
        <v>130</v>
      </c>
      <c r="B234" s="71" t="s">
        <v>29</v>
      </c>
      <c r="C234" s="71">
        <v>2</v>
      </c>
      <c r="D234" s="71" t="s">
        <v>397</v>
      </c>
      <c r="E234" s="71" t="s">
        <v>506</v>
      </c>
      <c r="F234" s="76" t="s">
        <v>63</v>
      </c>
      <c r="G234" s="25">
        <f>' первое чтение вед стр-ра'!G321</f>
        <v>230</v>
      </c>
      <c r="H234" s="25">
        <f>' первое чтение вед стр-ра'!H321</f>
        <v>0</v>
      </c>
      <c r="I234" s="25">
        <f>' первое чтение вед стр-ра'!I321</f>
        <v>0</v>
      </c>
    </row>
    <row r="235" spans="1:9" ht="25.5" x14ac:dyDescent="0.2">
      <c r="A235" s="18" t="s">
        <v>236</v>
      </c>
      <c r="B235" s="19" t="s">
        <v>29</v>
      </c>
      <c r="C235" s="19">
        <v>2</v>
      </c>
      <c r="D235" s="19" t="s">
        <v>397</v>
      </c>
      <c r="E235" s="19">
        <v>52600</v>
      </c>
      <c r="F235" s="19"/>
      <c r="G235" s="20">
        <f>G236</f>
        <v>1200</v>
      </c>
      <c r="H235" s="20">
        <f>H236</f>
        <v>1310</v>
      </c>
      <c r="I235" s="20">
        <f>I236</f>
        <v>1330</v>
      </c>
    </row>
    <row r="236" spans="1:9" s="26" customFormat="1" x14ac:dyDescent="0.2">
      <c r="A236" s="28" t="s">
        <v>67</v>
      </c>
      <c r="B236" s="24" t="s">
        <v>29</v>
      </c>
      <c r="C236" s="24">
        <v>2</v>
      </c>
      <c r="D236" s="24" t="s">
        <v>397</v>
      </c>
      <c r="E236" s="24">
        <v>52600</v>
      </c>
      <c r="F236" s="24" t="s">
        <v>68</v>
      </c>
      <c r="G236" s="25">
        <f>' первое чтение вед стр-ра'!G387</f>
        <v>1200</v>
      </c>
      <c r="H236" s="25">
        <f>' первое чтение вед стр-ра'!H387</f>
        <v>1310</v>
      </c>
      <c r="I236" s="25">
        <f>' первое чтение вед стр-ра'!I387</f>
        <v>1330</v>
      </c>
    </row>
    <row r="237" spans="1:9" x14ac:dyDescent="0.2">
      <c r="A237" s="18" t="s">
        <v>245</v>
      </c>
      <c r="B237" s="19" t="s">
        <v>29</v>
      </c>
      <c r="C237" s="19">
        <v>2</v>
      </c>
      <c r="D237" s="19" t="s">
        <v>397</v>
      </c>
      <c r="E237" s="19" t="s">
        <v>505</v>
      </c>
      <c r="F237" s="19"/>
      <c r="G237" s="20">
        <f>G238</f>
        <v>219.6</v>
      </c>
      <c r="H237" s="20">
        <f>H238</f>
        <v>219.6</v>
      </c>
      <c r="I237" s="20">
        <f>I238</f>
        <v>219.6</v>
      </c>
    </row>
    <row r="238" spans="1:9" ht="51" x14ac:dyDescent="0.2">
      <c r="A238" s="30" t="s">
        <v>64</v>
      </c>
      <c r="B238" s="19" t="s">
        <v>29</v>
      </c>
      <c r="C238" s="19">
        <v>2</v>
      </c>
      <c r="D238" s="19" t="s">
        <v>397</v>
      </c>
      <c r="E238" s="27" t="s">
        <v>505</v>
      </c>
      <c r="F238" s="27" t="s">
        <v>65</v>
      </c>
      <c r="G238" s="25">
        <f>' первое чтение вед стр-ра'!G483</f>
        <v>219.6</v>
      </c>
      <c r="H238" s="25">
        <f>' первое чтение вед стр-ра'!H483</f>
        <v>219.6</v>
      </c>
      <c r="I238" s="25">
        <f>' первое чтение вед стр-ра'!I483</f>
        <v>219.6</v>
      </c>
    </row>
    <row r="239" spans="1:9" s="73" customFormat="1" ht="38.25" x14ac:dyDescent="0.2">
      <c r="A239" s="69" t="s">
        <v>237</v>
      </c>
      <c r="B239" s="71" t="s">
        <v>29</v>
      </c>
      <c r="C239" s="71">
        <v>2</v>
      </c>
      <c r="D239" s="71" t="s">
        <v>397</v>
      </c>
      <c r="E239" s="71">
        <v>71810</v>
      </c>
      <c r="F239" s="71"/>
      <c r="G239" s="72">
        <f>G241+G242+G240</f>
        <v>2260.1</v>
      </c>
      <c r="H239" s="72">
        <f>H241+H242+H240</f>
        <v>2260.1000000000004</v>
      </c>
      <c r="I239" s="72">
        <f>I241+I242+I240</f>
        <v>2260.1000000000004</v>
      </c>
    </row>
    <row r="240" spans="1:9" s="73" customFormat="1" ht="25.5" x14ac:dyDescent="0.2">
      <c r="A240" s="74" t="s">
        <v>400</v>
      </c>
      <c r="B240" s="76" t="s">
        <v>29</v>
      </c>
      <c r="C240" s="76">
        <v>2</v>
      </c>
      <c r="D240" s="76" t="s">
        <v>397</v>
      </c>
      <c r="E240" s="76">
        <v>71810</v>
      </c>
      <c r="F240" s="77" t="s">
        <v>66</v>
      </c>
      <c r="G240" s="56">
        <f>' первое чтение вед стр-ра'!G389</f>
        <v>17.464919999999999</v>
      </c>
      <c r="H240" s="56">
        <f>' первое чтение вед стр-ра'!H389</f>
        <v>1.8</v>
      </c>
      <c r="I240" s="56">
        <f>' первое чтение вед стр-ра'!I389</f>
        <v>1.8</v>
      </c>
    </row>
    <row r="241" spans="1:9" s="73" customFormat="1" x14ac:dyDescent="0.2">
      <c r="A241" s="81" t="s">
        <v>67</v>
      </c>
      <c r="B241" s="76" t="s">
        <v>29</v>
      </c>
      <c r="C241" s="76">
        <v>2</v>
      </c>
      <c r="D241" s="76" t="s">
        <v>397</v>
      </c>
      <c r="E241" s="76">
        <v>71810</v>
      </c>
      <c r="F241" s="143">
        <v>300</v>
      </c>
      <c r="G241" s="56">
        <f>' первое чтение вед стр-ра'!G390</f>
        <v>1794.22235</v>
      </c>
      <c r="H241" s="56">
        <f>' первое чтение вед стр-ра'!H390</f>
        <v>360</v>
      </c>
      <c r="I241" s="56">
        <f>' первое чтение вед стр-ра'!I390</f>
        <v>360</v>
      </c>
    </row>
    <row r="242" spans="1:9" s="73" customFormat="1" ht="25.5" x14ac:dyDescent="0.2">
      <c r="A242" s="81" t="s">
        <v>130</v>
      </c>
      <c r="B242" s="76" t="s">
        <v>29</v>
      </c>
      <c r="C242" s="76">
        <v>2</v>
      </c>
      <c r="D242" s="76" t="s">
        <v>397</v>
      </c>
      <c r="E242" s="76">
        <v>71810</v>
      </c>
      <c r="F242" s="76" t="s">
        <v>63</v>
      </c>
      <c r="G242" s="56">
        <f>' первое чтение вед стр-ра'!G391</f>
        <v>448.41273000000001</v>
      </c>
      <c r="H242" s="56">
        <f>' первое чтение вед стр-ра'!H391</f>
        <v>1898.3</v>
      </c>
      <c r="I242" s="56">
        <f>' первое чтение вед стр-ра'!I391</f>
        <v>1898.3</v>
      </c>
    </row>
    <row r="243" spans="1:9" ht="25.5" x14ac:dyDescent="0.2">
      <c r="A243" s="18" t="s">
        <v>222</v>
      </c>
      <c r="B243" s="19" t="s">
        <v>29</v>
      </c>
      <c r="C243" s="19">
        <v>2</v>
      </c>
      <c r="D243" s="19" t="s">
        <v>397</v>
      </c>
      <c r="E243" s="19" t="s">
        <v>504</v>
      </c>
      <c r="F243" s="19"/>
      <c r="G243" s="20">
        <f>G245+G244</f>
        <v>1209</v>
      </c>
      <c r="H243" s="20">
        <f>H245+H244</f>
        <v>1209</v>
      </c>
      <c r="I243" s="20">
        <f>I245+I244</f>
        <v>1209</v>
      </c>
    </row>
    <row r="244" spans="1:9" s="9" customFormat="1" x14ac:dyDescent="0.2">
      <c r="A244" s="28" t="s">
        <v>67</v>
      </c>
      <c r="B244" s="19" t="s">
        <v>29</v>
      </c>
      <c r="C244" s="19">
        <v>2</v>
      </c>
      <c r="D244" s="19" t="s">
        <v>397</v>
      </c>
      <c r="E244" s="19" t="s">
        <v>504</v>
      </c>
      <c r="F244" s="24" t="s">
        <v>68</v>
      </c>
      <c r="G244" s="25">
        <f>' первое чтение вед стр-ра'!G317</f>
        <v>31.1</v>
      </c>
      <c r="H244" s="25">
        <f>' первое чтение вед стр-ра'!H317</f>
        <v>31.1</v>
      </c>
      <c r="I244" s="25">
        <f>' первое чтение вед стр-ра'!I317</f>
        <v>31.1</v>
      </c>
    </row>
    <row r="245" spans="1:9" ht="25.5" x14ac:dyDescent="0.2">
      <c r="A245" s="28" t="s">
        <v>130</v>
      </c>
      <c r="B245" s="19" t="s">
        <v>29</v>
      </c>
      <c r="C245" s="19">
        <v>2</v>
      </c>
      <c r="D245" s="19" t="s">
        <v>397</v>
      </c>
      <c r="E245" s="19" t="s">
        <v>504</v>
      </c>
      <c r="F245" s="24" t="s">
        <v>63</v>
      </c>
      <c r="G245" s="25">
        <f>' первое чтение вед стр-ра'!G318</f>
        <v>1177.9000000000001</v>
      </c>
      <c r="H245" s="25">
        <f>' первое чтение вед стр-ра'!H318</f>
        <v>1177.9000000000001</v>
      </c>
      <c r="I245" s="25">
        <f>' первое чтение вед стр-ра'!I318</f>
        <v>1177.9000000000001</v>
      </c>
    </row>
    <row r="246" spans="1:9" ht="25.5" x14ac:dyDescent="0.2">
      <c r="A246" s="18" t="s">
        <v>327</v>
      </c>
      <c r="B246" s="19" t="s">
        <v>29</v>
      </c>
      <c r="C246" s="19">
        <v>2</v>
      </c>
      <c r="D246" s="19" t="s">
        <v>397</v>
      </c>
      <c r="E246" s="19">
        <v>72010</v>
      </c>
      <c r="F246" s="19"/>
      <c r="G246" s="20">
        <f>G247+G248</f>
        <v>1600</v>
      </c>
      <c r="H246" s="20">
        <f>H247+H248</f>
        <v>1600</v>
      </c>
      <c r="I246" s="20">
        <f>I247+I248</f>
        <v>1600</v>
      </c>
    </row>
    <row r="247" spans="1:9" x14ac:dyDescent="0.2">
      <c r="A247" s="28" t="s">
        <v>67</v>
      </c>
      <c r="B247" s="24" t="s">
        <v>29</v>
      </c>
      <c r="C247" s="24">
        <v>2</v>
      </c>
      <c r="D247" s="24" t="s">
        <v>397</v>
      </c>
      <c r="E247" s="24">
        <v>72010</v>
      </c>
      <c r="F247" s="24" t="s">
        <v>68</v>
      </c>
      <c r="G247" s="25">
        <f>' первое чтение вед стр-ра'!G372+' первое чтение вед стр-ра'!G471</f>
        <v>258.7</v>
      </c>
      <c r="H247" s="25">
        <f>' первое чтение вед стр-ра'!H372+' первое чтение вед стр-ра'!H471</f>
        <v>258.7</v>
      </c>
      <c r="I247" s="25">
        <f>' первое чтение вед стр-ра'!I372+' первое чтение вед стр-ра'!I471</f>
        <v>258.7</v>
      </c>
    </row>
    <row r="248" spans="1:9" ht="25.5" x14ac:dyDescent="0.2">
      <c r="A248" s="28" t="s">
        <v>130</v>
      </c>
      <c r="B248" s="24" t="s">
        <v>29</v>
      </c>
      <c r="C248" s="24">
        <v>2</v>
      </c>
      <c r="D248" s="24" t="s">
        <v>397</v>
      </c>
      <c r="E248" s="24">
        <v>72010</v>
      </c>
      <c r="F248" s="24" t="s">
        <v>63</v>
      </c>
      <c r="G248" s="25">
        <f>' первое чтение вед стр-ра'!G373</f>
        <v>1341.3</v>
      </c>
      <c r="H248" s="25">
        <f>' первое чтение вед стр-ра'!H373</f>
        <v>1341.3</v>
      </c>
      <c r="I248" s="25">
        <f>' первое чтение вед стр-ра'!I373</f>
        <v>1341.3</v>
      </c>
    </row>
    <row r="249" spans="1:9" ht="38.25" x14ac:dyDescent="0.2">
      <c r="A249" s="18" t="s">
        <v>232</v>
      </c>
      <c r="B249" s="19" t="s">
        <v>29</v>
      </c>
      <c r="C249" s="19">
        <v>2</v>
      </c>
      <c r="D249" s="19" t="s">
        <v>397</v>
      </c>
      <c r="E249" s="19">
        <v>72030</v>
      </c>
      <c r="F249" s="19"/>
      <c r="G249" s="20">
        <f>G250</f>
        <v>207</v>
      </c>
      <c r="H249" s="20">
        <f>H250</f>
        <v>207</v>
      </c>
      <c r="I249" s="20">
        <f>I250</f>
        <v>207</v>
      </c>
    </row>
    <row r="250" spans="1:9" x14ac:dyDescent="0.2">
      <c r="A250" s="28" t="s">
        <v>67</v>
      </c>
      <c r="B250" s="24" t="s">
        <v>29</v>
      </c>
      <c r="C250" s="24">
        <v>2</v>
      </c>
      <c r="D250" s="24" t="s">
        <v>397</v>
      </c>
      <c r="E250" s="24">
        <v>72030</v>
      </c>
      <c r="F250" s="127">
        <v>300</v>
      </c>
      <c r="G250" s="25">
        <f>' первое чтение вед стр-ра'!G375</f>
        <v>207</v>
      </c>
      <c r="H250" s="25">
        <f>' первое чтение вед стр-ра'!H375</f>
        <v>207</v>
      </c>
      <c r="I250" s="25">
        <f>' первое чтение вед стр-ра'!I375</f>
        <v>207</v>
      </c>
    </row>
    <row r="251" spans="1:9" ht="38.25" x14ac:dyDescent="0.2">
      <c r="A251" s="46" t="s">
        <v>233</v>
      </c>
      <c r="B251" s="19" t="s">
        <v>29</v>
      </c>
      <c r="C251" s="19">
        <v>2</v>
      </c>
      <c r="D251" s="19" t="s">
        <v>397</v>
      </c>
      <c r="E251" s="19">
        <v>72050</v>
      </c>
      <c r="F251" s="19"/>
      <c r="G251" s="20">
        <f>G252</f>
        <v>570</v>
      </c>
      <c r="H251" s="20">
        <f>H252</f>
        <v>570</v>
      </c>
      <c r="I251" s="20">
        <f>I252</f>
        <v>570</v>
      </c>
    </row>
    <row r="252" spans="1:9" x14ac:dyDescent="0.2">
      <c r="A252" s="28" t="s">
        <v>67</v>
      </c>
      <c r="B252" s="24" t="s">
        <v>29</v>
      </c>
      <c r="C252" s="24">
        <v>2</v>
      </c>
      <c r="D252" s="24" t="s">
        <v>397</v>
      </c>
      <c r="E252" s="24">
        <v>72050</v>
      </c>
      <c r="F252" s="24" t="s">
        <v>68</v>
      </c>
      <c r="G252" s="25">
        <f>' первое чтение вед стр-ра'!G377</f>
        <v>570</v>
      </c>
      <c r="H252" s="25">
        <f>' первое чтение вед стр-ра'!H377</f>
        <v>570</v>
      </c>
      <c r="I252" s="25">
        <f>' первое чтение вед стр-ра'!I377</f>
        <v>570</v>
      </c>
    </row>
    <row r="253" spans="1:9" ht="25.5" x14ac:dyDescent="0.2">
      <c r="A253" s="54" t="s">
        <v>385</v>
      </c>
      <c r="B253" s="19" t="s">
        <v>29</v>
      </c>
      <c r="C253" s="19">
        <v>2</v>
      </c>
      <c r="D253" s="19" t="s">
        <v>397</v>
      </c>
      <c r="E253" s="19" t="s">
        <v>503</v>
      </c>
      <c r="F253" s="19"/>
      <c r="G253" s="20">
        <f>G254</f>
        <v>5</v>
      </c>
      <c r="H253" s="20">
        <f>H254</f>
        <v>0</v>
      </c>
      <c r="I253" s="20">
        <f>I254</f>
        <v>0</v>
      </c>
    </row>
    <row r="254" spans="1:9" x14ac:dyDescent="0.2">
      <c r="A254" s="28" t="s">
        <v>67</v>
      </c>
      <c r="B254" s="24" t="s">
        <v>29</v>
      </c>
      <c r="C254" s="24">
        <v>2</v>
      </c>
      <c r="D254" s="24" t="s">
        <v>397</v>
      </c>
      <c r="E254" s="24" t="s">
        <v>503</v>
      </c>
      <c r="F254" s="24" t="s">
        <v>68</v>
      </c>
      <c r="G254" s="25">
        <f>' первое чтение вед стр-ра'!G393</f>
        <v>5</v>
      </c>
      <c r="H254" s="25">
        <f>' первое чтение вед стр-ра'!H393</f>
        <v>0</v>
      </c>
      <c r="I254" s="25">
        <f>' первое чтение вед стр-ра'!I393</f>
        <v>0</v>
      </c>
    </row>
    <row r="255" spans="1:9" s="73" customFormat="1" ht="25.5" x14ac:dyDescent="0.2">
      <c r="A255" s="97" t="s">
        <v>234</v>
      </c>
      <c r="B255" s="71" t="s">
        <v>29</v>
      </c>
      <c r="C255" s="71">
        <v>2</v>
      </c>
      <c r="D255" s="71" t="s">
        <v>397</v>
      </c>
      <c r="E255" s="71">
        <v>73050</v>
      </c>
      <c r="F255" s="71"/>
      <c r="G255" s="72">
        <f>G257+G256</f>
        <v>2005</v>
      </c>
      <c r="H255" s="72">
        <f>H257+H256</f>
        <v>2005</v>
      </c>
      <c r="I255" s="72">
        <f>I257+I256</f>
        <v>2005</v>
      </c>
    </row>
    <row r="256" spans="1:9" s="73" customFormat="1" ht="25.5" x14ac:dyDescent="0.2">
      <c r="A256" s="74" t="s">
        <v>400</v>
      </c>
      <c r="B256" s="76" t="s">
        <v>29</v>
      </c>
      <c r="C256" s="76">
        <v>2</v>
      </c>
      <c r="D256" s="76" t="s">
        <v>397</v>
      </c>
      <c r="E256" s="76">
        <v>73050</v>
      </c>
      <c r="F256" s="77" t="s">
        <v>66</v>
      </c>
      <c r="G256" s="56">
        <f>' первое чтение вед стр-ра'!G379</f>
        <v>325</v>
      </c>
      <c r="H256" s="56">
        <f>' первое чтение вед стр-ра'!H379</f>
        <v>325</v>
      </c>
      <c r="I256" s="56">
        <f>' первое чтение вед стр-ра'!I379</f>
        <v>325</v>
      </c>
    </row>
    <row r="257" spans="1:9" s="73" customFormat="1" ht="25.5" x14ac:dyDescent="0.2">
      <c r="A257" s="81" t="s">
        <v>130</v>
      </c>
      <c r="B257" s="76" t="s">
        <v>29</v>
      </c>
      <c r="C257" s="76">
        <v>2</v>
      </c>
      <c r="D257" s="76" t="s">
        <v>397</v>
      </c>
      <c r="E257" s="76">
        <v>73050</v>
      </c>
      <c r="F257" s="76" t="s">
        <v>63</v>
      </c>
      <c r="G257" s="56">
        <f>' первое чтение вед стр-ра'!G380</f>
        <v>1680</v>
      </c>
      <c r="H257" s="56">
        <f>' первое чтение вед стр-ра'!H380</f>
        <v>1680</v>
      </c>
      <c r="I257" s="56">
        <f>' первое чтение вед стр-ра'!I380</f>
        <v>1680</v>
      </c>
    </row>
    <row r="258" spans="1:9" ht="63.75" x14ac:dyDescent="0.2">
      <c r="A258" s="18" t="s">
        <v>393</v>
      </c>
      <c r="B258" s="19" t="s">
        <v>29</v>
      </c>
      <c r="C258" s="19">
        <v>2</v>
      </c>
      <c r="D258" s="19" t="s">
        <v>397</v>
      </c>
      <c r="E258" s="19">
        <v>80120</v>
      </c>
      <c r="F258" s="19"/>
      <c r="G258" s="20">
        <f>G259</f>
        <v>325.89999999999998</v>
      </c>
      <c r="H258" s="20">
        <f>H259</f>
        <v>325.89999999999998</v>
      </c>
      <c r="I258" s="20">
        <f>I259</f>
        <v>325.89999999999998</v>
      </c>
    </row>
    <row r="259" spans="1:9" s="73" customFormat="1" x14ac:dyDescent="0.2">
      <c r="A259" s="81" t="s">
        <v>67</v>
      </c>
      <c r="B259" s="76" t="s">
        <v>29</v>
      </c>
      <c r="C259" s="76">
        <v>2</v>
      </c>
      <c r="D259" s="76" t="s">
        <v>397</v>
      </c>
      <c r="E259" s="76">
        <v>80120</v>
      </c>
      <c r="F259" s="76" t="s">
        <v>68</v>
      </c>
      <c r="G259" s="56">
        <f>' первое чтение вед стр-ра'!G382</f>
        <v>325.89999999999998</v>
      </c>
      <c r="H259" s="56">
        <f>' первое чтение вед стр-ра'!H382</f>
        <v>325.89999999999998</v>
      </c>
      <c r="I259" s="56">
        <f>' первое чтение вед стр-ра'!I382</f>
        <v>325.89999999999998</v>
      </c>
    </row>
    <row r="260" spans="1:9" ht="101.25" customHeight="1" x14ac:dyDescent="0.2">
      <c r="A260" s="54" t="s">
        <v>388</v>
      </c>
      <c r="B260" s="19" t="s">
        <v>29</v>
      </c>
      <c r="C260" s="19">
        <v>2</v>
      </c>
      <c r="D260" s="19" t="s">
        <v>397</v>
      </c>
      <c r="E260" s="19">
        <v>80130</v>
      </c>
      <c r="F260" s="19"/>
      <c r="G260" s="20">
        <f>G261</f>
        <v>39680</v>
      </c>
      <c r="H260" s="20">
        <f>H261</f>
        <v>39680</v>
      </c>
      <c r="I260" s="20">
        <f>I261</f>
        <v>39680</v>
      </c>
    </row>
    <row r="261" spans="1:9" x14ac:dyDescent="0.2">
      <c r="A261" s="28" t="s">
        <v>67</v>
      </c>
      <c r="B261" s="24" t="s">
        <v>29</v>
      </c>
      <c r="C261" s="24">
        <v>2</v>
      </c>
      <c r="D261" s="24" t="s">
        <v>397</v>
      </c>
      <c r="E261" s="24">
        <v>80130</v>
      </c>
      <c r="F261" s="24" t="s">
        <v>68</v>
      </c>
      <c r="G261" s="25">
        <f>' первое чтение вед стр-ра'!G395</f>
        <v>39680</v>
      </c>
      <c r="H261" s="25">
        <f>' первое чтение вед стр-ра'!H395</f>
        <v>39680</v>
      </c>
      <c r="I261" s="25">
        <f>' первое чтение вед стр-ра'!I395</f>
        <v>39680</v>
      </c>
    </row>
    <row r="262" spans="1:9" ht="101.25" customHeight="1" x14ac:dyDescent="0.2">
      <c r="A262" s="54" t="s">
        <v>689</v>
      </c>
      <c r="B262" s="19" t="s">
        <v>29</v>
      </c>
      <c r="C262" s="19">
        <v>2</v>
      </c>
      <c r="D262" s="19" t="s">
        <v>397</v>
      </c>
      <c r="E262" s="19" t="s">
        <v>502</v>
      </c>
      <c r="F262" s="19"/>
      <c r="G262" s="20">
        <f>G263</f>
        <v>250</v>
      </c>
      <c r="H262" s="20">
        <f>H263</f>
        <v>250</v>
      </c>
      <c r="I262" s="20">
        <f>I263</f>
        <v>250</v>
      </c>
    </row>
    <row r="263" spans="1:9" x14ac:dyDescent="0.2">
      <c r="A263" s="28" t="s">
        <v>67</v>
      </c>
      <c r="B263" s="24" t="s">
        <v>29</v>
      </c>
      <c r="C263" s="24">
        <v>2</v>
      </c>
      <c r="D263" s="24" t="s">
        <v>397</v>
      </c>
      <c r="E263" s="24" t="s">
        <v>502</v>
      </c>
      <c r="F263" s="24" t="s">
        <v>68</v>
      </c>
      <c r="G263" s="25">
        <f>' первое чтение вед стр-ра'!G397</f>
        <v>250</v>
      </c>
      <c r="H263" s="25">
        <f>' первое чтение вед стр-ра'!H397</f>
        <v>250</v>
      </c>
      <c r="I263" s="25">
        <f>' первое чтение вед стр-ра'!I397</f>
        <v>250</v>
      </c>
    </row>
    <row r="264" spans="1:9" ht="38.25" x14ac:dyDescent="0.2">
      <c r="A264" s="18" t="s">
        <v>371</v>
      </c>
      <c r="B264" s="19" t="s">
        <v>29</v>
      </c>
      <c r="C264" s="19">
        <v>2</v>
      </c>
      <c r="D264" s="19" t="s">
        <v>397</v>
      </c>
      <c r="E264" s="19" t="s">
        <v>501</v>
      </c>
      <c r="F264" s="19"/>
      <c r="G264" s="20">
        <f>G265</f>
        <v>2957.1</v>
      </c>
      <c r="H264" s="20">
        <f>H265</f>
        <v>2957.1</v>
      </c>
      <c r="I264" s="20">
        <f>I265</f>
        <v>2957.1</v>
      </c>
    </row>
    <row r="265" spans="1:9" s="26" customFormat="1" ht="25.5" x14ac:dyDescent="0.2">
      <c r="A265" s="81" t="s">
        <v>130</v>
      </c>
      <c r="B265" s="24" t="s">
        <v>29</v>
      </c>
      <c r="C265" s="24">
        <v>2</v>
      </c>
      <c r="D265" s="24" t="s">
        <v>397</v>
      </c>
      <c r="E265" s="24" t="s">
        <v>501</v>
      </c>
      <c r="F265" s="24" t="s">
        <v>63</v>
      </c>
      <c r="G265" s="25">
        <f>' первое чтение вед стр-ра'!G399</f>
        <v>2957.1</v>
      </c>
      <c r="H265" s="25">
        <f>' первое чтение вед стр-ра'!H399</f>
        <v>2957.1</v>
      </c>
      <c r="I265" s="25">
        <f>' первое чтение вед стр-ра'!I399</f>
        <v>2957.1</v>
      </c>
    </row>
    <row r="266" spans="1:9" ht="38.25" x14ac:dyDescent="0.2">
      <c r="A266" s="18" t="s">
        <v>370</v>
      </c>
      <c r="B266" s="19" t="s">
        <v>29</v>
      </c>
      <c r="C266" s="19">
        <v>2</v>
      </c>
      <c r="D266" s="19" t="s">
        <v>397</v>
      </c>
      <c r="E266" s="19" t="s">
        <v>500</v>
      </c>
      <c r="F266" s="19"/>
      <c r="G266" s="20">
        <f>G268+G267</f>
        <v>1350.3</v>
      </c>
      <c r="H266" s="20">
        <f>H268+H267</f>
        <v>1350.3</v>
      </c>
      <c r="I266" s="20">
        <f>I268+I267</f>
        <v>1350.3</v>
      </c>
    </row>
    <row r="267" spans="1:9" s="26" customFormat="1" ht="25.5" x14ac:dyDescent="0.2">
      <c r="A267" s="81" t="s">
        <v>74</v>
      </c>
      <c r="B267" s="24" t="s">
        <v>29</v>
      </c>
      <c r="C267" s="24">
        <v>2</v>
      </c>
      <c r="D267" s="24" t="s">
        <v>397</v>
      </c>
      <c r="E267" s="24" t="s">
        <v>500</v>
      </c>
      <c r="F267" s="24" t="s">
        <v>66</v>
      </c>
      <c r="G267" s="25">
        <f>' первое чтение вед стр-ра'!G401</f>
        <v>393.2</v>
      </c>
      <c r="H267" s="25">
        <f>' первое чтение вед стр-ра'!H401</f>
        <v>393.2</v>
      </c>
      <c r="I267" s="25">
        <f>' первое чтение вед стр-ра'!I401</f>
        <v>393.2</v>
      </c>
    </row>
    <row r="268" spans="1:9" s="26" customFormat="1" ht="25.5" x14ac:dyDescent="0.2">
      <c r="A268" s="81" t="s">
        <v>130</v>
      </c>
      <c r="B268" s="24" t="s">
        <v>29</v>
      </c>
      <c r="C268" s="24">
        <v>2</v>
      </c>
      <c r="D268" s="24" t="s">
        <v>397</v>
      </c>
      <c r="E268" s="24" t="s">
        <v>500</v>
      </c>
      <c r="F268" s="24" t="s">
        <v>63</v>
      </c>
      <c r="G268" s="25">
        <f>' первое чтение вед стр-ра'!G402</f>
        <v>957.1</v>
      </c>
      <c r="H268" s="25">
        <f>' первое чтение вед стр-ра'!H402</f>
        <v>957.1</v>
      </c>
      <c r="I268" s="25">
        <f>' первое чтение вед стр-ра'!I402</f>
        <v>957.1</v>
      </c>
    </row>
    <row r="269" spans="1:9" s="197" customFormat="1" ht="25.5" x14ac:dyDescent="0.2">
      <c r="A269" s="18" t="s">
        <v>643</v>
      </c>
      <c r="B269" s="19" t="s">
        <v>29</v>
      </c>
      <c r="C269" s="19" t="s">
        <v>434</v>
      </c>
      <c r="D269" s="19" t="s">
        <v>397</v>
      </c>
      <c r="E269" s="19" t="s">
        <v>644</v>
      </c>
      <c r="F269" s="19"/>
      <c r="G269" s="20">
        <f>G271+G270</f>
        <v>32</v>
      </c>
      <c r="H269" s="20">
        <f t="shared" ref="H269:I269" si="33">H271+H270</f>
        <v>0</v>
      </c>
      <c r="I269" s="20">
        <f t="shared" si="33"/>
        <v>0</v>
      </c>
    </row>
    <row r="270" spans="1:9" s="197" customFormat="1" ht="51" x14ac:dyDescent="0.2">
      <c r="A270" s="74" t="s">
        <v>64</v>
      </c>
      <c r="B270" s="24" t="s">
        <v>29</v>
      </c>
      <c r="C270" s="24" t="s">
        <v>434</v>
      </c>
      <c r="D270" s="24" t="s">
        <v>397</v>
      </c>
      <c r="E270" s="24" t="s">
        <v>644</v>
      </c>
      <c r="F270" s="27" t="s">
        <v>65</v>
      </c>
      <c r="G270" s="25">
        <f>' первое чтение вед стр-ра'!G480</f>
        <v>19.33426</v>
      </c>
      <c r="H270" s="25">
        <f>' первое чтение вед стр-ра'!H480</f>
        <v>0</v>
      </c>
      <c r="I270" s="25">
        <f>' первое чтение вед стр-ра'!I480</f>
        <v>0</v>
      </c>
    </row>
    <row r="271" spans="1:9" s="197" customFormat="1" ht="25.5" x14ac:dyDescent="0.2">
      <c r="A271" s="30" t="s">
        <v>400</v>
      </c>
      <c r="B271" s="24" t="s">
        <v>29</v>
      </c>
      <c r="C271" s="24" t="s">
        <v>434</v>
      </c>
      <c r="D271" s="24" t="s">
        <v>397</v>
      </c>
      <c r="E271" s="24" t="s">
        <v>644</v>
      </c>
      <c r="F271" s="27" t="s">
        <v>66</v>
      </c>
      <c r="G271" s="25">
        <f>' первое чтение вед стр-ра'!G481</f>
        <v>12.66574</v>
      </c>
      <c r="H271" s="25">
        <f>' первое чтение вед стр-ра'!H481</f>
        <v>0</v>
      </c>
      <c r="I271" s="25">
        <f>' первое чтение вед стр-ра'!I481</f>
        <v>0</v>
      </c>
    </row>
    <row r="272" spans="1:9" s="73" customFormat="1" x14ac:dyDescent="0.2">
      <c r="A272" s="135" t="s">
        <v>499</v>
      </c>
      <c r="B272" s="134" t="s">
        <v>29</v>
      </c>
      <c r="C272" s="133" t="s">
        <v>430</v>
      </c>
      <c r="D272" s="133"/>
      <c r="E272" s="133"/>
      <c r="F272" s="133"/>
      <c r="G272" s="132">
        <f>SUM(G273,G276,G278,G283)</f>
        <v>67607.599999999991</v>
      </c>
      <c r="H272" s="132">
        <f>SUM(H273,H276,H278,H283)</f>
        <v>59431.6</v>
      </c>
      <c r="I272" s="132">
        <f>SUM(I273,I276,I278,I283)</f>
        <v>58732.299999999996</v>
      </c>
    </row>
    <row r="273" spans="1:9" s="73" customFormat="1" ht="25.5" x14ac:dyDescent="0.2">
      <c r="A273" s="69" t="s">
        <v>316</v>
      </c>
      <c r="B273" s="71" t="s">
        <v>29</v>
      </c>
      <c r="C273" s="71">
        <v>3</v>
      </c>
      <c r="D273" s="71" t="s">
        <v>397</v>
      </c>
      <c r="E273" s="71" t="s">
        <v>498</v>
      </c>
      <c r="F273" s="71"/>
      <c r="G273" s="72">
        <f>G274+G275</f>
        <v>4467.2</v>
      </c>
      <c r="H273" s="72">
        <f>H274+H275</f>
        <v>4407.2</v>
      </c>
      <c r="I273" s="72">
        <f>I274+I275</f>
        <v>4407.2</v>
      </c>
    </row>
    <row r="274" spans="1:9" ht="51" x14ac:dyDescent="0.2">
      <c r="A274" s="30" t="s">
        <v>64</v>
      </c>
      <c r="B274" s="24" t="s">
        <v>29</v>
      </c>
      <c r="C274" s="24">
        <v>3</v>
      </c>
      <c r="D274" s="24" t="s">
        <v>397</v>
      </c>
      <c r="E274" s="24" t="s">
        <v>498</v>
      </c>
      <c r="F274" s="27" t="s">
        <v>65</v>
      </c>
      <c r="G274" s="25">
        <f>' первое чтение вед стр-ра'!G360</f>
        <v>4427.2</v>
      </c>
      <c r="H274" s="25">
        <f>' первое чтение вед стр-ра'!H360</f>
        <v>4407.2</v>
      </c>
      <c r="I274" s="25">
        <f>' первое чтение вед стр-ра'!I360</f>
        <v>4407.2</v>
      </c>
    </row>
    <row r="275" spans="1:9" s="73" customFormat="1" ht="25.5" x14ac:dyDescent="0.2">
      <c r="A275" s="74" t="s">
        <v>400</v>
      </c>
      <c r="B275" s="76" t="s">
        <v>29</v>
      </c>
      <c r="C275" s="76">
        <v>3</v>
      </c>
      <c r="D275" s="76" t="s">
        <v>397</v>
      </c>
      <c r="E275" s="76" t="s">
        <v>498</v>
      </c>
      <c r="F275" s="77" t="s">
        <v>66</v>
      </c>
      <c r="G275" s="25">
        <f>' первое чтение вед стр-ра'!G361</f>
        <v>40</v>
      </c>
      <c r="H275" s="25">
        <f>' первое чтение вед стр-ра'!H361</f>
        <v>0</v>
      </c>
      <c r="I275" s="25">
        <f>' первое чтение вед стр-ра'!I361</f>
        <v>0</v>
      </c>
    </row>
    <row r="276" spans="1:9" s="73" customFormat="1" ht="25.5" x14ac:dyDescent="0.2">
      <c r="A276" s="69" t="s">
        <v>316</v>
      </c>
      <c r="B276" s="71" t="s">
        <v>29</v>
      </c>
      <c r="C276" s="71">
        <v>3</v>
      </c>
      <c r="D276" s="71" t="s">
        <v>397</v>
      </c>
      <c r="E276" s="71" t="s">
        <v>497</v>
      </c>
      <c r="F276" s="71"/>
      <c r="G276" s="72">
        <f>G277</f>
        <v>22701.300000000003</v>
      </c>
      <c r="H276" s="72">
        <f>H277</f>
        <v>21478.7</v>
      </c>
      <c r="I276" s="72">
        <f>I277</f>
        <v>21108.5</v>
      </c>
    </row>
    <row r="277" spans="1:9" ht="25.5" x14ac:dyDescent="0.2">
      <c r="A277" s="28" t="s">
        <v>130</v>
      </c>
      <c r="B277" s="24" t="s">
        <v>29</v>
      </c>
      <c r="C277" s="24">
        <v>3</v>
      </c>
      <c r="D277" s="24" t="s">
        <v>397</v>
      </c>
      <c r="E277" s="24" t="s">
        <v>497</v>
      </c>
      <c r="F277" s="24" t="s">
        <v>63</v>
      </c>
      <c r="G277" s="25">
        <f>' первое чтение вед стр-ра'!G363</f>
        <v>22701.300000000003</v>
      </c>
      <c r="H277" s="25">
        <f>' первое чтение вед стр-ра'!H363</f>
        <v>21478.7</v>
      </c>
      <c r="I277" s="25">
        <f>' первое чтение вед стр-ра'!I363</f>
        <v>21108.5</v>
      </c>
    </row>
    <row r="278" spans="1:9" s="78" customFormat="1" ht="25.5" x14ac:dyDescent="0.2">
      <c r="A278" s="69" t="s">
        <v>316</v>
      </c>
      <c r="B278" s="71" t="s">
        <v>29</v>
      </c>
      <c r="C278" s="71">
        <v>3</v>
      </c>
      <c r="D278" s="71" t="s">
        <v>397</v>
      </c>
      <c r="E278" s="71" t="s">
        <v>496</v>
      </c>
      <c r="F278" s="71"/>
      <c r="G278" s="72">
        <f>G279+G280+G281+G282</f>
        <v>37193.199999999997</v>
      </c>
      <c r="H278" s="72">
        <f>H279+H280+H281+H282</f>
        <v>30299.8</v>
      </c>
      <c r="I278" s="72">
        <f>I279+I280+I281+I282</f>
        <v>29970.699999999997</v>
      </c>
    </row>
    <row r="279" spans="1:9" ht="51" x14ac:dyDescent="0.2">
      <c r="A279" s="30" t="s">
        <v>64</v>
      </c>
      <c r="B279" s="24" t="s">
        <v>29</v>
      </c>
      <c r="C279" s="24">
        <v>3</v>
      </c>
      <c r="D279" s="24" t="s">
        <v>397</v>
      </c>
      <c r="E279" s="24" t="s">
        <v>496</v>
      </c>
      <c r="F279" s="27" t="s">
        <v>65</v>
      </c>
      <c r="G279" s="25">
        <f>' первое чтение вед стр-ра'!G365</f>
        <v>15015.2</v>
      </c>
      <c r="H279" s="25">
        <f>' первое чтение вед стр-ра'!H365</f>
        <v>12092.899999999998</v>
      </c>
      <c r="I279" s="25">
        <f>' первое чтение вед стр-ра'!I365</f>
        <v>12092.899999999998</v>
      </c>
    </row>
    <row r="280" spans="1:9" s="73" customFormat="1" ht="25.5" x14ac:dyDescent="0.2">
      <c r="A280" s="74" t="s">
        <v>400</v>
      </c>
      <c r="B280" s="76" t="s">
        <v>29</v>
      </c>
      <c r="C280" s="76">
        <v>3</v>
      </c>
      <c r="D280" s="76" t="s">
        <v>397</v>
      </c>
      <c r="E280" s="76" t="s">
        <v>496</v>
      </c>
      <c r="F280" s="77" t="s">
        <v>66</v>
      </c>
      <c r="G280" s="25">
        <f>' первое чтение вед стр-ра'!G366</f>
        <v>2636.3999999999996</v>
      </c>
      <c r="H280" s="25">
        <f>' первое чтение вед стр-ра'!H366</f>
        <v>0</v>
      </c>
      <c r="I280" s="25">
        <f>' первое чтение вед стр-ра'!I366</f>
        <v>0</v>
      </c>
    </row>
    <row r="281" spans="1:9" s="73" customFormat="1" ht="25.5" x14ac:dyDescent="0.2">
      <c r="A281" s="81" t="s">
        <v>130</v>
      </c>
      <c r="B281" s="76" t="s">
        <v>29</v>
      </c>
      <c r="C281" s="76">
        <v>3</v>
      </c>
      <c r="D281" s="76" t="s">
        <v>397</v>
      </c>
      <c r="E281" s="76" t="s">
        <v>496</v>
      </c>
      <c r="F281" s="76" t="s">
        <v>63</v>
      </c>
      <c r="G281" s="25">
        <f>' первое чтение вед стр-ра'!G367</f>
        <v>19500.5</v>
      </c>
      <c r="H281" s="25">
        <f>' первое чтение вед стр-ра'!H367</f>
        <v>18206.900000000001</v>
      </c>
      <c r="I281" s="25">
        <f>' первое чтение вед стр-ра'!I367</f>
        <v>17877.8</v>
      </c>
    </row>
    <row r="282" spans="1:9" s="73" customFormat="1" x14ac:dyDescent="0.2">
      <c r="A282" s="81" t="s">
        <v>70</v>
      </c>
      <c r="B282" s="76" t="s">
        <v>29</v>
      </c>
      <c r="C282" s="76">
        <v>3</v>
      </c>
      <c r="D282" s="76" t="s">
        <v>397</v>
      </c>
      <c r="E282" s="76" t="s">
        <v>496</v>
      </c>
      <c r="F282" s="76" t="s">
        <v>71</v>
      </c>
      <c r="G282" s="25">
        <f>' первое чтение вед стр-ра'!G368</f>
        <v>41.099999999999994</v>
      </c>
      <c r="H282" s="25">
        <f>' первое чтение вед стр-ра'!H368</f>
        <v>0</v>
      </c>
      <c r="I282" s="25">
        <f>' первое чтение вед стр-ра'!I368</f>
        <v>0</v>
      </c>
    </row>
    <row r="283" spans="1:9" ht="102" x14ac:dyDescent="0.2">
      <c r="A283" s="18" t="s">
        <v>380</v>
      </c>
      <c r="B283" s="5" t="s">
        <v>29</v>
      </c>
      <c r="C283" s="5">
        <v>3</v>
      </c>
      <c r="D283" s="5" t="s">
        <v>397</v>
      </c>
      <c r="E283" s="5">
        <v>72070</v>
      </c>
      <c r="F283" s="19"/>
      <c r="G283" s="20">
        <f>G284+G285</f>
        <v>3245.9</v>
      </c>
      <c r="H283" s="20">
        <f>H284+H285</f>
        <v>3245.9</v>
      </c>
      <c r="I283" s="20">
        <f>I284+I285</f>
        <v>3245.9</v>
      </c>
    </row>
    <row r="284" spans="1:9" ht="51" x14ac:dyDescent="0.2">
      <c r="A284" s="30" t="s">
        <v>64</v>
      </c>
      <c r="B284" s="24" t="s">
        <v>29</v>
      </c>
      <c r="C284" s="24">
        <v>3</v>
      </c>
      <c r="D284" s="24" t="s">
        <v>397</v>
      </c>
      <c r="E284" s="24">
        <v>72070</v>
      </c>
      <c r="F284" s="27" t="s">
        <v>65</v>
      </c>
      <c r="G284" s="25">
        <f>' первое чтение вед стр-ра'!G357</f>
        <v>2869.4</v>
      </c>
      <c r="H284" s="25">
        <f>' первое чтение вед стр-ра'!H357</f>
        <v>2869.4</v>
      </c>
      <c r="I284" s="25">
        <f>' первое чтение вед стр-ра'!I357</f>
        <v>2869.4</v>
      </c>
    </row>
    <row r="285" spans="1:9" ht="25.5" x14ac:dyDescent="0.2">
      <c r="A285" s="30" t="s">
        <v>400</v>
      </c>
      <c r="B285" s="24" t="s">
        <v>29</v>
      </c>
      <c r="C285" s="24">
        <v>3</v>
      </c>
      <c r="D285" s="24" t="s">
        <v>397</v>
      </c>
      <c r="E285" s="24">
        <v>72070</v>
      </c>
      <c r="F285" s="27" t="s">
        <v>66</v>
      </c>
      <c r="G285" s="25">
        <f>' первое чтение вед стр-ра'!G358</f>
        <v>376.5</v>
      </c>
      <c r="H285" s="25">
        <f>' первое чтение вед стр-ра'!H358</f>
        <v>376.5</v>
      </c>
      <c r="I285" s="25">
        <f>' первое чтение вед стр-ра'!I358</f>
        <v>376.5</v>
      </c>
    </row>
    <row r="286" spans="1:9" ht="27.75" customHeight="1" x14ac:dyDescent="0.2">
      <c r="A286" s="142" t="s">
        <v>495</v>
      </c>
      <c r="B286" s="40" t="s">
        <v>48</v>
      </c>
      <c r="C286" s="40"/>
      <c r="D286" s="40"/>
      <c r="E286" s="40"/>
      <c r="F286" s="141"/>
      <c r="G286" s="38">
        <f>SUM(G294,G297,G299,G302,G306)+G290+G292+G287</f>
        <v>106128.9</v>
      </c>
      <c r="H286" s="38">
        <f t="shared" ref="H286:I286" si="34">SUM(H294,H297,H299,H302,H306)+H290+H292+H287</f>
        <v>101132.5</v>
      </c>
      <c r="I286" s="38">
        <f t="shared" si="34"/>
        <v>99124.3</v>
      </c>
    </row>
    <row r="287" spans="1:9" s="26" customFormat="1" x14ac:dyDescent="0.2">
      <c r="A287" s="23" t="s">
        <v>636</v>
      </c>
      <c r="B287" s="24" t="s">
        <v>48</v>
      </c>
      <c r="C287" s="24" t="s">
        <v>398</v>
      </c>
      <c r="D287" s="24" t="s">
        <v>634</v>
      </c>
      <c r="E287" s="24"/>
      <c r="F287" s="27"/>
      <c r="G287" s="25">
        <f>G288</f>
        <v>0</v>
      </c>
      <c r="H287" s="25">
        <f t="shared" ref="H287:I288" si="35">H288</f>
        <v>0</v>
      </c>
      <c r="I287" s="25">
        <f t="shared" si="35"/>
        <v>0</v>
      </c>
    </row>
    <row r="288" spans="1:9" s="197" customFormat="1" x14ac:dyDescent="0.2">
      <c r="A288" s="18" t="s">
        <v>632</v>
      </c>
      <c r="B288" s="19" t="s">
        <v>48</v>
      </c>
      <c r="C288" s="19" t="s">
        <v>398</v>
      </c>
      <c r="D288" s="19" t="s">
        <v>634</v>
      </c>
      <c r="E288" s="19" t="s">
        <v>635</v>
      </c>
      <c r="F288" s="19"/>
      <c r="G288" s="20">
        <f>G289</f>
        <v>0</v>
      </c>
      <c r="H288" s="20">
        <f t="shared" si="35"/>
        <v>0</v>
      </c>
      <c r="I288" s="20">
        <f t="shared" si="35"/>
        <v>0</v>
      </c>
    </row>
    <row r="289" spans="1:9" s="197" customFormat="1" ht="25.5" x14ac:dyDescent="0.2">
      <c r="A289" s="28" t="s">
        <v>130</v>
      </c>
      <c r="B289" s="24" t="s">
        <v>48</v>
      </c>
      <c r="C289" s="24" t="s">
        <v>398</v>
      </c>
      <c r="D289" s="24" t="s">
        <v>634</v>
      </c>
      <c r="E289" s="24" t="s">
        <v>635</v>
      </c>
      <c r="F289" s="24" t="s">
        <v>63</v>
      </c>
      <c r="G289" s="20">
        <f>' первое чтение вед стр-ра'!G446</f>
        <v>0</v>
      </c>
      <c r="H289" s="20">
        <f>' первое чтение вед стр-ра'!H446</f>
        <v>0</v>
      </c>
      <c r="I289" s="20">
        <f>' первое чтение вед стр-ра'!I446</f>
        <v>0</v>
      </c>
    </row>
    <row r="290" spans="1:9" ht="38.25" x14ac:dyDescent="0.2">
      <c r="A290" s="18" t="s">
        <v>335</v>
      </c>
      <c r="B290" s="19" t="s">
        <v>48</v>
      </c>
      <c r="C290" s="19" t="s">
        <v>398</v>
      </c>
      <c r="D290" s="19" t="s">
        <v>397</v>
      </c>
      <c r="E290" s="19" t="s">
        <v>494</v>
      </c>
      <c r="F290" s="19"/>
      <c r="G290" s="20">
        <f>G291</f>
        <v>4425</v>
      </c>
      <c r="H290" s="20">
        <f>H291</f>
        <v>4425</v>
      </c>
      <c r="I290" s="20">
        <f>I291</f>
        <v>4425</v>
      </c>
    </row>
    <row r="291" spans="1:9" ht="25.5" x14ac:dyDescent="0.2">
      <c r="A291" s="28" t="s">
        <v>130</v>
      </c>
      <c r="B291" s="24" t="s">
        <v>48</v>
      </c>
      <c r="C291" s="24" t="s">
        <v>398</v>
      </c>
      <c r="D291" s="24" t="s">
        <v>397</v>
      </c>
      <c r="E291" s="24" t="s">
        <v>494</v>
      </c>
      <c r="F291" s="24" t="s">
        <v>63</v>
      </c>
      <c r="G291" s="25">
        <f>' первое чтение вед стр-ра'!G448</f>
        <v>4425</v>
      </c>
      <c r="H291" s="25">
        <f>' первое чтение вед стр-ра'!H448</f>
        <v>4425</v>
      </c>
      <c r="I291" s="25">
        <f>' первое чтение вед стр-ра'!I448</f>
        <v>4425</v>
      </c>
    </row>
    <row r="292" spans="1:9" s="197" customFormat="1" ht="25.5" x14ac:dyDescent="0.2">
      <c r="A292" s="18" t="s">
        <v>343</v>
      </c>
      <c r="B292" s="19" t="s">
        <v>48</v>
      </c>
      <c r="C292" s="19" t="s">
        <v>398</v>
      </c>
      <c r="D292" s="19" t="s">
        <v>397</v>
      </c>
      <c r="E292" s="19" t="s">
        <v>593</v>
      </c>
      <c r="F292" s="19"/>
      <c r="G292" s="20">
        <f>G293</f>
        <v>0</v>
      </c>
      <c r="H292" s="20">
        <f>H293</f>
        <v>0</v>
      </c>
      <c r="I292" s="20">
        <f>I293</f>
        <v>0</v>
      </c>
    </row>
    <row r="293" spans="1:9" s="197" customFormat="1" ht="25.5" x14ac:dyDescent="0.2">
      <c r="A293" s="28" t="s">
        <v>130</v>
      </c>
      <c r="B293" s="24" t="s">
        <v>48</v>
      </c>
      <c r="C293" s="24" t="s">
        <v>398</v>
      </c>
      <c r="D293" s="24" t="s">
        <v>397</v>
      </c>
      <c r="E293" s="24" t="s">
        <v>593</v>
      </c>
      <c r="F293" s="24" t="s">
        <v>63</v>
      </c>
      <c r="G293" s="25">
        <f>' первое чтение вед стр-ра'!G450</f>
        <v>0</v>
      </c>
      <c r="H293" s="25">
        <f>' первое чтение вед стр-ра'!H450</f>
        <v>0</v>
      </c>
      <c r="I293" s="25">
        <f>' первое чтение вед стр-ра'!I450</f>
        <v>0</v>
      </c>
    </row>
    <row r="294" spans="1:9" x14ac:dyDescent="0.2">
      <c r="A294" s="18" t="s">
        <v>239</v>
      </c>
      <c r="B294" s="19" t="s">
        <v>48</v>
      </c>
      <c r="C294" s="19">
        <v>0</v>
      </c>
      <c r="D294" s="19" t="s">
        <v>397</v>
      </c>
      <c r="E294" s="19" t="s">
        <v>493</v>
      </c>
      <c r="F294" s="19"/>
      <c r="G294" s="20">
        <f>G296+G295</f>
        <v>56806.5</v>
      </c>
      <c r="H294" s="20">
        <f>H296+H295</f>
        <v>53505</v>
      </c>
      <c r="I294" s="20">
        <f>I296+I295</f>
        <v>51942.3</v>
      </c>
    </row>
    <row r="295" spans="1:9" s="9" customFormat="1" x14ac:dyDescent="0.2">
      <c r="A295" s="28" t="s">
        <v>67</v>
      </c>
      <c r="B295" s="24" t="s">
        <v>48</v>
      </c>
      <c r="C295" s="24">
        <v>0</v>
      </c>
      <c r="D295" s="24" t="s">
        <v>397</v>
      </c>
      <c r="E295" s="24" t="s">
        <v>493</v>
      </c>
      <c r="F295" s="27" t="s">
        <v>68</v>
      </c>
      <c r="G295" s="25">
        <f>' первое чтение вед стр-ра'!G452</f>
        <v>15</v>
      </c>
      <c r="H295" s="25">
        <f>' первое чтение вед стр-ра'!H452</f>
        <v>0</v>
      </c>
      <c r="I295" s="25">
        <f>' первое чтение вед стр-ра'!I452</f>
        <v>0</v>
      </c>
    </row>
    <row r="296" spans="1:9" ht="25.5" x14ac:dyDescent="0.2">
      <c r="A296" s="28" t="s">
        <v>130</v>
      </c>
      <c r="B296" s="24" t="s">
        <v>48</v>
      </c>
      <c r="C296" s="24">
        <v>0</v>
      </c>
      <c r="D296" s="24" t="s">
        <v>397</v>
      </c>
      <c r="E296" s="24" t="s">
        <v>493</v>
      </c>
      <c r="F296" s="24" t="s">
        <v>63</v>
      </c>
      <c r="G296" s="25">
        <f>' первое чтение вед стр-ра'!G453</f>
        <v>56791.5</v>
      </c>
      <c r="H296" s="25">
        <f>' первое чтение вед стр-ра'!H453</f>
        <v>53505</v>
      </c>
      <c r="I296" s="25">
        <f>' первое чтение вед стр-ра'!I453</f>
        <v>51942.3</v>
      </c>
    </row>
    <row r="297" spans="1:9" x14ac:dyDescent="0.2">
      <c r="A297" s="18" t="s">
        <v>241</v>
      </c>
      <c r="B297" s="19" t="s">
        <v>48</v>
      </c>
      <c r="C297" s="19">
        <v>0</v>
      </c>
      <c r="D297" s="19" t="s">
        <v>397</v>
      </c>
      <c r="E297" s="19" t="s">
        <v>492</v>
      </c>
      <c r="F297" s="19"/>
      <c r="G297" s="20">
        <f>G298</f>
        <v>4159</v>
      </c>
      <c r="H297" s="20">
        <f>H298</f>
        <v>4059.4</v>
      </c>
      <c r="I297" s="20">
        <f>I298</f>
        <v>3992.5</v>
      </c>
    </row>
    <row r="298" spans="1:9" ht="25.5" x14ac:dyDescent="0.2">
      <c r="A298" s="28" t="s">
        <v>130</v>
      </c>
      <c r="B298" s="24" t="s">
        <v>48</v>
      </c>
      <c r="C298" s="24">
        <v>0</v>
      </c>
      <c r="D298" s="24" t="s">
        <v>397</v>
      </c>
      <c r="E298" s="24" t="s">
        <v>492</v>
      </c>
      <c r="F298" s="24" t="s">
        <v>63</v>
      </c>
      <c r="G298" s="25">
        <f>' первое чтение вед стр-ра'!G455</f>
        <v>4159</v>
      </c>
      <c r="H298" s="25">
        <f>' первое чтение вед стр-ра'!H455</f>
        <v>4059.4</v>
      </c>
      <c r="I298" s="25">
        <f>' первое чтение вед стр-ра'!I455</f>
        <v>3992.5</v>
      </c>
    </row>
    <row r="299" spans="1:9" x14ac:dyDescent="0.2">
      <c r="A299" s="18" t="s">
        <v>243</v>
      </c>
      <c r="B299" s="19" t="s">
        <v>48</v>
      </c>
      <c r="C299" s="19">
        <v>0</v>
      </c>
      <c r="D299" s="19" t="s">
        <v>397</v>
      </c>
      <c r="E299" s="19" t="s">
        <v>491</v>
      </c>
      <c r="F299" s="19"/>
      <c r="G299" s="20">
        <f>G301+G300</f>
        <v>19200.2</v>
      </c>
      <c r="H299" s="20">
        <f>H301+H300</f>
        <v>18166.8</v>
      </c>
      <c r="I299" s="20">
        <f>I301+I300</f>
        <v>17788.2</v>
      </c>
    </row>
    <row r="300" spans="1:9" x14ac:dyDescent="0.2">
      <c r="A300" s="28" t="s">
        <v>67</v>
      </c>
      <c r="B300" s="24" t="s">
        <v>48</v>
      </c>
      <c r="C300" s="24">
        <v>0</v>
      </c>
      <c r="D300" s="24" t="s">
        <v>397</v>
      </c>
      <c r="E300" s="24" t="s">
        <v>491</v>
      </c>
      <c r="F300" s="27" t="s">
        <v>68</v>
      </c>
      <c r="G300" s="25">
        <f>' первое чтение вед стр-ра'!G457</f>
        <v>15</v>
      </c>
      <c r="H300" s="25">
        <f>' первое чтение вед стр-ра'!H457</f>
        <v>0</v>
      </c>
      <c r="I300" s="25">
        <f>' первое чтение вед стр-ра'!I457</f>
        <v>0</v>
      </c>
    </row>
    <row r="301" spans="1:9" ht="25.5" x14ac:dyDescent="0.2">
      <c r="A301" s="28" t="s">
        <v>130</v>
      </c>
      <c r="B301" s="24" t="s">
        <v>48</v>
      </c>
      <c r="C301" s="24">
        <v>0</v>
      </c>
      <c r="D301" s="24" t="s">
        <v>397</v>
      </c>
      <c r="E301" s="24" t="s">
        <v>491</v>
      </c>
      <c r="F301" s="24" t="s">
        <v>63</v>
      </c>
      <c r="G301" s="25">
        <f>' первое чтение вед стр-ра'!G458</f>
        <v>19185.2</v>
      </c>
      <c r="H301" s="25">
        <f>' первое чтение вед стр-ра'!H458</f>
        <v>18166.8</v>
      </c>
      <c r="I301" s="25">
        <f>' первое чтение вед стр-ра'!I458</f>
        <v>17788.2</v>
      </c>
    </row>
    <row r="302" spans="1:9" s="73" customFormat="1" x14ac:dyDescent="0.2">
      <c r="A302" s="69" t="s">
        <v>317</v>
      </c>
      <c r="B302" s="71" t="s">
        <v>48</v>
      </c>
      <c r="C302" s="71">
        <v>0</v>
      </c>
      <c r="D302" s="71" t="s">
        <v>397</v>
      </c>
      <c r="E302" s="71" t="s">
        <v>490</v>
      </c>
      <c r="F302" s="71"/>
      <c r="G302" s="72">
        <f>G303+G304+G305</f>
        <v>1290.9000000000001</v>
      </c>
      <c r="H302" s="72">
        <f>H303+H304+H305</f>
        <v>1222.5</v>
      </c>
      <c r="I302" s="72">
        <f>I303+I304+I305</f>
        <v>1222.5</v>
      </c>
    </row>
    <row r="303" spans="1:9" s="73" customFormat="1" ht="51" x14ac:dyDescent="0.2">
      <c r="A303" s="74" t="s">
        <v>64</v>
      </c>
      <c r="B303" s="76" t="s">
        <v>48</v>
      </c>
      <c r="C303" s="76">
        <v>0</v>
      </c>
      <c r="D303" s="76" t="s">
        <v>397</v>
      </c>
      <c r="E303" s="76" t="s">
        <v>490</v>
      </c>
      <c r="F303" s="77" t="s">
        <v>65</v>
      </c>
      <c r="G303" s="56">
        <f>' первое чтение вед стр-ра'!G461</f>
        <v>1190.2</v>
      </c>
      <c r="H303" s="56">
        <f>' первое чтение вед стр-ра'!H461</f>
        <v>1186.8</v>
      </c>
      <c r="I303" s="56">
        <f>' первое чтение вед стр-ра'!I461</f>
        <v>1186.8</v>
      </c>
    </row>
    <row r="304" spans="1:9" s="73" customFormat="1" ht="25.5" x14ac:dyDescent="0.2">
      <c r="A304" s="74" t="s">
        <v>400</v>
      </c>
      <c r="B304" s="76" t="s">
        <v>48</v>
      </c>
      <c r="C304" s="76">
        <v>0</v>
      </c>
      <c r="D304" s="76" t="s">
        <v>397</v>
      </c>
      <c r="E304" s="76" t="s">
        <v>490</v>
      </c>
      <c r="F304" s="77" t="s">
        <v>66</v>
      </c>
      <c r="G304" s="56">
        <f>' первое чтение вед стр-ра'!G462</f>
        <v>95.5</v>
      </c>
      <c r="H304" s="56">
        <f>' первое чтение вед стр-ра'!H462</f>
        <v>35.700000000000003</v>
      </c>
      <c r="I304" s="56">
        <f>' первое чтение вед стр-ра'!I462</f>
        <v>35.700000000000003</v>
      </c>
    </row>
    <row r="305" spans="1:9" x14ac:dyDescent="0.2">
      <c r="A305" s="28" t="s">
        <v>70</v>
      </c>
      <c r="B305" s="24" t="s">
        <v>48</v>
      </c>
      <c r="C305" s="24">
        <v>0</v>
      </c>
      <c r="D305" s="24" t="s">
        <v>397</v>
      </c>
      <c r="E305" s="24" t="s">
        <v>490</v>
      </c>
      <c r="F305" s="24" t="s">
        <v>71</v>
      </c>
      <c r="G305" s="56">
        <f>' первое чтение вед стр-ра'!G463</f>
        <v>5.2</v>
      </c>
      <c r="H305" s="56">
        <f>' первое чтение вед стр-ра'!H463</f>
        <v>0</v>
      </c>
      <c r="I305" s="56">
        <f>' первое чтение вед стр-ра'!I463</f>
        <v>0</v>
      </c>
    </row>
    <row r="306" spans="1:9" x14ac:dyDescent="0.2">
      <c r="A306" s="18" t="s">
        <v>317</v>
      </c>
      <c r="B306" s="19" t="s">
        <v>48</v>
      </c>
      <c r="C306" s="19">
        <v>0</v>
      </c>
      <c r="D306" s="19" t="s">
        <v>397</v>
      </c>
      <c r="E306" s="19" t="s">
        <v>489</v>
      </c>
      <c r="F306" s="19"/>
      <c r="G306" s="20">
        <f>G307+G308+G309</f>
        <v>20247.300000000003</v>
      </c>
      <c r="H306" s="20">
        <f>H307+H308</f>
        <v>19753.8</v>
      </c>
      <c r="I306" s="20">
        <f>I307+I308</f>
        <v>19753.8</v>
      </c>
    </row>
    <row r="307" spans="1:9" ht="51" x14ac:dyDescent="0.2">
      <c r="A307" s="30" t="s">
        <v>64</v>
      </c>
      <c r="B307" s="24" t="s">
        <v>48</v>
      </c>
      <c r="C307" s="24">
        <v>0</v>
      </c>
      <c r="D307" s="24" t="s">
        <v>397</v>
      </c>
      <c r="E307" s="19" t="s">
        <v>489</v>
      </c>
      <c r="F307" s="27" t="s">
        <v>65</v>
      </c>
      <c r="G307" s="25">
        <f>' первое чтение вед стр-ра'!G465</f>
        <v>19696.100000000002</v>
      </c>
      <c r="H307" s="25">
        <f>' первое чтение вед стр-ра'!H465</f>
        <v>19692.7</v>
      </c>
      <c r="I307" s="25">
        <f>' первое чтение вед стр-ра'!I465</f>
        <v>19692.7</v>
      </c>
    </row>
    <row r="308" spans="1:9" s="73" customFormat="1" ht="25.5" x14ac:dyDescent="0.2">
      <c r="A308" s="74" t="s">
        <v>400</v>
      </c>
      <c r="B308" s="76" t="s">
        <v>48</v>
      </c>
      <c r="C308" s="76">
        <v>0</v>
      </c>
      <c r="D308" s="76" t="s">
        <v>397</v>
      </c>
      <c r="E308" s="71" t="s">
        <v>489</v>
      </c>
      <c r="F308" s="77" t="s">
        <v>66</v>
      </c>
      <c r="G308" s="25">
        <f>' первое чтение вед стр-ра'!G466</f>
        <v>551.20000000000005</v>
      </c>
      <c r="H308" s="25">
        <f>' первое чтение вед стр-ра'!H466</f>
        <v>61.1</v>
      </c>
      <c r="I308" s="25">
        <f>' первое чтение вед стр-ра'!I466</f>
        <v>61.1</v>
      </c>
    </row>
    <row r="309" spans="1:9" s="73" customFormat="1" x14ac:dyDescent="0.2">
      <c r="A309" s="74" t="s">
        <v>70</v>
      </c>
      <c r="B309" s="76" t="s">
        <v>48</v>
      </c>
      <c r="C309" s="76" t="s">
        <v>398</v>
      </c>
      <c r="D309" s="76" t="s">
        <v>397</v>
      </c>
      <c r="E309" s="71" t="s">
        <v>489</v>
      </c>
      <c r="F309" s="77" t="s">
        <v>71</v>
      </c>
      <c r="G309" s="25">
        <f>' первое чтение вед стр-ра'!G467</f>
        <v>0</v>
      </c>
      <c r="H309" s="25">
        <f>' первое чтение вед стр-ра'!H467</f>
        <v>0</v>
      </c>
      <c r="I309" s="25">
        <f>' первое чтение вед стр-ра'!I467</f>
        <v>0</v>
      </c>
    </row>
    <row r="310" spans="1:9" ht="25.5" x14ac:dyDescent="0.2">
      <c r="A310" s="39" t="s">
        <v>488</v>
      </c>
      <c r="B310" s="40" t="s">
        <v>41</v>
      </c>
      <c r="C310" s="40"/>
      <c r="D310" s="40"/>
      <c r="E310" s="40"/>
      <c r="F310" s="40"/>
      <c r="G310" s="38">
        <f>SUM(G311,G333,G337,G342,G355,G435)</f>
        <v>372128.93399999995</v>
      </c>
      <c r="H310" s="38">
        <f t="shared" ref="H310:I310" si="36">SUM(H311,H333,H337,H342,H355,H435)</f>
        <v>366830.48599999998</v>
      </c>
      <c r="I310" s="38">
        <f t="shared" si="36"/>
        <v>369082.8</v>
      </c>
    </row>
    <row r="311" spans="1:9" x14ac:dyDescent="0.2">
      <c r="A311" s="131" t="s">
        <v>487</v>
      </c>
      <c r="B311" s="107" t="s">
        <v>41</v>
      </c>
      <c r="C311" s="130" t="s">
        <v>439</v>
      </c>
      <c r="D311" s="130"/>
      <c r="E311" s="130"/>
      <c r="F311" s="130"/>
      <c r="G311" s="129">
        <f>SUM(G317,G320,G322,G327,G329)+G331+G312+G315</f>
        <v>5865.4</v>
      </c>
      <c r="H311" s="129">
        <f t="shared" ref="H311:I311" si="37">SUM(H317,H320,H322,H327,H329)+H331+H312+H315</f>
        <v>0</v>
      </c>
      <c r="I311" s="129">
        <f t="shared" si="37"/>
        <v>0</v>
      </c>
    </row>
    <row r="312" spans="1:9" s="197" customFormat="1" x14ac:dyDescent="0.2">
      <c r="A312" s="131" t="s">
        <v>595</v>
      </c>
      <c r="B312" s="107" t="s">
        <v>41</v>
      </c>
      <c r="C312" s="130" t="s">
        <v>439</v>
      </c>
      <c r="D312" s="130" t="s">
        <v>598</v>
      </c>
      <c r="E312" s="130"/>
      <c r="F312" s="130"/>
      <c r="G312" s="129">
        <f>G313</f>
        <v>0</v>
      </c>
      <c r="H312" s="129">
        <f t="shared" ref="H312:I313" si="38">H313</f>
        <v>0</v>
      </c>
      <c r="I312" s="129">
        <f t="shared" si="38"/>
        <v>0</v>
      </c>
    </row>
    <row r="313" spans="1:9" s="197" customFormat="1" ht="25.5" x14ac:dyDescent="0.2">
      <c r="A313" s="18" t="s">
        <v>639</v>
      </c>
      <c r="B313" s="19" t="s">
        <v>41</v>
      </c>
      <c r="C313" s="19">
        <v>1</v>
      </c>
      <c r="D313" s="19" t="s">
        <v>598</v>
      </c>
      <c r="E313" s="19" t="s">
        <v>641</v>
      </c>
      <c r="F313" s="19"/>
      <c r="G313" s="20">
        <f>G314</f>
        <v>0</v>
      </c>
      <c r="H313" s="20">
        <f t="shared" si="38"/>
        <v>0</v>
      </c>
      <c r="I313" s="20">
        <f t="shared" si="38"/>
        <v>0</v>
      </c>
    </row>
    <row r="314" spans="1:9" s="197" customFormat="1" ht="25.5" x14ac:dyDescent="0.2">
      <c r="A314" s="30" t="s">
        <v>400</v>
      </c>
      <c r="B314" s="24" t="s">
        <v>41</v>
      </c>
      <c r="C314" s="24">
        <v>1</v>
      </c>
      <c r="D314" s="24" t="s">
        <v>598</v>
      </c>
      <c r="E314" s="24" t="s">
        <v>641</v>
      </c>
      <c r="F314" s="24" t="s">
        <v>66</v>
      </c>
      <c r="G314" s="25">
        <f>' первое чтение вед стр-ра'!G476</f>
        <v>0</v>
      </c>
      <c r="H314" s="25">
        <f>' первое чтение вед стр-ра'!H476</f>
        <v>0</v>
      </c>
      <c r="I314" s="25">
        <f>' первое чтение вед стр-ра'!I476</f>
        <v>0</v>
      </c>
    </row>
    <row r="315" spans="1:9" s="197" customFormat="1" ht="38.25" x14ac:dyDescent="0.2">
      <c r="A315" s="18" t="s">
        <v>682</v>
      </c>
      <c r="B315" s="24" t="s">
        <v>41</v>
      </c>
      <c r="C315" s="24" t="s">
        <v>439</v>
      </c>
      <c r="D315" s="24" t="s">
        <v>397</v>
      </c>
      <c r="E315" s="24" t="s">
        <v>683</v>
      </c>
      <c r="F315" s="24"/>
      <c r="G315" s="25">
        <f>G316</f>
        <v>0</v>
      </c>
      <c r="H315" s="25">
        <f t="shared" ref="H315:I315" si="39">H316</f>
        <v>0</v>
      </c>
      <c r="I315" s="25">
        <f t="shared" si="39"/>
        <v>0</v>
      </c>
    </row>
    <row r="316" spans="1:9" s="197" customFormat="1" ht="25.5" x14ac:dyDescent="0.2">
      <c r="A316" s="28" t="s">
        <v>130</v>
      </c>
      <c r="B316" s="24" t="s">
        <v>41</v>
      </c>
      <c r="C316" s="24" t="s">
        <v>439</v>
      </c>
      <c r="D316" s="24" t="s">
        <v>397</v>
      </c>
      <c r="E316" s="24" t="s">
        <v>683</v>
      </c>
      <c r="F316" s="24" t="s">
        <v>63</v>
      </c>
      <c r="G316" s="25">
        <f>' первое чтение вед стр-ра'!G92</f>
        <v>0</v>
      </c>
      <c r="H316" s="25">
        <f>' первое чтение вед стр-ра'!H92</f>
        <v>0</v>
      </c>
      <c r="I316" s="25">
        <f>' первое чтение вед стр-ра'!I92</f>
        <v>0</v>
      </c>
    </row>
    <row r="317" spans="1:9" x14ac:dyDescent="0.2">
      <c r="A317" s="18" t="s">
        <v>260</v>
      </c>
      <c r="B317" s="19" t="s">
        <v>41</v>
      </c>
      <c r="C317" s="19">
        <v>1</v>
      </c>
      <c r="D317" s="19" t="s">
        <v>397</v>
      </c>
      <c r="E317" s="19" t="s">
        <v>486</v>
      </c>
      <c r="F317" s="19"/>
      <c r="G317" s="20">
        <f>G318+G319</f>
        <v>2259.1999999999998</v>
      </c>
      <c r="H317" s="20">
        <f>H318+H319</f>
        <v>0</v>
      </c>
      <c r="I317" s="20">
        <f>I318+I319</f>
        <v>0</v>
      </c>
    </row>
    <row r="318" spans="1:9" ht="25.5" x14ac:dyDescent="0.2">
      <c r="A318" s="30" t="s">
        <v>400</v>
      </c>
      <c r="B318" s="24" t="s">
        <v>41</v>
      </c>
      <c r="C318" s="24">
        <v>1</v>
      </c>
      <c r="D318" s="24" t="s">
        <v>397</v>
      </c>
      <c r="E318" s="24" t="s">
        <v>486</v>
      </c>
      <c r="F318" s="24" t="s">
        <v>66</v>
      </c>
      <c r="G318" s="25">
        <f>' первое чтение вед стр-ра'!G580+' первое чтение вед стр-ра'!G692</f>
        <v>1474.1999999999998</v>
      </c>
      <c r="H318" s="25">
        <f>' первое чтение вед стр-ра'!H580</f>
        <v>0</v>
      </c>
      <c r="I318" s="25">
        <f>' первое чтение вед стр-ра'!I580</f>
        <v>0</v>
      </c>
    </row>
    <row r="319" spans="1:9" s="73" customFormat="1" x14ac:dyDescent="0.2">
      <c r="A319" s="81" t="s">
        <v>67</v>
      </c>
      <c r="B319" s="76" t="s">
        <v>41</v>
      </c>
      <c r="C319" s="76">
        <v>1</v>
      </c>
      <c r="D319" s="76" t="s">
        <v>397</v>
      </c>
      <c r="E319" s="76" t="s">
        <v>486</v>
      </c>
      <c r="F319" s="77" t="s">
        <v>68</v>
      </c>
      <c r="G319" s="25">
        <f>' первое чтение вед стр-ра'!G581</f>
        <v>785</v>
      </c>
      <c r="H319" s="25">
        <f>' первое чтение вед стр-ра'!H581</f>
        <v>0</v>
      </c>
      <c r="I319" s="25">
        <f>' первое чтение вед стр-ра'!I581</f>
        <v>0</v>
      </c>
    </row>
    <row r="320" spans="1:9" x14ac:dyDescent="0.2">
      <c r="A320" s="18" t="s">
        <v>262</v>
      </c>
      <c r="B320" s="19" t="s">
        <v>41</v>
      </c>
      <c r="C320" s="19">
        <v>1</v>
      </c>
      <c r="D320" s="19" t="s">
        <v>397</v>
      </c>
      <c r="E320" s="19" t="s">
        <v>485</v>
      </c>
      <c r="F320" s="19"/>
      <c r="G320" s="20">
        <f>G321</f>
        <v>968.2</v>
      </c>
      <c r="H320" s="20">
        <f>H321</f>
        <v>0</v>
      </c>
      <c r="I320" s="20">
        <f>I321</f>
        <v>0</v>
      </c>
    </row>
    <row r="321" spans="1:9" ht="25.5" x14ac:dyDescent="0.2">
      <c r="A321" s="28" t="s">
        <v>130</v>
      </c>
      <c r="B321" s="24" t="s">
        <v>41</v>
      </c>
      <c r="C321" s="24">
        <v>1</v>
      </c>
      <c r="D321" s="24" t="s">
        <v>397</v>
      </c>
      <c r="E321" s="24" t="s">
        <v>485</v>
      </c>
      <c r="F321" s="24" t="s">
        <v>63</v>
      </c>
      <c r="G321" s="25">
        <f>' первое чтение вед стр-ра'!G583</f>
        <v>968.2</v>
      </c>
      <c r="H321" s="25">
        <f>' первое чтение вед стр-ра'!H583</f>
        <v>0</v>
      </c>
      <c r="I321" s="25">
        <f>' первое чтение вед стр-ра'!I583</f>
        <v>0</v>
      </c>
    </row>
    <row r="322" spans="1:9" s="73" customFormat="1" x14ac:dyDescent="0.2">
      <c r="A322" s="69" t="s">
        <v>294</v>
      </c>
      <c r="B322" s="71" t="s">
        <v>41</v>
      </c>
      <c r="C322" s="71">
        <v>1</v>
      </c>
      <c r="D322" s="71" t="s">
        <v>397</v>
      </c>
      <c r="E322" s="71" t="s">
        <v>484</v>
      </c>
      <c r="F322" s="71"/>
      <c r="G322" s="72">
        <f>G324+G326+G325+G323</f>
        <v>1018.7</v>
      </c>
      <c r="H322" s="72">
        <f t="shared" ref="H322:I322" si="40">H324+H326+H325+H323</f>
        <v>0</v>
      </c>
      <c r="I322" s="72">
        <f t="shared" si="40"/>
        <v>0</v>
      </c>
    </row>
    <row r="323" spans="1:9" s="73" customFormat="1" ht="51" x14ac:dyDescent="0.2">
      <c r="A323" s="30" t="s">
        <v>64</v>
      </c>
      <c r="B323" s="24" t="s">
        <v>41</v>
      </c>
      <c r="C323" s="24">
        <v>1</v>
      </c>
      <c r="D323" s="24" t="s">
        <v>397</v>
      </c>
      <c r="E323" s="24" t="s">
        <v>484</v>
      </c>
      <c r="F323" s="71" t="s">
        <v>65</v>
      </c>
      <c r="G323" s="72">
        <f>' первое чтение вед стр-ра'!G149</f>
        <v>0</v>
      </c>
      <c r="H323" s="72">
        <f>' первое чтение вед стр-ра'!H149</f>
        <v>0</v>
      </c>
      <c r="I323" s="72">
        <f>' первое чтение вед стр-ра'!I149</f>
        <v>0</v>
      </c>
    </row>
    <row r="324" spans="1:9" x14ac:dyDescent="0.2">
      <c r="A324" s="28" t="s">
        <v>67</v>
      </c>
      <c r="B324" s="24" t="s">
        <v>41</v>
      </c>
      <c r="C324" s="24">
        <v>1</v>
      </c>
      <c r="D324" s="24" t="s">
        <v>397</v>
      </c>
      <c r="E324" s="24" t="s">
        <v>484</v>
      </c>
      <c r="F324" s="24" t="s">
        <v>68</v>
      </c>
      <c r="G324" s="25">
        <f>' первое чтение вед стр-ра'!G694</f>
        <v>718.7</v>
      </c>
      <c r="H324" s="25">
        <f>' первое чтение вед стр-ра'!H694</f>
        <v>0</v>
      </c>
      <c r="I324" s="25">
        <f>' первое чтение вед стр-ра'!I694</f>
        <v>0</v>
      </c>
    </row>
    <row r="325" spans="1:9" s="197" customFormat="1" ht="25.5" x14ac:dyDescent="0.2">
      <c r="A325" s="28" t="s">
        <v>130</v>
      </c>
      <c r="B325" s="24" t="s">
        <v>41</v>
      </c>
      <c r="C325" s="24">
        <v>1</v>
      </c>
      <c r="D325" s="24" t="s">
        <v>397</v>
      </c>
      <c r="E325" s="24" t="s">
        <v>484</v>
      </c>
      <c r="F325" s="24" t="s">
        <v>63</v>
      </c>
      <c r="G325" s="25">
        <f>' первое чтение вед стр-ра'!G405+' первое чтение вед стр-ра'!G150</f>
        <v>0</v>
      </c>
      <c r="H325" s="25">
        <f>' первое чтение вед стр-ра'!H405+' первое чтение вед стр-ра'!H150</f>
        <v>0</v>
      </c>
      <c r="I325" s="25">
        <f>' первое чтение вед стр-ра'!I405+' первое чтение вед стр-ра'!I150</f>
        <v>0</v>
      </c>
    </row>
    <row r="326" spans="1:9" s="73" customFormat="1" x14ac:dyDescent="0.2">
      <c r="A326" s="28" t="s">
        <v>70</v>
      </c>
      <c r="B326" s="76" t="s">
        <v>41</v>
      </c>
      <c r="C326" s="76">
        <v>1</v>
      </c>
      <c r="D326" s="76" t="s">
        <v>397</v>
      </c>
      <c r="E326" s="76" t="s">
        <v>484</v>
      </c>
      <c r="F326" s="76" t="s">
        <v>71</v>
      </c>
      <c r="G326" s="56">
        <f>' первое чтение вед стр-ра'!G585</f>
        <v>300</v>
      </c>
      <c r="H326" s="56">
        <f>' первое чтение вед стр-ра'!H585</f>
        <v>0</v>
      </c>
      <c r="I326" s="56">
        <f>' первое чтение вед стр-ра'!I585</f>
        <v>0</v>
      </c>
    </row>
    <row r="327" spans="1:9" ht="25.5" x14ac:dyDescent="0.2">
      <c r="A327" s="18" t="s">
        <v>297</v>
      </c>
      <c r="B327" s="19" t="s">
        <v>41</v>
      </c>
      <c r="C327" s="19">
        <v>1</v>
      </c>
      <c r="D327" s="19" t="s">
        <v>397</v>
      </c>
      <c r="E327" s="19" t="s">
        <v>483</v>
      </c>
      <c r="F327" s="19"/>
      <c r="G327" s="20">
        <f>G328</f>
        <v>1573.8</v>
      </c>
      <c r="H327" s="20">
        <f>H328</f>
        <v>0</v>
      </c>
      <c r="I327" s="20">
        <f>I328</f>
        <v>0</v>
      </c>
    </row>
    <row r="328" spans="1:9" x14ac:dyDescent="0.2">
      <c r="A328" s="28" t="s">
        <v>67</v>
      </c>
      <c r="B328" s="24" t="s">
        <v>41</v>
      </c>
      <c r="C328" s="24">
        <v>1</v>
      </c>
      <c r="D328" s="24" t="s">
        <v>397</v>
      </c>
      <c r="E328" s="24" t="s">
        <v>483</v>
      </c>
      <c r="F328" s="24" t="s">
        <v>68</v>
      </c>
      <c r="G328" s="25">
        <f>' первое чтение вед стр-ра'!G696</f>
        <v>1573.8</v>
      </c>
      <c r="H328" s="25">
        <f>' первое чтение вед стр-ра'!H696</f>
        <v>0</v>
      </c>
      <c r="I328" s="25">
        <f>' первое чтение вед стр-ра'!I696</f>
        <v>0</v>
      </c>
    </row>
    <row r="329" spans="1:9" ht="63.75" x14ac:dyDescent="0.2">
      <c r="A329" s="55" t="s">
        <v>299</v>
      </c>
      <c r="B329" s="19" t="s">
        <v>41</v>
      </c>
      <c r="C329" s="19">
        <v>1</v>
      </c>
      <c r="D329" s="19" t="s">
        <v>397</v>
      </c>
      <c r="E329" s="19" t="s">
        <v>482</v>
      </c>
      <c r="F329" s="19"/>
      <c r="G329" s="20">
        <f>G330</f>
        <v>35.5</v>
      </c>
      <c r="H329" s="20">
        <f>H330</f>
        <v>0</v>
      </c>
      <c r="I329" s="20">
        <f>I330</f>
        <v>0</v>
      </c>
    </row>
    <row r="330" spans="1:9" x14ac:dyDescent="0.2">
      <c r="A330" s="28" t="s">
        <v>67</v>
      </c>
      <c r="B330" s="24" t="s">
        <v>41</v>
      </c>
      <c r="C330" s="24">
        <v>1</v>
      </c>
      <c r="D330" s="24" t="s">
        <v>397</v>
      </c>
      <c r="E330" s="24" t="s">
        <v>482</v>
      </c>
      <c r="F330" s="24" t="s">
        <v>68</v>
      </c>
      <c r="G330" s="25">
        <f>' первое чтение вед стр-ра'!G698</f>
        <v>35.5</v>
      </c>
      <c r="H330" s="25">
        <f>' первое чтение вед стр-ра'!H698</f>
        <v>0</v>
      </c>
      <c r="I330" s="25">
        <f>' первое чтение вед стр-ра'!I698</f>
        <v>0</v>
      </c>
    </row>
    <row r="331" spans="1:9" ht="25.5" x14ac:dyDescent="0.2">
      <c r="A331" s="69" t="s">
        <v>752</v>
      </c>
      <c r="B331" s="19" t="s">
        <v>41</v>
      </c>
      <c r="C331" s="19">
        <v>1</v>
      </c>
      <c r="D331" s="19" t="s">
        <v>397</v>
      </c>
      <c r="E331" s="19" t="s">
        <v>481</v>
      </c>
      <c r="F331" s="19"/>
      <c r="G331" s="20">
        <f>G332</f>
        <v>10</v>
      </c>
      <c r="H331" s="20">
        <f>H332</f>
        <v>0</v>
      </c>
      <c r="I331" s="20">
        <f>I332</f>
        <v>0</v>
      </c>
    </row>
    <row r="332" spans="1:9" ht="25.5" x14ac:dyDescent="0.2">
      <c r="A332" s="30" t="s">
        <v>400</v>
      </c>
      <c r="B332" s="24" t="s">
        <v>41</v>
      </c>
      <c r="C332" s="24">
        <v>1</v>
      </c>
      <c r="D332" s="24" t="s">
        <v>397</v>
      </c>
      <c r="E332" s="24" t="s">
        <v>481</v>
      </c>
      <c r="F332" s="24" t="s">
        <v>66</v>
      </c>
      <c r="G332" s="25">
        <f>' первое чтение вед стр-ра'!G587</f>
        <v>10</v>
      </c>
      <c r="H332" s="25">
        <f>' первое чтение вед стр-ра'!H587</f>
        <v>0</v>
      </c>
      <c r="I332" s="25">
        <f>' первое чтение вед стр-ра'!I587</f>
        <v>0</v>
      </c>
    </row>
    <row r="333" spans="1:9" s="73" customFormat="1" ht="51" x14ac:dyDescent="0.2">
      <c r="A333" s="135" t="s">
        <v>480</v>
      </c>
      <c r="B333" s="134" t="s">
        <v>41</v>
      </c>
      <c r="C333" s="133" t="s">
        <v>434</v>
      </c>
      <c r="D333" s="133"/>
      <c r="E333" s="133"/>
      <c r="F333" s="133"/>
      <c r="G333" s="132">
        <f>G334</f>
        <v>9482</v>
      </c>
      <c r="H333" s="132">
        <f>H334</f>
        <v>9482</v>
      </c>
      <c r="I333" s="132">
        <f>I334</f>
        <v>9482</v>
      </c>
    </row>
    <row r="334" spans="1:9" s="73" customFormat="1" ht="76.5" x14ac:dyDescent="0.2">
      <c r="A334" s="69" t="s">
        <v>246</v>
      </c>
      <c r="B334" s="71" t="s">
        <v>41</v>
      </c>
      <c r="C334" s="71">
        <v>2</v>
      </c>
      <c r="D334" s="71" t="s">
        <v>397</v>
      </c>
      <c r="E334" s="71" t="s">
        <v>479</v>
      </c>
      <c r="F334" s="71"/>
      <c r="G334" s="72">
        <f>G336+G335</f>
        <v>9482</v>
      </c>
      <c r="H334" s="72">
        <f>H336+H335</f>
        <v>9482</v>
      </c>
      <c r="I334" s="72">
        <f>I336+I335</f>
        <v>9482</v>
      </c>
    </row>
    <row r="335" spans="1:9" s="73" customFormat="1" ht="25.5" x14ac:dyDescent="0.2">
      <c r="A335" s="74" t="s">
        <v>400</v>
      </c>
      <c r="B335" s="76" t="s">
        <v>41</v>
      </c>
      <c r="C335" s="76">
        <v>2</v>
      </c>
      <c r="D335" s="76" t="s">
        <v>397</v>
      </c>
      <c r="E335" s="76" t="s">
        <v>479</v>
      </c>
      <c r="F335" s="77" t="s">
        <v>66</v>
      </c>
      <c r="G335" s="56">
        <f>' первое чтение вед стр-ра'!G487</f>
        <v>47.2</v>
      </c>
      <c r="H335" s="56">
        <f>' первое чтение вед стр-ра'!H487</f>
        <v>47.2</v>
      </c>
      <c r="I335" s="56">
        <f>' первое чтение вед стр-ра'!I487</f>
        <v>47.2</v>
      </c>
    </row>
    <row r="336" spans="1:9" s="73" customFormat="1" x14ac:dyDescent="0.2">
      <c r="A336" s="81" t="s">
        <v>67</v>
      </c>
      <c r="B336" s="76" t="s">
        <v>41</v>
      </c>
      <c r="C336" s="76">
        <v>2</v>
      </c>
      <c r="D336" s="76" t="s">
        <v>397</v>
      </c>
      <c r="E336" s="76" t="s">
        <v>479</v>
      </c>
      <c r="F336" s="76" t="s">
        <v>68</v>
      </c>
      <c r="G336" s="56">
        <f>' первое чтение вед стр-ра'!G488</f>
        <v>9434.7999999999993</v>
      </c>
      <c r="H336" s="56">
        <f>' первое чтение вед стр-ра'!H488</f>
        <v>9434.7999999999993</v>
      </c>
      <c r="I336" s="56">
        <f>' первое чтение вед стр-ра'!I488</f>
        <v>9434.7999999999993</v>
      </c>
    </row>
    <row r="337" spans="1:9" s="73" customFormat="1" ht="38.25" x14ac:dyDescent="0.2">
      <c r="A337" s="135" t="s">
        <v>478</v>
      </c>
      <c r="B337" s="134" t="s">
        <v>41</v>
      </c>
      <c r="C337" s="133" t="s">
        <v>427</v>
      </c>
      <c r="D337" s="133"/>
      <c r="E337" s="133"/>
      <c r="F337" s="133"/>
      <c r="G337" s="132">
        <f>G338</f>
        <v>28219.9</v>
      </c>
      <c r="H337" s="132">
        <f>H338</f>
        <v>28219.9</v>
      </c>
      <c r="I337" s="132">
        <f>I338</f>
        <v>28219.9</v>
      </c>
    </row>
    <row r="338" spans="1:9" ht="25.5" x14ac:dyDescent="0.2">
      <c r="A338" s="18" t="s">
        <v>264</v>
      </c>
      <c r="B338" s="19" t="s">
        <v>41</v>
      </c>
      <c r="C338" s="19">
        <v>4</v>
      </c>
      <c r="D338" s="19" t="s">
        <v>397</v>
      </c>
      <c r="E338" s="19">
        <v>70280</v>
      </c>
      <c r="F338" s="19"/>
      <c r="G338" s="20">
        <f>G339+G340+G341</f>
        <v>28219.9</v>
      </c>
      <c r="H338" s="20">
        <f>H339+H340+H341</f>
        <v>28219.9</v>
      </c>
      <c r="I338" s="20">
        <f>I339+I340+I341</f>
        <v>28219.9</v>
      </c>
    </row>
    <row r="339" spans="1:9" ht="51" x14ac:dyDescent="0.2">
      <c r="A339" s="30" t="s">
        <v>64</v>
      </c>
      <c r="B339" s="24" t="s">
        <v>41</v>
      </c>
      <c r="C339" s="24">
        <v>4</v>
      </c>
      <c r="D339" s="24" t="s">
        <v>397</v>
      </c>
      <c r="E339" s="24">
        <v>70280</v>
      </c>
      <c r="F339" s="27" t="s">
        <v>65</v>
      </c>
      <c r="G339" s="25">
        <f>' первое чтение вед стр-ра'!G589</f>
        <v>26948.9</v>
      </c>
      <c r="H339" s="25">
        <f>' первое чтение вед стр-ра'!H589</f>
        <v>26948.9</v>
      </c>
      <c r="I339" s="25">
        <f>' первое чтение вед стр-ра'!I589</f>
        <v>26948.9</v>
      </c>
    </row>
    <row r="340" spans="1:9" ht="25.5" x14ac:dyDescent="0.2">
      <c r="A340" s="30" t="s">
        <v>400</v>
      </c>
      <c r="B340" s="24" t="s">
        <v>41</v>
      </c>
      <c r="C340" s="24">
        <v>4</v>
      </c>
      <c r="D340" s="24" t="s">
        <v>397</v>
      </c>
      <c r="E340" s="24">
        <v>70280</v>
      </c>
      <c r="F340" s="27" t="s">
        <v>66</v>
      </c>
      <c r="G340" s="25">
        <f>' первое чтение вед стр-ра'!G590</f>
        <v>1263.4000000000001</v>
      </c>
      <c r="H340" s="25">
        <f>' первое чтение вед стр-ра'!H590</f>
        <v>1263.4000000000001</v>
      </c>
      <c r="I340" s="25">
        <f>' первое чтение вед стр-ра'!I590</f>
        <v>1263.4000000000001</v>
      </c>
    </row>
    <row r="341" spans="1:9" s="73" customFormat="1" x14ac:dyDescent="0.2">
      <c r="A341" s="81" t="s">
        <v>70</v>
      </c>
      <c r="B341" s="76" t="s">
        <v>41</v>
      </c>
      <c r="C341" s="76">
        <v>4</v>
      </c>
      <c r="D341" s="76" t="s">
        <v>397</v>
      </c>
      <c r="E341" s="76">
        <v>70280</v>
      </c>
      <c r="F341" s="76" t="s">
        <v>71</v>
      </c>
      <c r="G341" s="25">
        <f>' первое чтение вед стр-ра'!G591</f>
        <v>7.6</v>
      </c>
      <c r="H341" s="25">
        <f>' первое чтение вед стр-ра'!H591</f>
        <v>7.6</v>
      </c>
      <c r="I341" s="25">
        <f>' первое чтение вед стр-ра'!I591</f>
        <v>7.6</v>
      </c>
    </row>
    <row r="342" spans="1:9" s="73" customFormat="1" ht="25.5" x14ac:dyDescent="0.2">
      <c r="A342" s="135" t="s">
        <v>477</v>
      </c>
      <c r="B342" s="134" t="s">
        <v>41</v>
      </c>
      <c r="C342" s="133" t="s">
        <v>424</v>
      </c>
      <c r="D342" s="133"/>
      <c r="E342" s="133"/>
      <c r="F342" s="133"/>
      <c r="G342" s="132">
        <f>SUM(G346,G348)+G343+G352</f>
        <v>189187.03399999999</v>
      </c>
      <c r="H342" s="132">
        <f t="shared" ref="H342:I342" si="41">SUM(H346,H348)+H343+H352</f>
        <v>188556.08599999998</v>
      </c>
      <c r="I342" s="132">
        <f t="shared" si="41"/>
        <v>186568.4</v>
      </c>
    </row>
    <row r="343" spans="1:9" s="197" customFormat="1" x14ac:dyDescent="0.2">
      <c r="A343" s="18" t="s">
        <v>595</v>
      </c>
      <c r="B343" s="19" t="s">
        <v>41</v>
      </c>
      <c r="C343" s="19" t="s">
        <v>424</v>
      </c>
      <c r="D343" s="19" t="s">
        <v>598</v>
      </c>
      <c r="E343" s="19"/>
      <c r="F343" s="8"/>
      <c r="G343" s="20">
        <f>G344</f>
        <v>3096</v>
      </c>
      <c r="H343" s="20">
        <f t="shared" ref="H343:I343" si="42">H344</f>
        <v>3096</v>
      </c>
      <c r="I343" s="20">
        <f t="shared" si="42"/>
        <v>1548</v>
      </c>
    </row>
    <row r="344" spans="1:9" s="197" customFormat="1" ht="25.5" x14ac:dyDescent="0.2">
      <c r="A344" s="18" t="s">
        <v>596</v>
      </c>
      <c r="B344" s="19" t="s">
        <v>41</v>
      </c>
      <c r="C344" s="19" t="s">
        <v>424</v>
      </c>
      <c r="D344" s="19" t="s">
        <v>598</v>
      </c>
      <c r="E344" s="19" t="s">
        <v>599</v>
      </c>
      <c r="F344" s="19"/>
      <c r="G344" s="20">
        <f>G345</f>
        <v>3096</v>
      </c>
      <c r="H344" s="20">
        <f t="shared" ref="H344:I344" si="43">H345</f>
        <v>3096</v>
      </c>
      <c r="I344" s="20">
        <f t="shared" si="43"/>
        <v>1548</v>
      </c>
    </row>
    <row r="345" spans="1:9" s="197" customFormat="1" ht="25.5" x14ac:dyDescent="0.2">
      <c r="A345" s="28" t="s">
        <v>130</v>
      </c>
      <c r="B345" s="19" t="s">
        <v>41</v>
      </c>
      <c r="C345" s="19" t="s">
        <v>424</v>
      </c>
      <c r="D345" s="19" t="s">
        <v>598</v>
      </c>
      <c r="E345" s="19" t="s">
        <v>599</v>
      </c>
      <c r="F345" s="19" t="s">
        <v>63</v>
      </c>
      <c r="G345" s="20">
        <f>' первое чтение вед стр-ра'!G593</f>
        <v>3096</v>
      </c>
      <c r="H345" s="20">
        <f>' первое чтение вед стр-ра'!H593</f>
        <v>3096</v>
      </c>
      <c r="I345" s="20">
        <f>' первое чтение вед стр-ра'!I593</f>
        <v>1548</v>
      </c>
    </row>
    <row r="346" spans="1:9" s="73" customFormat="1" ht="76.5" customHeight="1" x14ac:dyDescent="0.2">
      <c r="A346" s="69" t="s">
        <v>728</v>
      </c>
      <c r="B346" s="71" t="s">
        <v>41</v>
      </c>
      <c r="C346" s="71">
        <v>5</v>
      </c>
      <c r="D346" s="71" t="s">
        <v>397</v>
      </c>
      <c r="E346" s="71" t="s">
        <v>729</v>
      </c>
      <c r="F346" s="71"/>
      <c r="G346" s="72">
        <f>G347</f>
        <v>133452.79999999999</v>
      </c>
      <c r="H346" s="72">
        <f>H347</f>
        <v>133452.79999999999</v>
      </c>
      <c r="I346" s="72">
        <f>I347</f>
        <v>133452.79999999999</v>
      </c>
    </row>
    <row r="347" spans="1:9" s="73" customFormat="1" ht="25.5" x14ac:dyDescent="0.2">
      <c r="A347" s="81" t="s">
        <v>130</v>
      </c>
      <c r="B347" s="76" t="s">
        <v>41</v>
      </c>
      <c r="C347" s="76">
        <v>5</v>
      </c>
      <c r="D347" s="76" t="s">
        <v>397</v>
      </c>
      <c r="E347" s="76" t="s">
        <v>729</v>
      </c>
      <c r="F347" s="76" t="s">
        <v>63</v>
      </c>
      <c r="G347" s="56">
        <f>' первое чтение вед стр-ра'!G491</f>
        <v>133452.79999999999</v>
      </c>
      <c r="H347" s="56">
        <f>' первое чтение вед стр-ра'!H491</f>
        <v>133452.79999999999</v>
      </c>
      <c r="I347" s="56">
        <f>' первое чтение вед стр-ра'!I491</f>
        <v>133452.79999999999</v>
      </c>
    </row>
    <row r="348" spans="1:9" s="73" customFormat="1" ht="63.75" x14ac:dyDescent="0.2">
      <c r="A348" s="69" t="s">
        <v>248</v>
      </c>
      <c r="B348" s="71" t="s">
        <v>41</v>
      </c>
      <c r="C348" s="71">
        <v>5</v>
      </c>
      <c r="D348" s="71" t="s">
        <v>397</v>
      </c>
      <c r="E348" s="71">
        <v>70170</v>
      </c>
      <c r="F348" s="71"/>
      <c r="G348" s="72">
        <f>G349+G351+G350</f>
        <v>51567.600000000006</v>
      </c>
      <c r="H348" s="72">
        <f>H349+H351+H350</f>
        <v>51567.600000000006</v>
      </c>
      <c r="I348" s="72">
        <f>I349+I351+I350</f>
        <v>51567.600000000006</v>
      </c>
    </row>
    <row r="349" spans="1:9" s="73" customFormat="1" ht="51" x14ac:dyDescent="0.2">
      <c r="A349" s="74" t="s">
        <v>64</v>
      </c>
      <c r="B349" s="76" t="s">
        <v>41</v>
      </c>
      <c r="C349" s="76">
        <v>5</v>
      </c>
      <c r="D349" s="76" t="s">
        <v>397</v>
      </c>
      <c r="E349" s="76">
        <v>70170</v>
      </c>
      <c r="F349" s="77" t="s">
        <v>65</v>
      </c>
      <c r="G349" s="56">
        <f>' первое чтение вед стр-ра'!G493</f>
        <v>44444.3</v>
      </c>
      <c r="H349" s="56">
        <f>' первое чтение вед стр-ра'!H493</f>
        <v>44444.3</v>
      </c>
      <c r="I349" s="56">
        <f>' первое чтение вед стр-ра'!I493</f>
        <v>44444.3</v>
      </c>
    </row>
    <row r="350" spans="1:9" s="73" customFormat="1" ht="25.5" x14ac:dyDescent="0.2">
      <c r="A350" s="74" t="s">
        <v>400</v>
      </c>
      <c r="B350" s="76" t="s">
        <v>41</v>
      </c>
      <c r="C350" s="76">
        <v>5</v>
      </c>
      <c r="D350" s="76" t="s">
        <v>397</v>
      </c>
      <c r="E350" s="76">
        <v>70170</v>
      </c>
      <c r="F350" s="77" t="s">
        <v>66</v>
      </c>
      <c r="G350" s="56">
        <f>' первое чтение вед стр-ра'!G494</f>
        <v>6828.3</v>
      </c>
      <c r="H350" s="56">
        <f>' первое чтение вед стр-ра'!H494</f>
        <v>6828.3</v>
      </c>
      <c r="I350" s="56">
        <f>' первое чтение вед стр-ра'!I494</f>
        <v>6828.3</v>
      </c>
    </row>
    <row r="351" spans="1:9" s="73" customFormat="1" x14ac:dyDescent="0.2">
      <c r="A351" s="81" t="s">
        <v>70</v>
      </c>
      <c r="B351" s="76" t="s">
        <v>41</v>
      </c>
      <c r="C351" s="76">
        <v>5</v>
      </c>
      <c r="D351" s="76" t="s">
        <v>397</v>
      </c>
      <c r="E351" s="76">
        <v>70170</v>
      </c>
      <c r="F351" s="76" t="s">
        <v>71</v>
      </c>
      <c r="G351" s="56">
        <f>' первое чтение вед стр-ра'!G495</f>
        <v>295</v>
      </c>
      <c r="H351" s="56">
        <f>' первое чтение вед стр-ра'!H495</f>
        <v>295</v>
      </c>
      <c r="I351" s="56">
        <f>' первое чтение вед стр-ра'!I495</f>
        <v>295</v>
      </c>
    </row>
    <row r="352" spans="1:9" s="73" customFormat="1" ht="25.5" x14ac:dyDescent="0.2">
      <c r="A352" s="81" t="s">
        <v>249</v>
      </c>
      <c r="B352" s="71" t="s">
        <v>41</v>
      </c>
      <c r="C352" s="71">
        <v>5</v>
      </c>
      <c r="D352" s="71" t="s">
        <v>397</v>
      </c>
      <c r="E352" s="71" t="s">
        <v>627</v>
      </c>
      <c r="F352" s="76"/>
      <c r="G352" s="56">
        <f>G354+G353</f>
        <v>1070.634</v>
      </c>
      <c r="H352" s="56">
        <f t="shared" ref="H352:I352" si="44">H354+H353</f>
        <v>439.68599999999998</v>
      </c>
      <c r="I352" s="56">
        <f t="shared" si="44"/>
        <v>0</v>
      </c>
    </row>
    <row r="353" spans="1:9" s="73" customFormat="1" ht="51" x14ac:dyDescent="0.2">
      <c r="A353" s="74" t="s">
        <v>64</v>
      </c>
      <c r="B353" s="71" t="s">
        <v>41</v>
      </c>
      <c r="C353" s="71">
        <v>5</v>
      </c>
      <c r="D353" s="71" t="s">
        <v>397</v>
      </c>
      <c r="E353" s="71" t="s">
        <v>627</v>
      </c>
      <c r="F353" s="76" t="s">
        <v>65</v>
      </c>
      <c r="G353" s="56">
        <f>' первое чтение вед стр-ра'!G497</f>
        <v>20.399999999999999</v>
      </c>
      <c r="H353" s="56">
        <f>' первое чтение вед стр-ра'!H497</f>
        <v>0</v>
      </c>
      <c r="I353" s="56">
        <f>' первое чтение вед стр-ра'!I497</f>
        <v>0</v>
      </c>
    </row>
    <row r="354" spans="1:9" s="73" customFormat="1" ht="25.5" x14ac:dyDescent="0.2">
      <c r="A354" s="74" t="s">
        <v>400</v>
      </c>
      <c r="B354" s="71" t="s">
        <v>41</v>
      </c>
      <c r="C354" s="71">
        <v>5</v>
      </c>
      <c r="D354" s="71" t="s">
        <v>397</v>
      </c>
      <c r="E354" s="71" t="s">
        <v>627</v>
      </c>
      <c r="F354" s="76" t="s">
        <v>66</v>
      </c>
      <c r="G354" s="56">
        <f>' первое чтение вед стр-ра'!G498</f>
        <v>1050.2339999999999</v>
      </c>
      <c r="H354" s="56">
        <f>' первое чтение вед стр-ра'!H498</f>
        <v>439.68599999999998</v>
      </c>
      <c r="I354" s="56">
        <f>' первое чтение вед стр-ра'!I498</f>
        <v>0</v>
      </c>
    </row>
    <row r="355" spans="1:9" s="73" customFormat="1" ht="25.5" x14ac:dyDescent="0.2">
      <c r="A355" s="135" t="s">
        <v>476</v>
      </c>
      <c r="B355" s="134" t="s">
        <v>41</v>
      </c>
      <c r="C355" s="133" t="s">
        <v>420</v>
      </c>
      <c r="D355" s="133"/>
      <c r="E355" s="133"/>
      <c r="F355" s="133"/>
      <c r="G355" s="132">
        <f>SUM(G369,G372,G375,G378,G380,G383,G386,G389,G395,G398,G401,G404,G407,G409,G411,G414,G417,G420,G423,G426,G429)+G392+G433+G356</f>
        <v>136876.29999999999</v>
      </c>
      <c r="H355" s="132">
        <f>SUM(H369,H372,H375,H378,H380,H383,H386,H389,H395,H398,H401,H404,H407,H409,H411,H414,H417,H420,H423,H426,H429)+H392+H433+H356</f>
        <v>140572.5</v>
      </c>
      <c r="I355" s="132">
        <f>SUM(I369,I372,I375,I378,I380,I383,I386,I389,I395,I398,I401,I404,I407,I409,I411,I414,I417,I420,I423,I426,I429)+I392+I433+I356</f>
        <v>144812.5</v>
      </c>
    </row>
    <row r="356" spans="1:9" s="73" customFormat="1" ht="25.5" x14ac:dyDescent="0.2">
      <c r="A356" s="69" t="s">
        <v>748</v>
      </c>
      <c r="B356" s="71" t="s">
        <v>41</v>
      </c>
      <c r="C356" s="71" t="s">
        <v>420</v>
      </c>
      <c r="D356" s="71" t="s">
        <v>473</v>
      </c>
      <c r="E356" s="71"/>
      <c r="F356" s="71"/>
      <c r="G356" s="72">
        <f>SUM(G357,G360)+G362+G366</f>
        <v>80167</v>
      </c>
      <c r="H356" s="72">
        <f>SUM(H357,H360)+H362+H366</f>
        <v>82365</v>
      </c>
      <c r="I356" s="72">
        <f>SUM(I357,I360)+I362+I366</f>
        <v>84626</v>
      </c>
    </row>
    <row r="357" spans="1:9" s="73" customFormat="1" ht="25.5" x14ac:dyDescent="0.2">
      <c r="A357" s="69" t="s">
        <v>381</v>
      </c>
      <c r="B357" s="71" t="s">
        <v>41</v>
      </c>
      <c r="C357" s="71">
        <v>6</v>
      </c>
      <c r="D357" s="71" t="s">
        <v>473</v>
      </c>
      <c r="E357" s="71" t="s">
        <v>475</v>
      </c>
      <c r="F357" s="71"/>
      <c r="G357" s="72">
        <f>G359+G358</f>
        <v>73264</v>
      </c>
      <c r="H357" s="72">
        <f>H359+H358</f>
        <v>75462</v>
      </c>
      <c r="I357" s="72">
        <f>I359+I358</f>
        <v>77723</v>
      </c>
    </row>
    <row r="358" spans="1:9" s="73" customFormat="1" ht="25.5" x14ac:dyDescent="0.2">
      <c r="A358" s="81" t="s">
        <v>400</v>
      </c>
      <c r="B358" s="76" t="s">
        <v>41</v>
      </c>
      <c r="C358" s="76">
        <v>6</v>
      </c>
      <c r="D358" s="76" t="s">
        <v>473</v>
      </c>
      <c r="E358" s="76" t="s">
        <v>475</v>
      </c>
      <c r="F358" s="76" t="s">
        <v>66</v>
      </c>
      <c r="G358" s="56">
        <f>' первое чтение вед стр-ра'!G564</f>
        <v>0</v>
      </c>
      <c r="H358" s="56">
        <f>' первое чтение вед стр-ра'!H564</f>
        <v>0</v>
      </c>
      <c r="I358" s="56">
        <f>' первое чтение вед стр-ра'!I564</f>
        <v>0</v>
      </c>
    </row>
    <row r="359" spans="1:9" s="73" customFormat="1" x14ac:dyDescent="0.2">
      <c r="A359" s="81" t="s">
        <v>67</v>
      </c>
      <c r="B359" s="76" t="s">
        <v>41</v>
      </c>
      <c r="C359" s="76">
        <v>6</v>
      </c>
      <c r="D359" s="76" t="s">
        <v>473</v>
      </c>
      <c r="E359" s="76" t="s">
        <v>475</v>
      </c>
      <c r="F359" s="76" t="s">
        <v>68</v>
      </c>
      <c r="G359" s="56">
        <f>' первое чтение вед стр-ра'!G565</f>
        <v>73264</v>
      </c>
      <c r="H359" s="56">
        <f>' первое чтение вед стр-ра'!H565</f>
        <v>75462</v>
      </c>
      <c r="I359" s="56">
        <f>' первое чтение вед стр-ра'!I565</f>
        <v>77723</v>
      </c>
    </row>
    <row r="360" spans="1:9" ht="38.25" x14ac:dyDescent="0.2">
      <c r="A360" s="52" t="s">
        <v>379</v>
      </c>
      <c r="B360" s="19" t="s">
        <v>41</v>
      </c>
      <c r="C360" s="19">
        <v>6</v>
      </c>
      <c r="D360" s="19" t="s">
        <v>473</v>
      </c>
      <c r="E360" s="19" t="s">
        <v>474</v>
      </c>
      <c r="F360" s="19"/>
      <c r="G360" s="20">
        <f>G361</f>
        <v>0</v>
      </c>
      <c r="H360" s="20">
        <f>H361</f>
        <v>0</v>
      </c>
      <c r="I360" s="20">
        <f>I361</f>
        <v>0</v>
      </c>
    </row>
    <row r="361" spans="1:9" x14ac:dyDescent="0.2">
      <c r="A361" s="28" t="s">
        <v>67</v>
      </c>
      <c r="B361" s="24" t="s">
        <v>41</v>
      </c>
      <c r="C361" s="24">
        <v>6</v>
      </c>
      <c r="D361" s="24" t="s">
        <v>473</v>
      </c>
      <c r="E361" s="24" t="s">
        <v>474</v>
      </c>
      <c r="F361" s="24" t="s">
        <v>68</v>
      </c>
      <c r="G361" s="25">
        <f>' первое чтение вед стр-ра'!G567</f>
        <v>0</v>
      </c>
      <c r="H361" s="25">
        <f>' первое чтение вед стр-ра'!H567</f>
        <v>0</v>
      </c>
      <c r="I361" s="25">
        <f>' первое чтение вед стр-ра'!I567</f>
        <v>0</v>
      </c>
    </row>
    <row r="362" spans="1:9" ht="51" x14ac:dyDescent="0.2">
      <c r="A362" s="18" t="s">
        <v>235</v>
      </c>
      <c r="B362" s="19" t="s">
        <v>41</v>
      </c>
      <c r="C362" s="19">
        <v>6</v>
      </c>
      <c r="D362" s="19" t="s">
        <v>473</v>
      </c>
      <c r="E362" s="19">
        <v>70050</v>
      </c>
      <c r="F362" s="19"/>
      <c r="G362" s="20">
        <f>G364+G365+G363</f>
        <v>6903</v>
      </c>
      <c r="H362" s="20">
        <f>H364+H365+H363</f>
        <v>6903</v>
      </c>
      <c r="I362" s="20">
        <f>I364+I365+I363</f>
        <v>6903</v>
      </c>
    </row>
    <row r="363" spans="1:9" ht="25.5" x14ac:dyDescent="0.2">
      <c r="A363" s="30" t="s">
        <v>400</v>
      </c>
      <c r="B363" s="24" t="s">
        <v>41</v>
      </c>
      <c r="C363" s="24">
        <v>6</v>
      </c>
      <c r="D363" s="24" t="s">
        <v>473</v>
      </c>
      <c r="E363" s="24">
        <v>70050</v>
      </c>
      <c r="F363" s="27" t="s">
        <v>66</v>
      </c>
      <c r="G363" s="25">
        <f>' первое чтение вед стр-ра'!G503</f>
        <v>0</v>
      </c>
      <c r="H363" s="25">
        <f>' первое чтение вед стр-ра'!H503</f>
        <v>0</v>
      </c>
      <c r="I363" s="25">
        <f>' первое чтение вед стр-ра'!I503</f>
        <v>0</v>
      </c>
    </row>
    <row r="364" spans="1:9" x14ac:dyDescent="0.2">
      <c r="A364" s="28" t="s">
        <v>67</v>
      </c>
      <c r="B364" s="24" t="s">
        <v>41</v>
      </c>
      <c r="C364" s="24">
        <v>6</v>
      </c>
      <c r="D364" s="24" t="s">
        <v>473</v>
      </c>
      <c r="E364" s="24">
        <v>70050</v>
      </c>
      <c r="F364" s="24" t="s">
        <v>68</v>
      </c>
      <c r="G364" s="25">
        <f>' первое чтение вед стр-ра'!G504</f>
        <v>42.5</v>
      </c>
      <c r="H364" s="25">
        <f>' первое чтение вед стр-ра'!H504</f>
        <v>42.5</v>
      </c>
      <c r="I364" s="25">
        <f>' первое чтение вед стр-ра'!I504</f>
        <v>42.5</v>
      </c>
    </row>
    <row r="365" spans="1:9" ht="25.5" x14ac:dyDescent="0.2">
      <c r="A365" s="28" t="s">
        <v>130</v>
      </c>
      <c r="B365" s="24" t="s">
        <v>41</v>
      </c>
      <c r="C365" s="24">
        <v>6</v>
      </c>
      <c r="D365" s="24" t="s">
        <v>473</v>
      </c>
      <c r="E365" s="24">
        <v>70050</v>
      </c>
      <c r="F365" s="24" t="s">
        <v>63</v>
      </c>
      <c r="G365" s="25">
        <f>' первое чтение вед стр-ра'!G384</f>
        <v>6860.5</v>
      </c>
      <c r="H365" s="25">
        <f>' первое чтение вед стр-ра'!H384</f>
        <v>6860.5</v>
      </c>
      <c r="I365" s="25">
        <f>' первое чтение вед стр-ра'!I384</f>
        <v>6860.5</v>
      </c>
    </row>
    <row r="366" spans="1:9" s="73" customFormat="1" ht="51" x14ac:dyDescent="0.2">
      <c r="A366" s="69" t="s">
        <v>255</v>
      </c>
      <c r="B366" s="71" t="s">
        <v>41</v>
      </c>
      <c r="C366" s="71">
        <v>6</v>
      </c>
      <c r="D366" s="71" t="s">
        <v>473</v>
      </c>
      <c r="E366" s="71">
        <v>80010</v>
      </c>
      <c r="F366" s="71"/>
      <c r="G366" s="72">
        <f>G368+G367</f>
        <v>0</v>
      </c>
      <c r="H366" s="72">
        <f>H368+H367</f>
        <v>0</v>
      </c>
      <c r="I366" s="72">
        <f>I368+I367</f>
        <v>0</v>
      </c>
    </row>
    <row r="367" spans="1:9" s="73" customFormat="1" ht="25.5" x14ac:dyDescent="0.2">
      <c r="A367" s="74" t="s">
        <v>400</v>
      </c>
      <c r="B367" s="76" t="s">
        <v>41</v>
      </c>
      <c r="C367" s="76">
        <v>6</v>
      </c>
      <c r="D367" s="76" t="s">
        <v>473</v>
      </c>
      <c r="E367" s="76">
        <v>80010</v>
      </c>
      <c r="F367" s="77" t="s">
        <v>66</v>
      </c>
      <c r="G367" s="56">
        <f>' первое чтение вед стр-ра'!G506</f>
        <v>0</v>
      </c>
      <c r="H367" s="56">
        <f>' первое чтение вед стр-ра'!H506</f>
        <v>0</v>
      </c>
      <c r="I367" s="56">
        <f>' первое чтение вед стр-ра'!I506</f>
        <v>0</v>
      </c>
    </row>
    <row r="368" spans="1:9" s="73" customFormat="1" x14ac:dyDescent="0.2">
      <c r="A368" s="81" t="s">
        <v>67</v>
      </c>
      <c r="B368" s="76" t="s">
        <v>41</v>
      </c>
      <c r="C368" s="76">
        <v>6</v>
      </c>
      <c r="D368" s="76" t="s">
        <v>473</v>
      </c>
      <c r="E368" s="76">
        <v>80010</v>
      </c>
      <c r="F368" s="76" t="s">
        <v>68</v>
      </c>
      <c r="G368" s="56">
        <f>' первое чтение вед стр-ра'!G507</f>
        <v>0</v>
      </c>
      <c r="H368" s="56">
        <f>' первое чтение вед стр-ра'!H507</f>
        <v>0</v>
      </c>
      <c r="I368" s="56">
        <f>' первое чтение вед стр-ра'!I507</f>
        <v>0</v>
      </c>
    </row>
    <row r="369" spans="1:9" ht="38.25" x14ac:dyDescent="0.2">
      <c r="A369" s="18" t="s">
        <v>250</v>
      </c>
      <c r="B369" s="19" t="s">
        <v>41</v>
      </c>
      <c r="C369" s="19">
        <v>6</v>
      </c>
      <c r="D369" s="19" t="s">
        <v>397</v>
      </c>
      <c r="E369" s="19">
        <v>51370</v>
      </c>
      <c r="F369" s="19"/>
      <c r="G369" s="20">
        <f>G371+G370</f>
        <v>0</v>
      </c>
      <c r="H369" s="20">
        <f>H371+H370</f>
        <v>0</v>
      </c>
      <c r="I369" s="20">
        <f>I371+I370</f>
        <v>0</v>
      </c>
    </row>
    <row r="370" spans="1:9" ht="25.5" x14ac:dyDescent="0.2">
      <c r="A370" s="30" t="s">
        <v>400</v>
      </c>
      <c r="B370" s="24" t="s">
        <v>41</v>
      </c>
      <c r="C370" s="24">
        <v>6</v>
      </c>
      <c r="D370" s="24" t="s">
        <v>397</v>
      </c>
      <c r="E370" s="24">
        <v>51370</v>
      </c>
      <c r="F370" s="27" t="s">
        <v>66</v>
      </c>
      <c r="G370" s="25">
        <f>' первое чтение вед стр-ра'!G509</f>
        <v>0</v>
      </c>
      <c r="H370" s="25">
        <f>' первое чтение вед стр-ра'!H509</f>
        <v>0</v>
      </c>
      <c r="I370" s="25">
        <f>' первое чтение вед стр-ра'!I509</f>
        <v>0</v>
      </c>
    </row>
    <row r="371" spans="1:9" s="73" customFormat="1" x14ac:dyDescent="0.2">
      <c r="A371" s="81" t="s">
        <v>67</v>
      </c>
      <c r="B371" s="76" t="s">
        <v>41</v>
      </c>
      <c r="C371" s="76">
        <v>6</v>
      </c>
      <c r="D371" s="76" t="s">
        <v>397</v>
      </c>
      <c r="E371" s="76">
        <v>51370</v>
      </c>
      <c r="F371" s="76" t="s">
        <v>68</v>
      </c>
      <c r="G371" s="25">
        <f>' первое чтение вед стр-ра'!G510</f>
        <v>0</v>
      </c>
      <c r="H371" s="25">
        <f>' первое чтение вед стр-ра'!H510</f>
        <v>0</v>
      </c>
      <c r="I371" s="25">
        <f>' первое чтение вед стр-ра'!I510</f>
        <v>0</v>
      </c>
    </row>
    <row r="372" spans="1:9" s="73" customFormat="1" ht="38.25" x14ac:dyDescent="0.2">
      <c r="A372" s="69" t="s">
        <v>251</v>
      </c>
      <c r="B372" s="71" t="s">
        <v>41</v>
      </c>
      <c r="C372" s="71">
        <v>6</v>
      </c>
      <c r="D372" s="71" t="s">
        <v>397</v>
      </c>
      <c r="E372" s="71">
        <v>52200</v>
      </c>
      <c r="F372" s="71"/>
      <c r="G372" s="72">
        <f>G374+G373</f>
        <v>0</v>
      </c>
      <c r="H372" s="72">
        <f>H374+H373</f>
        <v>0</v>
      </c>
      <c r="I372" s="72">
        <f>I374+I373</f>
        <v>0</v>
      </c>
    </row>
    <row r="373" spans="1:9" s="73" customFormat="1" ht="25.5" x14ac:dyDescent="0.2">
      <c r="A373" s="74" t="s">
        <v>400</v>
      </c>
      <c r="B373" s="76" t="s">
        <v>41</v>
      </c>
      <c r="C373" s="76">
        <v>6</v>
      </c>
      <c r="D373" s="76" t="s">
        <v>397</v>
      </c>
      <c r="E373" s="76">
        <v>52200</v>
      </c>
      <c r="F373" s="77" t="s">
        <v>66</v>
      </c>
      <c r="G373" s="56">
        <f>' первое чтение вед стр-ра'!G512</f>
        <v>0</v>
      </c>
      <c r="H373" s="56">
        <f>' первое чтение вед стр-ра'!H512</f>
        <v>0</v>
      </c>
      <c r="I373" s="56">
        <f>' первое чтение вед стр-ра'!I512</f>
        <v>0</v>
      </c>
    </row>
    <row r="374" spans="1:9" s="73" customFormat="1" x14ac:dyDescent="0.2">
      <c r="A374" s="81" t="s">
        <v>67</v>
      </c>
      <c r="B374" s="76" t="s">
        <v>41</v>
      </c>
      <c r="C374" s="76">
        <v>6</v>
      </c>
      <c r="D374" s="76" t="s">
        <v>397</v>
      </c>
      <c r="E374" s="76">
        <v>52200</v>
      </c>
      <c r="F374" s="76" t="s">
        <v>68</v>
      </c>
      <c r="G374" s="56">
        <f>' первое чтение вед стр-ра'!G513</f>
        <v>0</v>
      </c>
      <c r="H374" s="56">
        <f>' первое чтение вед стр-ра'!H513</f>
        <v>0</v>
      </c>
      <c r="I374" s="56">
        <f>' первое чтение вед стр-ра'!I513</f>
        <v>0</v>
      </c>
    </row>
    <row r="375" spans="1:9" ht="25.5" x14ac:dyDescent="0.2">
      <c r="A375" s="18" t="s">
        <v>252</v>
      </c>
      <c r="B375" s="19" t="s">
        <v>41</v>
      </c>
      <c r="C375" s="19">
        <v>6</v>
      </c>
      <c r="D375" s="19" t="s">
        <v>397</v>
      </c>
      <c r="E375" s="19">
        <v>52500</v>
      </c>
      <c r="F375" s="19"/>
      <c r="G375" s="20">
        <f>G377+G376</f>
        <v>0</v>
      </c>
      <c r="H375" s="20">
        <f>H377+H376</f>
        <v>0</v>
      </c>
      <c r="I375" s="20">
        <f>I377+I376</f>
        <v>0</v>
      </c>
    </row>
    <row r="376" spans="1:9" ht="25.5" x14ac:dyDescent="0.2">
      <c r="A376" s="30" t="s">
        <v>400</v>
      </c>
      <c r="B376" s="24" t="s">
        <v>41</v>
      </c>
      <c r="C376" s="24">
        <v>6</v>
      </c>
      <c r="D376" s="24" t="s">
        <v>397</v>
      </c>
      <c r="E376" s="24">
        <v>52500</v>
      </c>
      <c r="F376" s="27" t="s">
        <v>66</v>
      </c>
      <c r="G376" s="25">
        <f>' первое чтение вед стр-ра'!G515</f>
        <v>0</v>
      </c>
      <c r="H376" s="25">
        <f>' первое чтение вед стр-ра'!H515</f>
        <v>0</v>
      </c>
      <c r="I376" s="25">
        <f>' первое чтение вед стр-ра'!I515</f>
        <v>0</v>
      </c>
    </row>
    <row r="377" spans="1:9" x14ac:dyDescent="0.2">
      <c r="A377" s="28" t="s">
        <v>67</v>
      </c>
      <c r="B377" s="24" t="s">
        <v>41</v>
      </c>
      <c r="C377" s="24">
        <v>6</v>
      </c>
      <c r="D377" s="24" t="s">
        <v>397</v>
      </c>
      <c r="E377" s="24">
        <v>52500</v>
      </c>
      <c r="F377" s="24" t="s">
        <v>68</v>
      </c>
      <c r="G377" s="25">
        <f>' первое чтение вед стр-ра'!G516</f>
        <v>0</v>
      </c>
      <c r="H377" s="25">
        <f>' первое чтение вед стр-ра'!H516</f>
        <v>0</v>
      </c>
      <c r="I377" s="25">
        <f>' первое чтение вед стр-ра'!I516</f>
        <v>0</v>
      </c>
    </row>
    <row r="378" spans="1:9" ht="76.5" x14ac:dyDescent="0.2">
      <c r="A378" s="18" t="s">
        <v>258</v>
      </c>
      <c r="B378" s="19" t="s">
        <v>41</v>
      </c>
      <c r="C378" s="19">
        <v>6</v>
      </c>
      <c r="D378" s="19" t="s">
        <v>397</v>
      </c>
      <c r="E378" s="19">
        <v>52700</v>
      </c>
      <c r="F378" s="19"/>
      <c r="G378" s="20">
        <f>G379</f>
        <v>615</v>
      </c>
      <c r="H378" s="20">
        <f>H379</f>
        <v>634</v>
      </c>
      <c r="I378" s="20">
        <f>I379</f>
        <v>659</v>
      </c>
    </row>
    <row r="379" spans="1:9" s="73" customFormat="1" x14ac:dyDescent="0.2">
      <c r="A379" s="81" t="s">
        <v>67</v>
      </c>
      <c r="B379" s="76" t="s">
        <v>41</v>
      </c>
      <c r="C379" s="76">
        <v>6</v>
      </c>
      <c r="D379" s="76" t="s">
        <v>397</v>
      </c>
      <c r="E379" s="76">
        <v>52700</v>
      </c>
      <c r="F379" s="76" t="s">
        <v>68</v>
      </c>
      <c r="G379" s="56">
        <f>' первое чтение вед стр-ра'!G569</f>
        <v>615</v>
      </c>
      <c r="H379" s="56">
        <f>' первое чтение вед стр-ра'!H569</f>
        <v>634</v>
      </c>
      <c r="I379" s="56">
        <f>' первое чтение вед стр-ра'!I569</f>
        <v>659</v>
      </c>
    </row>
    <row r="380" spans="1:9" ht="76.5" x14ac:dyDescent="0.2">
      <c r="A380" s="18" t="s">
        <v>253</v>
      </c>
      <c r="B380" s="19" t="s">
        <v>41</v>
      </c>
      <c r="C380" s="19">
        <v>6</v>
      </c>
      <c r="D380" s="19" t="s">
        <v>397</v>
      </c>
      <c r="E380" s="19">
        <v>52800</v>
      </c>
      <c r="F380" s="19"/>
      <c r="G380" s="20">
        <f>G381+G382</f>
        <v>4.8000000000000007</v>
      </c>
      <c r="H380" s="20">
        <f>H381+H382</f>
        <v>0</v>
      </c>
      <c r="I380" s="20">
        <f>I381+I382</f>
        <v>0</v>
      </c>
    </row>
    <row r="381" spans="1:9" s="73" customFormat="1" ht="25.5" x14ac:dyDescent="0.2">
      <c r="A381" s="74" t="s">
        <v>400</v>
      </c>
      <c r="B381" s="76" t="s">
        <v>41</v>
      </c>
      <c r="C381" s="76">
        <v>6</v>
      </c>
      <c r="D381" s="76" t="s">
        <v>397</v>
      </c>
      <c r="E381" s="76">
        <v>52800</v>
      </c>
      <c r="F381" s="77" t="s">
        <v>66</v>
      </c>
      <c r="G381" s="56">
        <f>' первое чтение вед стр-ра'!G518</f>
        <v>9.3130000000000004E-2</v>
      </c>
      <c r="H381" s="56">
        <f>' первое чтение вед стр-ра'!H518</f>
        <v>0</v>
      </c>
      <c r="I381" s="56">
        <f>' первое чтение вед стр-ра'!I518</f>
        <v>0</v>
      </c>
    </row>
    <row r="382" spans="1:9" s="73" customFormat="1" x14ac:dyDescent="0.2">
      <c r="A382" s="81" t="s">
        <v>67</v>
      </c>
      <c r="B382" s="76" t="s">
        <v>41</v>
      </c>
      <c r="C382" s="76">
        <v>6</v>
      </c>
      <c r="D382" s="76" t="s">
        <v>397</v>
      </c>
      <c r="E382" s="76">
        <v>52800</v>
      </c>
      <c r="F382" s="76" t="s">
        <v>68</v>
      </c>
      <c r="G382" s="56">
        <f>' первое чтение вед стр-ра'!G519</f>
        <v>4.7068700000000003</v>
      </c>
      <c r="H382" s="56">
        <f>' первое чтение вед стр-ра'!H519</f>
        <v>0</v>
      </c>
      <c r="I382" s="56">
        <f>' первое чтение вед стр-ра'!I519</f>
        <v>0</v>
      </c>
    </row>
    <row r="383" spans="1:9" ht="89.25" x14ac:dyDescent="0.2">
      <c r="A383" s="18" t="s">
        <v>259</v>
      </c>
      <c r="B383" s="19" t="s">
        <v>41</v>
      </c>
      <c r="C383" s="19">
        <v>6</v>
      </c>
      <c r="D383" s="19" t="s">
        <v>397</v>
      </c>
      <c r="E383" s="19">
        <v>53800</v>
      </c>
      <c r="F383" s="19"/>
      <c r="G383" s="20">
        <f>G385+G384</f>
        <v>48414</v>
      </c>
      <c r="H383" s="20">
        <f>H385+H384</f>
        <v>49898</v>
      </c>
      <c r="I383" s="20">
        <f>I385+I384</f>
        <v>51852</v>
      </c>
    </row>
    <row r="384" spans="1:9" ht="25.5" x14ac:dyDescent="0.2">
      <c r="A384" s="30" t="s">
        <v>400</v>
      </c>
      <c r="B384" s="19" t="s">
        <v>41</v>
      </c>
      <c r="C384" s="19">
        <v>6</v>
      </c>
      <c r="D384" s="19" t="s">
        <v>397</v>
      </c>
      <c r="E384" s="19">
        <v>53800</v>
      </c>
      <c r="F384" s="27" t="s">
        <v>66</v>
      </c>
      <c r="G384" s="25">
        <f>' первое чтение вед стр-ра'!G571</f>
        <v>0</v>
      </c>
      <c r="H384" s="25">
        <f>' первое чтение вед стр-ра'!H571</f>
        <v>0</v>
      </c>
      <c r="I384" s="25">
        <f>' первое чтение вед стр-ра'!I571</f>
        <v>0</v>
      </c>
    </row>
    <row r="385" spans="1:9" s="73" customFormat="1" x14ac:dyDescent="0.2">
      <c r="A385" s="81" t="s">
        <v>67</v>
      </c>
      <c r="B385" s="71" t="s">
        <v>41</v>
      </c>
      <c r="C385" s="71">
        <v>6</v>
      </c>
      <c r="D385" s="71" t="s">
        <v>397</v>
      </c>
      <c r="E385" s="71">
        <v>53800</v>
      </c>
      <c r="F385" s="76" t="s">
        <v>68</v>
      </c>
      <c r="G385" s="25">
        <f>' первое чтение вед стр-ра'!G572</f>
        <v>48414</v>
      </c>
      <c r="H385" s="25">
        <f>' первое чтение вед стр-ра'!H572</f>
        <v>49898</v>
      </c>
      <c r="I385" s="25">
        <f>' первое чтение вед стр-ра'!I572</f>
        <v>51852</v>
      </c>
    </row>
    <row r="386" spans="1:9" ht="63.75" x14ac:dyDescent="0.2">
      <c r="A386" s="18" t="s">
        <v>168</v>
      </c>
      <c r="B386" s="19" t="s">
        <v>41</v>
      </c>
      <c r="C386" s="19">
        <v>6</v>
      </c>
      <c r="D386" s="19" t="s">
        <v>397</v>
      </c>
      <c r="E386" s="19">
        <v>70010</v>
      </c>
      <c r="F386" s="19"/>
      <c r="G386" s="20">
        <f>G388+G387</f>
        <v>2070</v>
      </c>
      <c r="H386" s="20">
        <f>H388+H387</f>
        <v>2070</v>
      </c>
      <c r="I386" s="20">
        <f>I388+I387</f>
        <v>2070</v>
      </c>
    </row>
    <row r="387" spans="1:9" s="9" customFormat="1" ht="25.5" x14ac:dyDescent="0.2">
      <c r="A387" s="30" t="s">
        <v>400</v>
      </c>
      <c r="B387" s="24" t="s">
        <v>41</v>
      </c>
      <c r="C387" s="24">
        <v>6</v>
      </c>
      <c r="D387" s="24" t="s">
        <v>397</v>
      </c>
      <c r="E387" s="24">
        <v>70010</v>
      </c>
      <c r="F387" s="27" t="s">
        <v>66</v>
      </c>
      <c r="G387" s="25">
        <f>' первое чтение вед стр-ра'!G521</f>
        <v>0</v>
      </c>
      <c r="H387" s="25">
        <f>' первое чтение вед стр-ра'!H521</f>
        <v>0</v>
      </c>
      <c r="I387" s="25">
        <f>' первое чтение вед стр-ра'!I521</f>
        <v>0</v>
      </c>
    </row>
    <row r="388" spans="1:9" x14ac:dyDescent="0.2">
      <c r="A388" s="28" t="s">
        <v>67</v>
      </c>
      <c r="B388" s="24" t="s">
        <v>41</v>
      </c>
      <c r="C388" s="24">
        <v>6</v>
      </c>
      <c r="D388" s="24" t="s">
        <v>397</v>
      </c>
      <c r="E388" s="24">
        <v>70010</v>
      </c>
      <c r="F388" s="24" t="s">
        <v>68</v>
      </c>
      <c r="G388" s="25">
        <f>' первое чтение вед стр-ра'!G522</f>
        <v>2070</v>
      </c>
      <c r="H388" s="25">
        <f>' первое чтение вед стр-ра'!H522</f>
        <v>2070</v>
      </c>
      <c r="I388" s="25">
        <f>' первое чтение вед стр-ра'!I522</f>
        <v>2070</v>
      </c>
    </row>
    <row r="389" spans="1:9" ht="127.5" x14ac:dyDescent="0.2">
      <c r="A389" s="18" t="s">
        <v>302</v>
      </c>
      <c r="B389" s="19" t="s">
        <v>41</v>
      </c>
      <c r="C389" s="19">
        <v>6</v>
      </c>
      <c r="D389" s="19" t="s">
        <v>397</v>
      </c>
      <c r="E389" s="19">
        <v>70020</v>
      </c>
      <c r="F389" s="19"/>
      <c r="G389" s="20">
        <f>G391+G390</f>
        <v>36</v>
      </c>
      <c r="H389" s="20">
        <f>H391+H390</f>
        <v>36</v>
      </c>
      <c r="I389" s="20">
        <f>I391+I390</f>
        <v>36</v>
      </c>
    </row>
    <row r="390" spans="1:9" ht="25.5" x14ac:dyDescent="0.2">
      <c r="A390" s="30" t="s">
        <v>400</v>
      </c>
      <c r="B390" s="24" t="s">
        <v>41</v>
      </c>
      <c r="C390" s="24">
        <v>6</v>
      </c>
      <c r="D390" s="24" t="s">
        <v>397</v>
      </c>
      <c r="E390" s="24">
        <v>70020</v>
      </c>
      <c r="F390" s="27" t="s">
        <v>66</v>
      </c>
      <c r="G390" s="25">
        <f>' первое чтение вед стр-ра'!G524</f>
        <v>0</v>
      </c>
      <c r="H390" s="25">
        <f>' первое чтение вед стр-ра'!H524</f>
        <v>0</v>
      </c>
      <c r="I390" s="25">
        <f>' первое чтение вед стр-ра'!I524</f>
        <v>0</v>
      </c>
    </row>
    <row r="391" spans="1:9" s="73" customFormat="1" x14ac:dyDescent="0.2">
      <c r="A391" s="81" t="s">
        <v>67</v>
      </c>
      <c r="B391" s="76" t="s">
        <v>41</v>
      </c>
      <c r="C391" s="76">
        <v>6</v>
      </c>
      <c r="D391" s="76" t="s">
        <v>397</v>
      </c>
      <c r="E391" s="76">
        <v>70020</v>
      </c>
      <c r="F391" s="76" t="s">
        <v>68</v>
      </c>
      <c r="G391" s="25">
        <f>' первое чтение вед стр-ра'!G525</f>
        <v>36</v>
      </c>
      <c r="H391" s="25">
        <f>' первое чтение вед стр-ра'!H525</f>
        <v>36</v>
      </c>
      <c r="I391" s="25">
        <f>' первое чтение вед стр-ра'!I525</f>
        <v>36</v>
      </c>
    </row>
    <row r="392" spans="1:9" ht="63" customHeight="1" x14ac:dyDescent="0.2">
      <c r="A392" s="18" t="s">
        <v>391</v>
      </c>
      <c r="B392" s="19" t="s">
        <v>41</v>
      </c>
      <c r="C392" s="19">
        <v>6</v>
      </c>
      <c r="D392" s="19" t="s">
        <v>397</v>
      </c>
      <c r="E392" s="19">
        <v>70030</v>
      </c>
      <c r="F392" s="19"/>
      <c r="G392" s="56">
        <f>G393+G394</f>
        <v>260</v>
      </c>
      <c r="H392" s="56">
        <f>H393+H394</f>
        <v>260</v>
      </c>
      <c r="I392" s="56">
        <f>I393+I394</f>
        <v>260</v>
      </c>
    </row>
    <row r="393" spans="1:9" ht="25.5" x14ac:dyDescent="0.2">
      <c r="A393" s="30" t="s">
        <v>400</v>
      </c>
      <c r="B393" s="24" t="s">
        <v>41</v>
      </c>
      <c r="C393" s="24">
        <v>6</v>
      </c>
      <c r="D393" s="24" t="s">
        <v>397</v>
      </c>
      <c r="E393" s="24">
        <v>70030</v>
      </c>
      <c r="F393" s="27" t="s">
        <v>66</v>
      </c>
      <c r="G393" s="25">
        <f>' первое чтение вед стр-ра'!G527</f>
        <v>0</v>
      </c>
      <c r="H393" s="25">
        <f>' первое чтение вед стр-ра'!H527</f>
        <v>0</v>
      </c>
      <c r="I393" s="25">
        <f>' первое чтение вед стр-ра'!I527</f>
        <v>0</v>
      </c>
    </row>
    <row r="394" spans="1:9" s="73" customFormat="1" x14ac:dyDescent="0.2">
      <c r="A394" s="81" t="s">
        <v>67</v>
      </c>
      <c r="B394" s="76" t="s">
        <v>41</v>
      </c>
      <c r="C394" s="76">
        <v>6</v>
      </c>
      <c r="D394" s="76" t="s">
        <v>397</v>
      </c>
      <c r="E394" s="76">
        <v>70030</v>
      </c>
      <c r="F394" s="76" t="s">
        <v>68</v>
      </c>
      <c r="G394" s="25">
        <f>' первое чтение вед стр-ра'!G528</f>
        <v>260</v>
      </c>
      <c r="H394" s="25">
        <f>' первое чтение вед стр-ра'!H528</f>
        <v>260</v>
      </c>
      <c r="I394" s="25">
        <f>' первое чтение вед стр-ра'!I528</f>
        <v>260</v>
      </c>
    </row>
    <row r="395" spans="1:9" ht="51" x14ac:dyDescent="0.2">
      <c r="A395" s="18" t="s">
        <v>169</v>
      </c>
      <c r="B395" s="19" t="s">
        <v>41</v>
      </c>
      <c r="C395" s="19">
        <v>6</v>
      </c>
      <c r="D395" s="19" t="s">
        <v>397</v>
      </c>
      <c r="E395" s="19">
        <v>70060</v>
      </c>
      <c r="F395" s="19"/>
      <c r="G395" s="20">
        <f>G397+G396</f>
        <v>29.1</v>
      </c>
      <c r="H395" s="20">
        <f>H397+H396</f>
        <v>29.1</v>
      </c>
      <c r="I395" s="20">
        <f>I397+I396</f>
        <v>29.1</v>
      </c>
    </row>
    <row r="396" spans="1:9" ht="25.5" x14ac:dyDescent="0.2">
      <c r="A396" s="30" t="s">
        <v>400</v>
      </c>
      <c r="B396" s="24" t="s">
        <v>41</v>
      </c>
      <c r="C396" s="24">
        <v>6</v>
      </c>
      <c r="D396" s="24" t="s">
        <v>397</v>
      </c>
      <c r="E396" s="24">
        <v>70060</v>
      </c>
      <c r="F396" s="27" t="s">
        <v>66</v>
      </c>
      <c r="G396" s="25">
        <f>' первое чтение вед стр-ра'!G530</f>
        <v>0</v>
      </c>
      <c r="H396" s="25">
        <f>' первое чтение вед стр-ра'!H530</f>
        <v>0</v>
      </c>
      <c r="I396" s="25">
        <f>' первое чтение вед стр-ра'!I530</f>
        <v>0</v>
      </c>
    </row>
    <row r="397" spans="1:9" x14ac:dyDescent="0.2">
      <c r="A397" s="28" t="s">
        <v>67</v>
      </c>
      <c r="B397" s="24" t="s">
        <v>41</v>
      </c>
      <c r="C397" s="24">
        <v>6</v>
      </c>
      <c r="D397" s="24" t="s">
        <v>397</v>
      </c>
      <c r="E397" s="24">
        <v>70060</v>
      </c>
      <c r="F397" s="24" t="s">
        <v>68</v>
      </c>
      <c r="G397" s="25">
        <f>' первое чтение вед стр-ра'!G531</f>
        <v>29.1</v>
      </c>
      <c r="H397" s="25">
        <f>' первое чтение вед стр-ра'!H531</f>
        <v>29.1</v>
      </c>
      <c r="I397" s="25">
        <f>' первое чтение вед стр-ра'!I531</f>
        <v>29.1</v>
      </c>
    </row>
    <row r="398" spans="1:9" ht="51" x14ac:dyDescent="0.2">
      <c r="A398" s="18" t="s">
        <v>303</v>
      </c>
      <c r="B398" s="19" t="s">
        <v>41</v>
      </c>
      <c r="C398" s="19">
        <v>6</v>
      </c>
      <c r="D398" s="19" t="s">
        <v>397</v>
      </c>
      <c r="E398" s="19">
        <v>70070</v>
      </c>
      <c r="F398" s="19"/>
      <c r="G398" s="20">
        <f>G400+G399</f>
        <v>0</v>
      </c>
      <c r="H398" s="20">
        <f>H400+H399</f>
        <v>0</v>
      </c>
      <c r="I398" s="20">
        <f>I400+I399</f>
        <v>0</v>
      </c>
    </row>
    <row r="399" spans="1:9" ht="25.5" x14ac:dyDescent="0.2">
      <c r="A399" s="30" t="s">
        <v>400</v>
      </c>
      <c r="B399" s="24" t="s">
        <v>41</v>
      </c>
      <c r="C399" s="24">
        <v>6</v>
      </c>
      <c r="D399" s="24" t="s">
        <v>397</v>
      </c>
      <c r="E399" s="24">
        <v>70070</v>
      </c>
      <c r="F399" s="27" t="s">
        <v>66</v>
      </c>
      <c r="G399" s="25">
        <f>' первое чтение вед стр-ра'!G533</f>
        <v>0</v>
      </c>
      <c r="H399" s="25">
        <f>' первое чтение вед стр-ра'!H533</f>
        <v>0</v>
      </c>
      <c r="I399" s="25">
        <f>' первое чтение вед стр-ра'!I533</f>
        <v>0</v>
      </c>
    </row>
    <row r="400" spans="1:9" x14ac:dyDescent="0.2">
      <c r="A400" s="28" t="s">
        <v>67</v>
      </c>
      <c r="B400" s="24" t="s">
        <v>41</v>
      </c>
      <c r="C400" s="24">
        <v>6</v>
      </c>
      <c r="D400" s="24" t="s">
        <v>397</v>
      </c>
      <c r="E400" s="24">
        <v>70070</v>
      </c>
      <c r="F400" s="24" t="s">
        <v>68</v>
      </c>
      <c r="G400" s="25">
        <f>' первое чтение вед стр-ра'!G534</f>
        <v>0</v>
      </c>
      <c r="H400" s="25">
        <f>' первое чтение вед стр-ра'!H534</f>
        <v>0</v>
      </c>
      <c r="I400" s="25">
        <f>' первое чтение вед стр-ра'!I534</f>
        <v>0</v>
      </c>
    </row>
    <row r="401" spans="1:9" ht="51" x14ac:dyDescent="0.2">
      <c r="A401" s="18" t="s">
        <v>170</v>
      </c>
      <c r="B401" s="19" t="s">
        <v>41</v>
      </c>
      <c r="C401" s="19">
        <v>6</v>
      </c>
      <c r="D401" s="19" t="s">
        <v>397</v>
      </c>
      <c r="E401" s="19">
        <v>70080</v>
      </c>
      <c r="F401" s="19"/>
      <c r="G401" s="20">
        <f>G403+G402</f>
        <v>60</v>
      </c>
      <c r="H401" s="20">
        <f>H403+H402</f>
        <v>60</v>
      </c>
      <c r="I401" s="20">
        <f>I403+I402</f>
        <v>60</v>
      </c>
    </row>
    <row r="402" spans="1:9" ht="25.5" x14ac:dyDescent="0.2">
      <c r="A402" s="30" t="s">
        <v>400</v>
      </c>
      <c r="B402" s="24" t="s">
        <v>41</v>
      </c>
      <c r="C402" s="24">
        <v>6</v>
      </c>
      <c r="D402" s="24" t="s">
        <v>397</v>
      </c>
      <c r="E402" s="24">
        <v>70080</v>
      </c>
      <c r="F402" s="27" t="s">
        <v>66</v>
      </c>
      <c r="G402" s="25">
        <f>' первое чтение вед стр-ра'!G536</f>
        <v>0</v>
      </c>
      <c r="H402" s="25">
        <f>' первое чтение вед стр-ра'!H536</f>
        <v>0</v>
      </c>
      <c r="I402" s="25">
        <f>' первое чтение вед стр-ра'!I536</f>
        <v>0</v>
      </c>
    </row>
    <row r="403" spans="1:9" s="73" customFormat="1" x14ac:dyDescent="0.2">
      <c r="A403" s="81" t="s">
        <v>67</v>
      </c>
      <c r="B403" s="76" t="s">
        <v>41</v>
      </c>
      <c r="C403" s="76">
        <v>6</v>
      </c>
      <c r="D403" s="76" t="s">
        <v>397</v>
      </c>
      <c r="E403" s="76">
        <v>70080</v>
      </c>
      <c r="F403" s="76" t="s">
        <v>68</v>
      </c>
      <c r="G403" s="25">
        <f>' первое чтение вед стр-ра'!G537</f>
        <v>60</v>
      </c>
      <c r="H403" s="25">
        <f>' первое чтение вед стр-ра'!H537</f>
        <v>60</v>
      </c>
      <c r="I403" s="25">
        <f>' первое чтение вед стр-ра'!I537</f>
        <v>60</v>
      </c>
    </row>
    <row r="404" spans="1:9" ht="89.25" x14ac:dyDescent="0.2">
      <c r="A404" s="18" t="s">
        <v>750</v>
      </c>
      <c r="B404" s="19" t="s">
        <v>41</v>
      </c>
      <c r="C404" s="19">
        <v>6</v>
      </c>
      <c r="D404" s="19" t="s">
        <v>397</v>
      </c>
      <c r="E404" s="19" t="s">
        <v>731</v>
      </c>
      <c r="F404" s="19"/>
      <c r="G404" s="20">
        <f>G406+G405</f>
        <v>2523.4</v>
      </c>
      <c r="H404" s="20">
        <f>H406+H405</f>
        <v>2523.4</v>
      </c>
      <c r="I404" s="20">
        <f>I406+I405</f>
        <v>2523.4</v>
      </c>
    </row>
    <row r="405" spans="1:9" ht="25.5" x14ac:dyDescent="0.2">
      <c r="A405" s="30" t="s">
        <v>400</v>
      </c>
      <c r="B405" s="24" t="s">
        <v>41</v>
      </c>
      <c r="C405" s="24">
        <v>6</v>
      </c>
      <c r="D405" s="24" t="s">
        <v>397</v>
      </c>
      <c r="E405" s="24" t="s">
        <v>731</v>
      </c>
      <c r="F405" s="27" t="s">
        <v>66</v>
      </c>
      <c r="G405" s="25">
        <f>' первое чтение вед стр-ра'!G539</f>
        <v>33.1</v>
      </c>
      <c r="H405" s="25">
        <f>' первое чтение вед стр-ра'!H539</f>
        <v>33.1</v>
      </c>
      <c r="I405" s="25">
        <f>' первое чтение вед стр-ра'!I539</f>
        <v>33.1</v>
      </c>
    </row>
    <row r="406" spans="1:9" s="73" customFormat="1" x14ac:dyDescent="0.2">
      <c r="A406" s="81" t="s">
        <v>67</v>
      </c>
      <c r="B406" s="76" t="s">
        <v>41</v>
      </c>
      <c r="C406" s="76">
        <v>6</v>
      </c>
      <c r="D406" s="76" t="s">
        <v>397</v>
      </c>
      <c r="E406" s="76" t="s">
        <v>731</v>
      </c>
      <c r="F406" s="76" t="s">
        <v>68</v>
      </c>
      <c r="G406" s="25">
        <f>' первое чтение вед стр-ра'!G540</f>
        <v>2490.3000000000002</v>
      </c>
      <c r="H406" s="25">
        <f>' первое чтение вед стр-ра'!H540</f>
        <v>2490.3000000000002</v>
      </c>
      <c r="I406" s="25">
        <f>' первое чтение вед стр-ра'!I540</f>
        <v>2490.3000000000002</v>
      </c>
    </row>
    <row r="407" spans="1:9" ht="114.75" x14ac:dyDescent="0.2">
      <c r="A407" s="18" t="s">
        <v>304</v>
      </c>
      <c r="B407" s="19" t="s">
        <v>41</v>
      </c>
      <c r="C407" s="19">
        <v>6</v>
      </c>
      <c r="D407" s="19" t="s">
        <v>397</v>
      </c>
      <c r="E407" s="19">
        <v>70100</v>
      </c>
      <c r="F407" s="19"/>
      <c r="G407" s="20">
        <f>G408</f>
        <v>0</v>
      </c>
      <c r="H407" s="20">
        <f>H408</f>
        <v>0</v>
      </c>
      <c r="I407" s="20">
        <f>I408</f>
        <v>0</v>
      </c>
    </row>
    <row r="408" spans="1:9" x14ac:dyDescent="0.2">
      <c r="A408" s="28" t="s">
        <v>67</v>
      </c>
      <c r="B408" s="24" t="s">
        <v>41</v>
      </c>
      <c r="C408" s="24">
        <v>6</v>
      </c>
      <c r="D408" s="24" t="s">
        <v>397</v>
      </c>
      <c r="E408" s="24">
        <v>70100</v>
      </c>
      <c r="F408" s="24" t="s">
        <v>68</v>
      </c>
      <c r="G408" s="25">
        <f>' первое чтение вед стр-ра'!G542</f>
        <v>0</v>
      </c>
      <c r="H408" s="25">
        <f>' первое чтение вед стр-ра'!H542</f>
        <v>0</v>
      </c>
      <c r="I408" s="25">
        <f>' первое чтение вед стр-ра'!I542</f>
        <v>0</v>
      </c>
    </row>
    <row r="409" spans="1:9" ht="63" customHeight="1" x14ac:dyDescent="0.2">
      <c r="A409" s="18" t="s">
        <v>254</v>
      </c>
      <c r="B409" s="19" t="s">
        <v>41</v>
      </c>
      <c r="C409" s="19">
        <v>6</v>
      </c>
      <c r="D409" s="19" t="s">
        <v>397</v>
      </c>
      <c r="E409" s="19">
        <v>70190</v>
      </c>
      <c r="F409" s="19"/>
      <c r="G409" s="20">
        <f>G410</f>
        <v>10</v>
      </c>
      <c r="H409" s="20">
        <f>H410</f>
        <v>10</v>
      </c>
      <c r="I409" s="20">
        <f>I410</f>
        <v>10</v>
      </c>
    </row>
    <row r="410" spans="1:9" s="73" customFormat="1" ht="51" x14ac:dyDescent="0.2">
      <c r="A410" s="74" t="s">
        <v>64</v>
      </c>
      <c r="B410" s="76" t="s">
        <v>41</v>
      </c>
      <c r="C410" s="76">
        <v>6</v>
      </c>
      <c r="D410" s="76" t="s">
        <v>397</v>
      </c>
      <c r="E410" s="76">
        <v>70190</v>
      </c>
      <c r="F410" s="76" t="s">
        <v>65</v>
      </c>
      <c r="G410" s="56">
        <f>' первое чтение вед стр-ра'!G500</f>
        <v>10</v>
      </c>
      <c r="H410" s="56">
        <f>' первое чтение вед стр-ра'!H500</f>
        <v>10</v>
      </c>
      <c r="I410" s="56">
        <f>' первое чтение вед стр-ра'!I500</f>
        <v>10</v>
      </c>
    </row>
    <row r="411" spans="1:9" s="73" customFormat="1" ht="38.25" x14ac:dyDescent="0.2">
      <c r="A411" s="69" t="s">
        <v>305</v>
      </c>
      <c r="B411" s="71" t="s">
        <v>41</v>
      </c>
      <c r="C411" s="71">
        <v>6</v>
      </c>
      <c r="D411" s="71" t="s">
        <v>397</v>
      </c>
      <c r="E411" s="71">
        <v>80040</v>
      </c>
      <c r="F411" s="71"/>
      <c r="G411" s="72">
        <f>G413+G412</f>
        <v>0</v>
      </c>
      <c r="H411" s="72">
        <f>H413+H412</f>
        <v>0</v>
      </c>
      <c r="I411" s="72">
        <f>I413+I412</f>
        <v>0</v>
      </c>
    </row>
    <row r="412" spans="1:9" ht="25.5" x14ac:dyDescent="0.2">
      <c r="A412" s="30" t="s">
        <v>400</v>
      </c>
      <c r="B412" s="24" t="s">
        <v>41</v>
      </c>
      <c r="C412" s="24">
        <v>6</v>
      </c>
      <c r="D412" s="24" t="s">
        <v>397</v>
      </c>
      <c r="E412" s="24">
        <v>80040</v>
      </c>
      <c r="F412" s="27" t="s">
        <v>66</v>
      </c>
      <c r="G412" s="25">
        <f>' первое чтение вед стр-ра'!G544</f>
        <v>0</v>
      </c>
      <c r="H412" s="25">
        <f>' первое чтение вед стр-ра'!H544</f>
        <v>0</v>
      </c>
      <c r="I412" s="25">
        <f>' первое чтение вед стр-ра'!I544</f>
        <v>0</v>
      </c>
    </row>
    <row r="413" spans="1:9" s="73" customFormat="1" x14ac:dyDescent="0.2">
      <c r="A413" s="81" t="s">
        <v>67</v>
      </c>
      <c r="B413" s="76" t="s">
        <v>41</v>
      </c>
      <c r="C413" s="76">
        <v>6</v>
      </c>
      <c r="D413" s="76" t="s">
        <v>397</v>
      </c>
      <c r="E413" s="76">
        <v>80040</v>
      </c>
      <c r="F413" s="76" t="s">
        <v>68</v>
      </c>
      <c r="G413" s="25">
        <f>' первое чтение вед стр-ра'!G545</f>
        <v>0</v>
      </c>
      <c r="H413" s="25">
        <f>' первое чтение вед стр-ра'!H545</f>
        <v>0</v>
      </c>
      <c r="I413" s="25">
        <f>' первое чтение вед стр-ра'!I545</f>
        <v>0</v>
      </c>
    </row>
    <row r="414" spans="1:9" ht="38.25" x14ac:dyDescent="0.2">
      <c r="A414" s="18" t="s">
        <v>306</v>
      </c>
      <c r="B414" s="19" t="s">
        <v>41</v>
      </c>
      <c r="C414" s="19">
        <v>6</v>
      </c>
      <c r="D414" s="19" t="s">
        <v>397</v>
      </c>
      <c r="E414" s="19">
        <v>80050</v>
      </c>
      <c r="F414" s="19"/>
      <c r="G414" s="20">
        <f>G416+G415</f>
        <v>0</v>
      </c>
      <c r="H414" s="20">
        <f>H416+H415</f>
        <v>0</v>
      </c>
      <c r="I414" s="20">
        <f>I416+I415</f>
        <v>0</v>
      </c>
    </row>
    <row r="415" spans="1:9" ht="25.5" x14ac:dyDescent="0.2">
      <c r="A415" s="30" t="s">
        <v>400</v>
      </c>
      <c r="B415" s="24" t="s">
        <v>41</v>
      </c>
      <c r="C415" s="24">
        <v>6</v>
      </c>
      <c r="D415" s="24" t="s">
        <v>397</v>
      </c>
      <c r="E415" s="24">
        <v>80050</v>
      </c>
      <c r="F415" s="27" t="s">
        <v>66</v>
      </c>
      <c r="G415" s="25">
        <f>' первое чтение вед стр-ра'!G576</f>
        <v>0</v>
      </c>
      <c r="H415" s="25">
        <f>' первое чтение вед стр-ра'!H576</f>
        <v>0</v>
      </c>
      <c r="I415" s="25">
        <f>' первое чтение вед стр-ра'!I576</f>
        <v>0</v>
      </c>
    </row>
    <row r="416" spans="1:9" x14ac:dyDescent="0.2">
      <c r="A416" s="28" t="s">
        <v>67</v>
      </c>
      <c r="B416" s="24" t="s">
        <v>41</v>
      </c>
      <c r="C416" s="24">
        <v>6</v>
      </c>
      <c r="D416" s="24" t="s">
        <v>397</v>
      </c>
      <c r="E416" s="24">
        <v>80050</v>
      </c>
      <c r="F416" s="24" t="s">
        <v>68</v>
      </c>
      <c r="G416" s="25">
        <f>' первое чтение вед стр-ра'!G577</f>
        <v>0</v>
      </c>
      <c r="H416" s="25">
        <f>' первое чтение вед стр-ра'!H577</f>
        <v>0</v>
      </c>
      <c r="I416" s="25">
        <f>' первое чтение вед стр-ра'!I577</f>
        <v>0</v>
      </c>
    </row>
    <row r="417" spans="1:9" s="9" customFormat="1" ht="51" x14ac:dyDescent="0.2">
      <c r="A417" s="18" t="s">
        <v>256</v>
      </c>
      <c r="B417" s="19" t="s">
        <v>41</v>
      </c>
      <c r="C417" s="19">
        <v>6</v>
      </c>
      <c r="D417" s="19" t="s">
        <v>397</v>
      </c>
      <c r="E417" s="19">
        <v>80070</v>
      </c>
      <c r="F417" s="19"/>
      <c r="G417" s="20">
        <f>G419+G418</f>
        <v>0</v>
      </c>
      <c r="H417" s="20">
        <f>H419+H418</f>
        <v>0</v>
      </c>
      <c r="I417" s="20">
        <f>I419+I418</f>
        <v>0</v>
      </c>
    </row>
    <row r="418" spans="1:9" ht="25.5" x14ac:dyDescent="0.2">
      <c r="A418" s="30" t="s">
        <v>400</v>
      </c>
      <c r="B418" s="24" t="s">
        <v>41</v>
      </c>
      <c r="C418" s="24">
        <v>6</v>
      </c>
      <c r="D418" s="24" t="s">
        <v>397</v>
      </c>
      <c r="E418" s="24">
        <v>80070</v>
      </c>
      <c r="F418" s="27" t="s">
        <v>66</v>
      </c>
      <c r="G418" s="25">
        <f>' первое чтение вед стр-ра'!G547</f>
        <v>0</v>
      </c>
      <c r="H418" s="25">
        <f>' первое чтение вед стр-ра'!H547</f>
        <v>0</v>
      </c>
      <c r="I418" s="25">
        <f>' первое чтение вед стр-ра'!I547</f>
        <v>0</v>
      </c>
    </row>
    <row r="419" spans="1:9" x14ac:dyDescent="0.2">
      <c r="A419" s="28" t="s">
        <v>67</v>
      </c>
      <c r="B419" s="24" t="s">
        <v>41</v>
      </c>
      <c r="C419" s="24">
        <v>6</v>
      </c>
      <c r="D419" s="24" t="s">
        <v>397</v>
      </c>
      <c r="E419" s="24">
        <v>80070</v>
      </c>
      <c r="F419" s="24" t="s">
        <v>68</v>
      </c>
      <c r="G419" s="25">
        <f>' первое чтение вед стр-ра'!G548</f>
        <v>0</v>
      </c>
      <c r="H419" s="25">
        <f>' первое чтение вед стр-ра'!H548</f>
        <v>0</v>
      </c>
      <c r="I419" s="25">
        <f>' первое чтение вед стр-ра'!I548</f>
        <v>0</v>
      </c>
    </row>
    <row r="420" spans="1:9" ht="63.75" x14ac:dyDescent="0.2">
      <c r="A420" s="18" t="s">
        <v>310</v>
      </c>
      <c r="B420" s="19" t="s">
        <v>41</v>
      </c>
      <c r="C420" s="19">
        <v>6</v>
      </c>
      <c r="D420" s="19" t="s">
        <v>397</v>
      </c>
      <c r="E420" s="19">
        <v>80080</v>
      </c>
      <c r="F420" s="19"/>
      <c r="G420" s="20">
        <f>G422+G421</f>
        <v>1216</v>
      </c>
      <c r="H420" s="20">
        <f>H422+H421</f>
        <v>1216</v>
      </c>
      <c r="I420" s="20">
        <f>I422+I421</f>
        <v>1216</v>
      </c>
    </row>
    <row r="421" spans="1:9" ht="25.5" x14ac:dyDescent="0.2">
      <c r="A421" s="30" t="s">
        <v>400</v>
      </c>
      <c r="B421" s="24" t="s">
        <v>41</v>
      </c>
      <c r="C421" s="24">
        <v>6</v>
      </c>
      <c r="D421" s="24" t="s">
        <v>397</v>
      </c>
      <c r="E421" s="24">
        <v>80080</v>
      </c>
      <c r="F421" s="27" t="s">
        <v>66</v>
      </c>
      <c r="G421" s="25">
        <f>' первое чтение вед стр-ра'!G550</f>
        <v>6</v>
      </c>
      <c r="H421" s="25">
        <f>' первое чтение вед стр-ра'!H550</f>
        <v>6</v>
      </c>
      <c r="I421" s="25">
        <f>' первое чтение вед стр-ра'!I550</f>
        <v>6</v>
      </c>
    </row>
    <row r="422" spans="1:9" x14ac:dyDescent="0.2">
      <c r="A422" s="28" t="s">
        <v>67</v>
      </c>
      <c r="B422" s="24" t="s">
        <v>41</v>
      </c>
      <c r="C422" s="24">
        <v>6</v>
      </c>
      <c r="D422" s="24" t="s">
        <v>397</v>
      </c>
      <c r="E422" s="24">
        <v>80080</v>
      </c>
      <c r="F422" s="24" t="s">
        <v>68</v>
      </c>
      <c r="G422" s="25">
        <f>' первое чтение вед стр-ра'!G551</f>
        <v>1210</v>
      </c>
      <c r="H422" s="25">
        <f>' первое чтение вед стр-ра'!H551</f>
        <v>1210</v>
      </c>
      <c r="I422" s="25">
        <f>' первое чтение вед стр-ра'!I551</f>
        <v>1210</v>
      </c>
    </row>
    <row r="423" spans="1:9" s="73" customFormat="1" ht="38.25" x14ac:dyDescent="0.2">
      <c r="A423" s="69" t="s">
        <v>257</v>
      </c>
      <c r="B423" s="71" t="s">
        <v>41</v>
      </c>
      <c r="C423" s="71">
        <v>6</v>
      </c>
      <c r="D423" s="71" t="s">
        <v>397</v>
      </c>
      <c r="E423" s="71">
        <v>80090</v>
      </c>
      <c r="F423" s="71"/>
      <c r="G423" s="72">
        <f>G425+G424</f>
        <v>0</v>
      </c>
      <c r="H423" s="72">
        <f>H425+H424</f>
        <v>0</v>
      </c>
      <c r="I423" s="72">
        <f>I425+I424</f>
        <v>0</v>
      </c>
    </row>
    <row r="424" spans="1:9" s="73" customFormat="1" ht="25.5" x14ac:dyDescent="0.2">
      <c r="A424" s="74" t="s">
        <v>400</v>
      </c>
      <c r="B424" s="76" t="s">
        <v>41</v>
      </c>
      <c r="C424" s="76">
        <v>6</v>
      </c>
      <c r="D424" s="76" t="s">
        <v>397</v>
      </c>
      <c r="E424" s="76">
        <v>80090</v>
      </c>
      <c r="F424" s="77" t="s">
        <v>66</v>
      </c>
      <c r="G424" s="56">
        <f>' первое чтение вед стр-ра'!G553</f>
        <v>0</v>
      </c>
      <c r="H424" s="56">
        <f>' первое чтение вед стр-ра'!H553</f>
        <v>0</v>
      </c>
      <c r="I424" s="56">
        <f>' первое чтение вед стр-ра'!I553</f>
        <v>0</v>
      </c>
    </row>
    <row r="425" spans="1:9" s="73" customFormat="1" x14ac:dyDescent="0.2">
      <c r="A425" s="81" t="s">
        <v>67</v>
      </c>
      <c r="B425" s="76" t="s">
        <v>41</v>
      </c>
      <c r="C425" s="76">
        <v>6</v>
      </c>
      <c r="D425" s="76" t="s">
        <v>397</v>
      </c>
      <c r="E425" s="76">
        <v>80090</v>
      </c>
      <c r="F425" s="76" t="s">
        <v>68</v>
      </c>
      <c r="G425" s="56">
        <f>' первое чтение вед стр-ра'!G554</f>
        <v>0</v>
      </c>
      <c r="H425" s="56">
        <f>' первое чтение вед стр-ра'!H554</f>
        <v>0</v>
      </c>
      <c r="I425" s="56">
        <f>' первое чтение вед стр-ра'!I554</f>
        <v>0</v>
      </c>
    </row>
    <row r="426" spans="1:9" ht="89.25" x14ac:dyDescent="0.2">
      <c r="A426" s="18" t="s">
        <v>392</v>
      </c>
      <c r="B426" s="19" t="s">
        <v>41</v>
      </c>
      <c r="C426" s="19">
        <v>6</v>
      </c>
      <c r="D426" s="19" t="s">
        <v>397</v>
      </c>
      <c r="E426" s="19">
        <v>80100</v>
      </c>
      <c r="F426" s="19"/>
      <c r="G426" s="20">
        <f>G428+G427</f>
        <v>0</v>
      </c>
      <c r="H426" s="20">
        <f>H428+H427</f>
        <v>0</v>
      </c>
      <c r="I426" s="20">
        <f>I428+I427</f>
        <v>0</v>
      </c>
    </row>
    <row r="427" spans="1:9" ht="25.5" x14ac:dyDescent="0.2">
      <c r="A427" s="30" t="s">
        <v>400</v>
      </c>
      <c r="B427" s="24" t="s">
        <v>41</v>
      </c>
      <c r="C427" s="24">
        <v>6</v>
      </c>
      <c r="D427" s="24" t="s">
        <v>397</v>
      </c>
      <c r="E427" s="24">
        <v>80100</v>
      </c>
      <c r="F427" s="27" t="s">
        <v>66</v>
      </c>
      <c r="G427" s="25">
        <f>' первое чтение вед стр-ра'!G556</f>
        <v>0</v>
      </c>
      <c r="H427" s="25">
        <f>' первое чтение вед стр-ра'!H556</f>
        <v>0</v>
      </c>
      <c r="I427" s="25">
        <f>' первое чтение вед стр-ра'!I556</f>
        <v>0</v>
      </c>
    </row>
    <row r="428" spans="1:9" s="73" customFormat="1" x14ac:dyDescent="0.2">
      <c r="A428" s="81" t="s">
        <v>67</v>
      </c>
      <c r="B428" s="76" t="s">
        <v>41</v>
      </c>
      <c r="C428" s="76">
        <v>6</v>
      </c>
      <c r="D428" s="76" t="s">
        <v>397</v>
      </c>
      <c r="E428" s="76">
        <v>80100</v>
      </c>
      <c r="F428" s="76" t="s">
        <v>68</v>
      </c>
      <c r="G428" s="25">
        <f>' первое чтение вед стр-ра'!G557</f>
        <v>0</v>
      </c>
      <c r="H428" s="25">
        <f>' первое чтение вед стр-ра'!H557</f>
        <v>0</v>
      </c>
      <c r="I428" s="25">
        <f>' первое чтение вед стр-ра'!I557</f>
        <v>0</v>
      </c>
    </row>
    <row r="429" spans="1:9" s="73" customFormat="1" ht="63.75" x14ac:dyDescent="0.2">
      <c r="A429" s="69" t="s">
        <v>751</v>
      </c>
      <c r="B429" s="71" t="s">
        <v>41</v>
      </c>
      <c r="C429" s="71">
        <v>6</v>
      </c>
      <c r="D429" s="71" t="s">
        <v>397</v>
      </c>
      <c r="E429" s="71">
        <v>80110</v>
      </c>
      <c r="F429" s="71"/>
      <c r="G429" s="72">
        <f>G430+G432+G431</f>
        <v>1471</v>
      </c>
      <c r="H429" s="72">
        <f>H430+H432+H431</f>
        <v>1471</v>
      </c>
      <c r="I429" s="72">
        <f>I430+I432+I431</f>
        <v>1471</v>
      </c>
    </row>
    <row r="430" spans="1:9" s="73" customFormat="1" ht="25.5" x14ac:dyDescent="0.2">
      <c r="A430" s="74" t="s">
        <v>400</v>
      </c>
      <c r="B430" s="76" t="s">
        <v>41</v>
      </c>
      <c r="C430" s="76">
        <v>6</v>
      </c>
      <c r="D430" s="76" t="s">
        <v>397</v>
      </c>
      <c r="E430" s="76">
        <v>80110</v>
      </c>
      <c r="F430" s="77" t="s">
        <v>66</v>
      </c>
      <c r="G430" s="56">
        <f>' первое чтение вед стр-ра'!G559</f>
        <v>25</v>
      </c>
      <c r="H430" s="56">
        <f>' первое чтение вед стр-ра'!H559</f>
        <v>25</v>
      </c>
      <c r="I430" s="56">
        <f>' первое чтение вед стр-ра'!I559</f>
        <v>25</v>
      </c>
    </row>
    <row r="431" spans="1:9" s="73" customFormat="1" x14ac:dyDescent="0.2">
      <c r="A431" s="81" t="s">
        <v>67</v>
      </c>
      <c r="B431" s="76" t="s">
        <v>41</v>
      </c>
      <c r="C431" s="76">
        <v>6</v>
      </c>
      <c r="D431" s="76" t="s">
        <v>397</v>
      </c>
      <c r="E431" s="76">
        <v>80110</v>
      </c>
      <c r="F431" s="76" t="s">
        <v>68</v>
      </c>
      <c r="G431" s="56">
        <f>' первое чтение вед стр-ра'!G560</f>
        <v>1276</v>
      </c>
      <c r="H431" s="56">
        <f>' первое чтение вед стр-ра'!H560</f>
        <v>1276</v>
      </c>
      <c r="I431" s="56">
        <f>' первое чтение вед стр-ра'!I560</f>
        <v>1276</v>
      </c>
    </row>
    <row r="432" spans="1:9" s="73" customFormat="1" x14ac:dyDescent="0.2">
      <c r="A432" s="81" t="s">
        <v>70</v>
      </c>
      <c r="B432" s="76" t="s">
        <v>41</v>
      </c>
      <c r="C432" s="76">
        <v>6</v>
      </c>
      <c r="D432" s="76" t="s">
        <v>397</v>
      </c>
      <c r="E432" s="76">
        <v>80110</v>
      </c>
      <c r="F432" s="76" t="s">
        <v>71</v>
      </c>
      <c r="G432" s="56">
        <f>' первое чтение вед стр-ра'!G561</f>
        <v>170</v>
      </c>
      <c r="H432" s="56">
        <f>' первое чтение вед стр-ра'!H561</f>
        <v>170</v>
      </c>
      <c r="I432" s="56">
        <f>' первое чтение вед стр-ра'!I561</f>
        <v>170</v>
      </c>
    </row>
    <row r="433" spans="1:9" ht="38.25" x14ac:dyDescent="0.2">
      <c r="A433" s="52" t="s">
        <v>307</v>
      </c>
      <c r="B433" s="19" t="s">
        <v>41</v>
      </c>
      <c r="C433" s="19">
        <v>6</v>
      </c>
      <c r="D433" s="19" t="s">
        <v>397</v>
      </c>
      <c r="E433" s="19" t="s">
        <v>472</v>
      </c>
      <c r="F433" s="19"/>
      <c r="G433" s="20">
        <f>G434</f>
        <v>0</v>
      </c>
      <c r="H433" s="20">
        <f>H434</f>
        <v>0</v>
      </c>
      <c r="I433" s="20">
        <f>I434</f>
        <v>0</v>
      </c>
    </row>
    <row r="434" spans="1:9" ht="25.5" x14ac:dyDescent="0.2">
      <c r="A434" s="30" t="s">
        <v>400</v>
      </c>
      <c r="B434" s="24" t="s">
        <v>41</v>
      </c>
      <c r="C434" s="24">
        <v>6</v>
      </c>
      <c r="D434" s="24" t="s">
        <v>397</v>
      </c>
      <c r="E434" s="24" t="s">
        <v>472</v>
      </c>
      <c r="F434" s="27" t="s">
        <v>66</v>
      </c>
      <c r="G434" s="25">
        <f>' первое чтение вед стр-ра'!G574</f>
        <v>0</v>
      </c>
      <c r="H434" s="25">
        <f>' первое чтение вед стр-ра'!H574</f>
        <v>0</v>
      </c>
      <c r="I434" s="25">
        <f>' первое чтение вед стр-ра'!I574</f>
        <v>0</v>
      </c>
    </row>
    <row r="435" spans="1:9" s="73" customFormat="1" x14ac:dyDescent="0.2">
      <c r="A435" s="135" t="s">
        <v>471</v>
      </c>
      <c r="B435" s="134" t="s">
        <v>41</v>
      </c>
      <c r="C435" s="133" t="s">
        <v>469</v>
      </c>
      <c r="D435" s="133"/>
      <c r="E435" s="133"/>
      <c r="F435" s="133"/>
      <c r="G435" s="132">
        <f>SUM(G436)+G440</f>
        <v>2498.3000000000002</v>
      </c>
      <c r="H435" s="132">
        <f>SUM(H436)+H440</f>
        <v>0</v>
      </c>
      <c r="I435" s="132">
        <f>SUM(I436)+I440</f>
        <v>0</v>
      </c>
    </row>
    <row r="436" spans="1:9" x14ac:dyDescent="0.2">
      <c r="A436" s="18" t="s">
        <v>165</v>
      </c>
      <c r="B436" s="19" t="s">
        <v>41</v>
      </c>
      <c r="C436" s="19" t="s">
        <v>469</v>
      </c>
      <c r="D436" s="19" t="s">
        <v>397</v>
      </c>
      <c r="E436" s="19" t="s">
        <v>470</v>
      </c>
      <c r="F436" s="19"/>
      <c r="G436" s="20">
        <f>G437+G438+G439</f>
        <v>2468.3000000000002</v>
      </c>
      <c r="H436" s="20">
        <f t="shared" ref="H436:I436" si="45">H437+H438+H439</f>
        <v>0</v>
      </c>
      <c r="I436" s="20">
        <f t="shared" si="45"/>
        <v>0</v>
      </c>
    </row>
    <row r="437" spans="1:9" ht="25.5" x14ac:dyDescent="0.2">
      <c r="A437" s="30" t="s">
        <v>400</v>
      </c>
      <c r="B437" s="24" t="s">
        <v>41</v>
      </c>
      <c r="C437" s="24" t="s">
        <v>469</v>
      </c>
      <c r="D437" s="24" t="s">
        <v>397</v>
      </c>
      <c r="E437" s="24" t="s">
        <v>470</v>
      </c>
      <c r="F437" s="27" t="s">
        <v>66</v>
      </c>
      <c r="G437" s="20">
        <f>' первое чтение вед стр-ра'!G595</f>
        <v>78.3</v>
      </c>
      <c r="H437" s="20">
        <f>' первое чтение вед стр-ра'!H595</f>
        <v>0</v>
      </c>
      <c r="I437" s="20">
        <f>' первое чтение вед стр-ра'!I595</f>
        <v>0</v>
      </c>
    </row>
    <row r="438" spans="1:9" s="73" customFormat="1" x14ac:dyDescent="0.2">
      <c r="A438" s="81" t="s">
        <v>67</v>
      </c>
      <c r="B438" s="76" t="s">
        <v>41</v>
      </c>
      <c r="C438" s="76" t="s">
        <v>469</v>
      </c>
      <c r="D438" s="76" t="s">
        <v>397</v>
      </c>
      <c r="E438" s="76" t="s">
        <v>470</v>
      </c>
      <c r="F438" s="77" t="s">
        <v>68</v>
      </c>
      <c r="G438" s="20">
        <f>' первое чтение вед стр-ра'!G596</f>
        <v>690</v>
      </c>
      <c r="H438" s="20">
        <f>' первое чтение вед стр-ра'!H596</f>
        <v>0</v>
      </c>
      <c r="I438" s="20">
        <f>' первое чтение вед стр-ра'!I596</f>
        <v>0</v>
      </c>
    </row>
    <row r="439" spans="1:9" s="73" customFormat="1" ht="25.5" x14ac:dyDescent="0.2">
      <c r="A439" s="28" t="s">
        <v>80</v>
      </c>
      <c r="B439" s="76" t="s">
        <v>41</v>
      </c>
      <c r="C439" s="76" t="s">
        <v>469</v>
      </c>
      <c r="D439" s="76" t="s">
        <v>397</v>
      </c>
      <c r="E439" s="76" t="s">
        <v>470</v>
      </c>
      <c r="F439" s="77" t="s">
        <v>69</v>
      </c>
      <c r="G439" s="20">
        <f>' первое чтение вед стр-ра'!G597</f>
        <v>1700</v>
      </c>
      <c r="H439" s="20"/>
      <c r="I439" s="20"/>
    </row>
    <row r="440" spans="1:9" x14ac:dyDescent="0.2">
      <c r="A440" s="69" t="s">
        <v>376</v>
      </c>
      <c r="B440" s="19" t="s">
        <v>41</v>
      </c>
      <c r="C440" s="19" t="s">
        <v>469</v>
      </c>
      <c r="D440" s="19" t="s">
        <v>397</v>
      </c>
      <c r="E440" s="19" t="s">
        <v>468</v>
      </c>
      <c r="F440" s="19"/>
      <c r="G440" s="20">
        <f>G441</f>
        <v>30</v>
      </c>
      <c r="H440" s="20">
        <f>H441</f>
        <v>0</v>
      </c>
      <c r="I440" s="20">
        <f>I441</f>
        <v>0</v>
      </c>
    </row>
    <row r="441" spans="1:9" ht="25.5" x14ac:dyDescent="0.2">
      <c r="A441" s="30" t="s">
        <v>400</v>
      </c>
      <c r="B441" s="24" t="s">
        <v>41</v>
      </c>
      <c r="C441" s="24" t="s">
        <v>469</v>
      </c>
      <c r="D441" s="24" t="s">
        <v>397</v>
      </c>
      <c r="E441" s="24" t="s">
        <v>468</v>
      </c>
      <c r="F441" s="27" t="s">
        <v>66</v>
      </c>
      <c r="G441" s="20">
        <f>' первое чтение вед стр-ра'!G599</f>
        <v>30</v>
      </c>
      <c r="H441" s="20">
        <f>' первое чтение вед стр-ра'!H599</f>
        <v>0</v>
      </c>
      <c r="I441" s="20">
        <f>' первое чтение вед стр-ра'!I599</f>
        <v>0</v>
      </c>
    </row>
    <row r="442" spans="1:9" ht="38.25" x14ac:dyDescent="0.2">
      <c r="A442" s="39" t="s">
        <v>467</v>
      </c>
      <c r="B442" s="40" t="s">
        <v>24</v>
      </c>
      <c r="C442" s="40"/>
      <c r="D442" s="40"/>
      <c r="E442" s="40"/>
      <c r="F442" s="40"/>
      <c r="G442" s="38">
        <f>SUM(G446,G448,G453,G458)+G456+G451+G443+G464+G462+G460</f>
        <v>84128.060000000012</v>
      </c>
      <c r="H442" s="38">
        <f t="shared" ref="H442:I442" si="46">SUM(H446,H448,H453,H458)+H456+H451+H443+H464+H462+H460</f>
        <v>78833.3</v>
      </c>
      <c r="I442" s="38">
        <f t="shared" si="46"/>
        <v>77878.400000000009</v>
      </c>
    </row>
    <row r="443" spans="1:9" x14ac:dyDescent="0.2">
      <c r="A443" s="28" t="s">
        <v>600</v>
      </c>
      <c r="B443" s="19" t="s">
        <v>24</v>
      </c>
      <c r="C443" s="19" t="s">
        <v>398</v>
      </c>
      <c r="D443" s="19" t="s">
        <v>466</v>
      </c>
      <c r="E443" s="8"/>
      <c r="F443" s="8"/>
      <c r="G443" s="4">
        <f t="shared" ref="G443:I444" si="47">G444</f>
        <v>0</v>
      </c>
      <c r="H443" s="4">
        <f t="shared" si="47"/>
        <v>0</v>
      </c>
      <c r="I443" s="4">
        <f t="shared" si="47"/>
        <v>0</v>
      </c>
    </row>
    <row r="444" spans="1:9" ht="38.25" x14ac:dyDescent="0.2">
      <c r="A444" s="18" t="s">
        <v>383</v>
      </c>
      <c r="B444" s="19" t="s">
        <v>24</v>
      </c>
      <c r="C444" s="19">
        <v>0</v>
      </c>
      <c r="D444" s="19" t="s">
        <v>466</v>
      </c>
      <c r="E444" s="19" t="s">
        <v>465</v>
      </c>
      <c r="F444" s="19"/>
      <c r="G444" s="20">
        <f t="shared" si="47"/>
        <v>0</v>
      </c>
      <c r="H444" s="20">
        <f t="shared" si="47"/>
        <v>0</v>
      </c>
      <c r="I444" s="20">
        <f t="shared" si="47"/>
        <v>0</v>
      </c>
    </row>
    <row r="445" spans="1:9" ht="25.5" x14ac:dyDescent="0.2">
      <c r="A445" s="28" t="s">
        <v>130</v>
      </c>
      <c r="B445" s="24" t="s">
        <v>24</v>
      </c>
      <c r="C445" s="24">
        <v>0</v>
      </c>
      <c r="D445" s="19" t="s">
        <v>466</v>
      </c>
      <c r="E445" s="24" t="s">
        <v>465</v>
      </c>
      <c r="F445" s="24" t="s">
        <v>63</v>
      </c>
      <c r="G445" s="25">
        <f>' первое чтение вед стр-ра'!G167</f>
        <v>0</v>
      </c>
      <c r="H445" s="25">
        <f>' первое чтение вед стр-ра'!H167</f>
        <v>0</v>
      </c>
      <c r="I445" s="25">
        <f>' первое чтение вед стр-ра'!I167</f>
        <v>0</v>
      </c>
    </row>
    <row r="446" spans="1:9" s="73" customFormat="1" ht="25.5" x14ac:dyDescent="0.2">
      <c r="A446" s="69" t="s">
        <v>178</v>
      </c>
      <c r="B446" s="71" t="s">
        <v>24</v>
      </c>
      <c r="C446" s="71">
        <v>0</v>
      </c>
      <c r="D446" s="71" t="s">
        <v>397</v>
      </c>
      <c r="E446" s="71" t="s">
        <v>464</v>
      </c>
      <c r="F446" s="71"/>
      <c r="G446" s="72">
        <f>G447</f>
        <v>15625.1</v>
      </c>
      <c r="H446" s="72">
        <f>H447</f>
        <v>14556.2</v>
      </c>
      <c r="I446" s="72">
        <f>I447</f>
        <v>14078.7</v>
      </c>
    </row>
    <row r="447" spans="1:9" s="73" customFormat="1" ht="25.5" x14ac:dyDescent="0.2">
      <c r="A447" s="81" t="s">
        <v>130</v>
      </c>
      <c r="B447" s="76" t="s">
        <v>24</v>
      </c>
      <c r="C447" s="76">
        <v>0</v>
      </c>
      <c r="D447" s="76" t="s">
        <v>397</v>
      </c>
      <c r="E447" s="76" t="s">
        <v>464</v>
      </c>
      <c r="F447" s="76" t="s">
        <v>63</v>
      </c>
      <c r="G447" s="56">
        <f>' первое чтение вед стр-ра'!G174</f>
        <v>15625.1</v>
      </c>
      <c r="H447" s="56">
        <f>' первое чтение вед стр-ра'!H174</f>
        <v>14556.2</v>
      </c>
      <c r="I447" s="56">
        <f>' первое чтение вед стр-ра'!I174</f>
        <v>14078.7</v>
      </c>
    </row>
    <row r="448" spans="1:9" s="9" customFormat="1" ht="25.5" x14ac:dyDescent="0.2">
      <c r="A448" s="18" t="s">
        <v>178</v>
      </c>
      <c r="B448" s="19" t="s">
        <v>24</v>
      </c>
      <c r="C448" s="19">
        <v>0</v>
      </c>
      <c r="D448" s="19" t="s">
        <v>397</v>
      </c>
      <c r="E448" s="19" t="s">
        <v>463</v>
      </c>
      <c r="F448" s="19"/>
      <c r="G448" s="20">
        <f>G449+G450</f>
        <v>1263.3</v>
      </c>
      <c r="H448" s="20">
        <f>H449+H450</f>
        <v>1258.3</v>
      </c>
      <c r="I448" s="20">
        <f>I449+I450</f>
        <v>1258.3</v>
      </c>
    </row>
    <row r="449" spans="1:9" ht="51" x14ac:dyDescent="0.2">
      <c r="A449" s="30" t="s">
        <v>64</v>
      </c>
      <c r="B449" s="24" t="s">
        <v>24</v>
      </c>
      <c r="C449" s="24">
        <v>0</v>
      </c>
      <c r="D449" s="24" t="s">
        <v>397</v>
      </c>
      <c r="E449" s="24" t="s">
        <v>463</v>
      </c>
      <c r="F449" s="27" t="s">
        <v>65</v>
      </c>
      <c r="G449" s="25">
        <f>' первое чтение вед стр-ра'!G189</f>
        <v>1191.8</v>
      </c>
      <c r="H449" s="25">
        <f>' первое чтение вед стр-ра'!H189</f>
        <v>1186.8</v>
      </c>
      <c r="I449" s="25">
        <f>' первое чтение вед стр-ра'!I189</f>
        <v>1186.8</v>
      </c>
    </row>
    <row r="450" spans="1:9" ht="25.5" x14ac:dyDescent="0.2">
      <c r="A450" s="30" t="s">
        <v>400</v>
      </c>
      <c r="B450" s="24" t="s">
        <v>24</v>
      </c>
      <c r="C450" s="24">
        <v>0</v>
      </c>
      <c r="D450" s="24" t="s">
        <v>397</v>
      </c>
      <c r="E450" s="24" t="s">
        <v>463</v>
      </c>
      <c r="F450" s="27" t="s">
        <v>66</v>
      </c>
      <c r="G450" s="25">
        <f>' первое чтение вед стр-ра'!G190</f>
        <v>71.5</v>
      </c>
      <c r="H450" s="25">
        <f>' первое чтение вед стр-ра'!H190</f>
        <v>71.5</v>
      </c>
      <c r="I450" s="25">
        <f>' первое чтение вед стр-ра'!I190</f>
        <v>71.5</v>
      </c>
    </row>
    <row r="451" spans="1:9" s="9" customFormat="1" ht="25.5" x14ac:dyDescent="0.2">
      <c r="A451" s="18" t="s">
        <v>178</v>
      </c>
      <c r="B451" s="19" t="s">
        <v>24</v>
      </c>
      <c r="C451" s="19">
        <v>0</v>
      </c>
      <c r="D451" s="19" t="s">
        <v>397</v>
      </c>
      <c r="E451" s="19" t="s">
        <v>462</v>
      </c>
      <c r="F451" s="19"/>
      <c r="G451" s="20">
        <f>G452</f>
        <v>3423.3</v>
      </c>
      <c r="H451" s="20">
        <f>H452</f>
        <v>3323.3</v>
      </c>
      <c r="I451" s="20">
        <f>I452</f>
        <v>3323.3</v>
      </c>
    </row>
    <row r="452" spans="1:9" ht="25.5" x14ac:dyDescent="0.2">
      <c r="A452" s="81" t="s">
        <v>130</v>
      </c>
      <c r="B452" s="24" t="s">
        <v>24</v>
      </c>
      <c r="C452" s="24">
        <v>0</v>
      </c>
      <c r="D452" s="24" t="s">
        <v>397</v>
      </c>
      <c r="E452" s="24" t="s">
        <v>462</v>
      </c>
      <c r="F452" s="27" t="s">
        <v>63</v>
      </c>
      <c r="G452" s="25">
        <f>' первое чтение вед стр-ра'!G192</f>
        <v>3423.3</v>
      </c>
      <c r="H452" s="25">
        <f>' первое чтение вед стр-ра'!H192</f>
        <v>3323.3</v>
      </c>
      <c r="I452" s="25">
        <f>' первое чтение вед стр-ра'!I192</f>
        <v>3323.3</v>
      </c>
    </row>
    <row r="453" spans="1:9" ht="25.5" x14ac:dyDescent="0.2">
      <c r="A453" s="18" t="s">
        <v>182</v>
      </c>
      <c r="B453" s="19" t="s">
        <v>24</v>
      </c>
      <c r="C453" s="19">
        <v>0</v>
      </c>
      <c r="D453" s="19" t="s">
        <v>397</v>
      </c>
      <c r="E453" s="19" t="s">
        <v>461</v>
      </c>
      <c r="F453" s="19"/>
      <c r="G453" s="20">
        <f>' первое чтение вед стр-ра'!G184</f>
        <v>360</v>
      </c>
      <c r="H453" s="20">
        <f>' первое чтение вед стр-ра'!H184</f>
        <v>0</v>
      </c>
      <c r="I453" s="20">
        <f>' первое чтение вед стр-ра'!I184</f>
        <v>0</v>
      </c>
    </row>
    <row r="454" spans="1:9" ht="51" x14ac:dyDescent="0.2">
      <c r="A454" s="30" t="s">
        <v>64</v>
      </c>
      <c r="B454" s="24" t="s">
        <v>24</v>
      </c>
      <c r="C454" s="24">
        <v>0</v>
      </c>
      <c r="D454" s="24" t="s">
        <v>397</v>
      </c>
      <c r="E454" s="24" t="s">
        <v>461</v>
      </c>
      <c r="F454" s="27" t="s">
        <v>65</v>
      </c>
      <c r="G454" s="20">
        <f>' первое чтение вед стр-ра'!G185</f>
        <v>50</v>
      </c>
      <c r="H454" s="20">
        <f>' первое чтение вед стр-ра'!H185</f>
        <v>0</v>
      </c>
      <c r="I454" s="20">
        <f>' первое чтение вед стр-ра'!I185</f>
        <v>0</v>
      </c>
    </row>
    <row r="455" spans="1:9" s="9" customFormat="1" ht="25.5" x14ac:dyDescent="0.2">
      <c r="A455" s="30" t="s">
        <v>400</v>
      </c>
      <c r="B455" s="24" t="s">
        <v>24</v>
      </c>
      <c r="C455" s="24">
        <v>0</v>
      </c>
      <c r="D455" s="24" t="s">
        <v>397</v>
      </c>
      <c r="E455" s="24" t="s">
        <v>461</v>
      </c>
      <c r="F455" s="27" t="s">
        <v>66</v>
      </c>
      <c r="G455" s="25">
        <f>' первое чтение вед стр-ра'!G186</f>
        <v>310</v>
      </c>
      <c r="H455" s="25">
        <f>' первое чтение вед стр-ра'!H186</f>
        <v>0</v>
      </c>
      <c r="I455" s="25">
        <f>' первое чтение вед стр-ра'!I186</f>
        <v>0</v>
      </c>
    </row>
    <row r="456" spans="1:9" ht="38.25" x14ac:dyDescent="0.2">
      <c r="A456" s="18" t="s">
        <v>180</v>
      </c>
      <c r="B456" s="19" t="s">
        <v>24</v>
      </c>
      <c r="C456" s="19">
        <v>0</v>
      </c>
      <c r="D456" s="19" t="s">
        <v>397</v>
      </c>
      <c r="E456" s="19" t="s">
        <v>460</v>
      </c>
      <c r="F456" s="19"/>
      <c r="G456" s="20">
        <f>G457</f>
        <v>150</v>
      </c>
      <c r="H456" s="20">
        <f>H457</f>
        <v>0</v>
      </c>
      <c r="I456" s="20">
        <f>I457</f>
        <v>0</v>
      </c>
    </row>
    <row r="457" spans="1:9" ht="25.5" x14ac:dyDescent="0.2">
      <c r="A457" s="30" t="s">
        <v>400</v>
      </c>
      <c r="B457" s="24" t="s">
        <v>24</v>
      </c>
      <c r="C457" s="24">
        <v>0</v>
      </c>
      <c r="D457" s="24" t="s">
        <v>397</v>
      </c>
      <c r="E457" s="24" t="s">
        <v>460</v>
      </c>
      <c r="F457" s="27" t="s">
        <v>66</v>
      </c>
      <c r="G457" s="25">
        <f>' первое чтение вед стр-ра'!G176</f>
        <v>150</v>
      </c>
      <c r="H457" s="25">
        <f>' первое чтение вед стр-ра'!H176</f>
        <v>0</v>
      </c>
      <c r="I457" s="25">
        <f>' первое чтение вед стр-ра'!I176</f>
        <v>0</v>
      </c>
    </row>
    <row r="458" spans="1:9" ht="25.5" x14ac:dyDescent="0.2">
      <c r="A458" s="18" t="s">
        <v>323</v>
      </c>
      <c r="B458" s="19" t="s">
        <v>24</v>
      </c>
      <c r="C458" s="19">
        <v>0</v>
      </c>
      <c r="D458" s="19" t="s">
        <v>397</v>
      </c>
      <c r="E458" s="19" t="s">
        <v>459</v>
      </c>
      <c r="F458" s="19"/>
      <c r="G458" s="20">
        <f>G459</f>
        <v>47475.4</v>
      </c>
      <c r="H458" s="20">
        <f>H459</f>
        <v>46327.7</v>
      </c>
      <c r="I458" s="20">
        <f>I459</f>
        <v>45850.3</v>
      </c>
    </row>
    <row r="459" spans="1:9" s="73" customFormat="1" ht="25.5" x14ac:dyDescent="0.2">
      <c r="A459" s="81" t="s">
        <v>130</v>
      </c>
      <c r="B459" s="76" t="s">
        <v>24</v>
      </c>
      <c r="C459" s="76">
        <v>0</v>
      </c>
      <c r="D459" s="76" t="s">
        <v>397</v>
      </c>
      <c r="E459" s="76" t="s">
        <v>459</v>
      </c>
      <c r="F459" s="77" t="s">
        <v>63</v>
      </c>
      <c r="G459" s="56">
        <f>' первое чтение вед стр-ра'!G178</f>
        <v>47475.4</v>
      </c>
      <c r="H459" s="56">
        <f>' первое чтение вед стр-ра'!H178</f>
        <v>46327.7</v>
      </c>
      <c r="I459" s="56">
        <f>' первое чтение вед стр-ра'!I178</f>
        <v>45850.3</v>
      </c>
    </row>
    <row r="460" spans="1:9" s="73" customFormat="1" ht="25.5" x14ac:dyDescent="0.2">
      <c r="A460" s="18" t="s">
        <v>323</v>
      </c>
      <c r="B460" s="19" t="s">
        <v>24</v>
      </c>
      <c r="C460" s="19">
        <v>0</v>
      </c>
      <c r="D460" s="19" t="s">
        <v>397</v>
      </c>
      <c r="E460" s="19" t="s">
        <v>648</v>
      </c>
      <c r="F460" s="19"/>
      <c r="G460" s="56">
        <f>G461</f>
        <v>15640.6</v>
      </c>
      <c r="H460" s="56">
        <f t="shared" ref="H460:I460" si="48">H461</f>
        <v>13367.8</v>
      </c>
      <c r="I460" s="56">
        <f t="shared" si="48"/>
        <v>13367.8</v>
      </c>
    </row>
    <row r="461" spans="1:9" s="73" customFormat="1" ht="25.5" x14ac:dyDescent="0.2">
      <c r="A461" s="81" t="s">
        <v>130</v>
      </c>
      <c r="B461" s="76" t="s">
        <v>24</v>
      </c>
      <c r="C461" s="76">
        <v>0</v>
      </c>
      <c r="D461" s="76" t="s">
        <v>397</v>
      </c>
      <c r="E461" s="76" t="s">
        <v>648</v>
      </c>
      <c r="F461" s="77" t="s">
        <v>63</v>
      </c>
      <c r="G461" s="56">
        <f>' первое чтение вед стр-ра'!G409</f>
        <v>15640.6</v>
      </c>
      <c r="H461" s="56">
        <f>' первое чтение вед стр-ра'!H409</f>
        <v>13367.8</v>
      </c>
      <c r="I461" s="56">
        <f>' первое чтение вед стр-ра'!I409</f>
        <v>13367.8</v>
      </c>
    </row>
    <row r="462" spans="1:9" s="73" customFormat="1" x14ac:dyDescent="0.2">
      <c r="A462" s="18" t="s">
        <v>628</v>
      </c>
      <c r="B462" s="19" t="s">
        <v>24</v>
      </c>
      <c r="C462" s="19">
        <v>0</v>
      </c>
      <c r="D462" s="19" t="s">
        <v>397</v>
      </c>
      <c r="E462" s="76" t="s">
        <v>638</v>
      </c>
      <c r="F462" s="76"/>
      <c r="G462" s="56">
        <f>G463</f>
        <v>0</v>
      </c>
      <c r="H462" s="56">
        <f t="shared" ref="H462:I462" si="49">H463</f>
        <v>0</v>
      </c>
      <c r="I462" s="56">
        <f t="shared" si="49"/>
        <v>0</v>
      </c>
    </row>
    <row r="463" spans="1:9" s="73" customFormat="1" ht="25.5" x14ac:dyDescent="0.2">
      <c r="A463" s="28" t="s">
        <v>130</v>
      </c>
      <c r="B463" s="76" t="s">
        <v>24</v>
      </c>
      <c r="C463" s="76">
        <v>0</v>
      </c>
      <c r="D463" s="76" t="s">
        <v>397</v>
      </c>
      <c r="E463" s="76" t="s">
        <v>638</v>
      </c>
      <c r="F463" s="76" t="s">
        <v>63</v>
      </c>
      <c r="G463" s="56">
        <f>' первое чтение вед стр-ра'!G180</f>
        <v>0</v>
      </c>
      <c r="H463" s="56">
        <f>' первое чтение вед стр-ра'!H180</f>
        <v>0</v>
      </c>
      <c r="I463" s="56">
        <f>' первое чтение вед стр-ра'!I180</f>
        <v>0</v>
      </c>
    </row>
    <row r="464" spans="1:9" s="73" customFormat="1" x14ac:dyDescent="0.2">
      <c r="A464" s="18" t="s">
        <v>771</v>
      </c>
      <c r="B464" s="19" t="s">
        <v>24</v>
      </c>
      <c r="C464" s="19">
        <v>0</v>
      </c>
      <c r="D464" s="19" t="s">
        <v>397</v>
      </c>
      <c r="E464" s="76" t="s">
        <v>772</v>
      </c>
      <c r="F464" s="76"/>
      <c r="G464" s="56">
        <f>G465</f>
        <v>190.36</v>
      </c>
      <c r="H464" s="56">
        <f t="shared" ref="H464:I464" si="50">H465</f>
        <v>0</v>
      </c>
      <c r="I464" s="56">
        <f t="shared" si="50"/>
        <v>0</v>
      </c>
    </row>
    <row r="465" spans="1:9" s="73" customFormat="1" ht="25.5" x14ac:dyDescent="0.2">
      <c r="A465" s="28" t="s">
        <v>130</v>
      </c>
      <c r="B465" s="76" t="s">
        <v>24</v>
      </c>
      <c r="C465" s="76">
        <v>0</v>
      </c>
      <c r="D465" s="76" t="s">
        <v>397</v>
      </c>
      <c r="E465" s="76" t="s">
        <v>772</v>
      </c>
      <c r="F465" s="76" t="s">
        <v>63</v>
      </c>
      <c r="G465" s="56">
        <f>' первое чтение вед стр-ра'!G182</f>
        <v>190.36</v>
      </c>
      <c r="H465" s="56">
        <f>' первое чтение вед стр-ра'!H182</f>
        <v>0</v>
      </c>
      <c r="I465" s="56">
        <f>' первое чтение вед стр-ра'!I182</f>
        <v>0</v>
      </c>
    </row>
    <row r="466" spans="1:9" ht="51" x14ac:dyDescent="0.2">
      <c r="A466" s="137" t="s">
        <v>458</v>
      </c>
      <c r="B466" s="40" t="s">
        <v>49</v>
      </c>
      <c r="C466" s="40"/>
      <c r="D466" s="40"/>
      <c r="E466" s="40"/>
      <c r="F466" s="141"/>
      <c r="G466" s="38">
        <f>SUM(G467,G482,G485,G498)</f>
        <v>254503.1</v>
      </c>
      <c r="H466" s="38">
        <f t="shared" ref="H466:I466" si="51">SUM(H467,H482,H485,H498)</f>
        <v>4942.5</v>
      </c>
      <c r="I466" s="38">
        <f t="shared" si="51"/>
        <v>4942.5</v>
      </c>
    </row>
    <row r="467" spans="1:9" s="73" customFormat="1" ht="25.5" x14ac:dyDescent="0.2">
      <c r="A467" s="140" t="s">
        <v>457</v>
      </c>
      <c r="B467" s="133" t="s">
        <v>49</v>
      </c>
      <c r="C467" s="133" t="s">
        <v>439</v>
      </c>
      <c r="D467" s="133"/>
      <c r="E467" s="133"/>
      <c r="F467" s="139"/>
      <c r="G467" s="132">
        <f>SUM(G474)+G476+G468+G472+G470+G478+G480</f>
        <v>16413</v>
      </c>
      <c r="H467" s="132">
        <f t="shared" ref="H467:I467" si="52">SUM(H474)+H476+H468+H472+H470+H478+H480</f>
        <v>0</v>
      </c>
      <c r="I467" s="132">
        <f t="shared" si="52"/>
        <v>0</v>
      </c>
    </row>
    <row r="468" spans="1:9" s="197" customFormat="1" ht="25.5" x14ac:dyDescent="0.2">
      <c r="A468" s="18" t="s">
        <v>351</v>
      </c>
      <c r="B468" s="19" t="s">
        <v>49</v>
      </c>
      <c r="C468" s="19" t="s">
        <v>439</v>
      </c>
      <c r="D468" s="19" t="s">
        <v>397</v>
      </c>
      <c r="E468" s="19" t="s">
        <v>591</v>
      </c>
      <c r="F468" s="199"/>
      <c r="G468" s="20">
        <f>SUM(G469)</f>
        <v>0</v>
      </c>
      <c r="H468" s="20">
        <f t="shared" ref="H468:I468" si="53">SUM(H469)</f>
        <v>0</v>
      </c>
      <c r="I468" s="20">
        <f t="shared" si="53"/>
        <v>0</v>
      </c>
    </row>
    <row r="469" spans="1:9" s="26" customFormat="1" ht="25.5" x14ac:dyDescent="0.2">
      <c r="A469" s="28" t="s">
        <v>74</v>
      </c>
      <c r="B469" s="24" t="s">
        <v>49</v>
      </c>
      <c r="C469" s="24" t="s">
        <v>439</v>
      </c>
      <c r="D469" s="24" t="s">
        <v>397</v>
      </c>
      <c r="E469" s="24" t="s">
        <v>591</v>
      </c>
      <c r="F469" s="27" t="s">
        <v>66</v>
      </c>
      <c r="G469" s="25">
        <f>' первое чтение вед стр-ра'!G636</f>
        <v>0</v>
      </c>
      <c r="H469" s="25">
        <f>' первое чтение вед стр-ра'!H636</f>
        <v>0</v>
      </c>
      <c r="I469" s="25">
        <f>' первое чтение вед стр-ра'!I636</f>
        <v>0</v>
      </c>
    </row>
    <row r="470" spans="1:9" s="26" customFormat="1" ht="25.5" x14ac:dyDescent="0.2">
      <c r="A470" s="18" t="s">
        <v>351</v>
      </c>
      <c r="B470" s="19" t="s">
        <v>49</v>
      </c>
      <c r="C470" s="19" t="s">
        <v>439</v>
      </c>
      <c r="D470" s="19" t="s">
        <v>397</v>
      </c>
      <c r="E470" s="19" t="s">
        <v>618</v>
      </c>
      <c r="F470" s="199"/>
      <c r="G470" s="25">
        <f>G471</f>
        <v>0</v>
      </c>
      <c r="H470" s="25">
        <f t="shared" ref="H470:I470" si="54">H471</f>
        <v>0</v>
      </c>
      <c r="I470" s="25">
        <f t="shared" si="54"/>
        <v>0</v>
      </c>
    </row>
    <row r="471" spans="1:9" s="26" customFormat="1" ht="25.5" x14ac:dyDescent="0.2">
      <c r="A471" s="28" t="s">
        <v>74</v>
      </c>
      <c r="B471" s="24" t="s">
        <v>49</v>
      </c>
      <c r="C471" s="24" t="s">
        <v>439</v>
      </c>
      <c r="D471" s="24" t="s">
        <v>397</v>
      </c>
      <c r="E471" s="19" t="s">
        <v>618</v>
      </c>
      <c r="F471" s="27" t="s">
        <v>66</v>
      </c>
      <c r="G471" s="25">
        <f>' первое чтение вед стр-ра'!G638</f>
        <v>0</v>
      </c>
      <c r="H471" s="25">
        <f>' первое чтение вед стр-ра'!H638</f>
        <v>0</v>
      </c>
      <c r="I471" s="25">
        <f>' первое чтение вед стр-ра'!I638</f>
        <v>0</v>
      </c>
    </row>
    <row r="472" spans="1:9" s="197" customFormat="1" ht="25.5" x14ac:dyDescent="0.2">
      <c r="A472" s="18" t="s">
        <v>606</v>
      </c>
      <c r="B472" s="19" t="s">
        <v>49</v>
      </c>
      <c r="C472" s="19" t="s">
        <v>439</v>
      </c>
      <c r="D472" s="19" t="s">
        <v>397</v>
      </c>
      <c r="E472" s="19" t="s">
        <v>607</v>
      </c>
      <c r="F472" s="199"/>
      <c r="G472" s="20">
        <f>SUM(G473)</f>
        <v>0</v>
      </c>
      <c r="H472" s="20">
        <f t="shared" ref="H472:I472" si="55">SUM(H473)</f>
        <v>0</v>
      </c>
      <c r="I472" s="20">
        <f t="shared" si="55"/>
        <v>0</v>
      </c>
    </row>
    <row r="473" spans="1:9" s="26" customFormat="1" ht="25.5" x14ac:dyDescent="0.2">
      <c r="A473" s="28" t="s">
        <v>74</v>
      </c>
      <c r="B473" s="24" t="s">
        <v>49</v>
      </c>
      <c r="C473" s="24" t="s">
        <v>439</v>
      </c>
      <c r="D473" s="24" t="s">
        <v>397</v>
      </c>
      <c r="E473" s="24" t="s">
        <v>607</v>
      </c>
      <c r="F473" s="27" t="s">
        <v>66</v>
      </c>
      <c r="G473" s="25">
        <f>' первое чтение вед стр-ра'!G640</f>
        <v>0</v>
      </c>
      <c r="H473" s="25">
        <f>' первое чтение вед стр-ра'!H640</f>
        <v>0</v>
      </c>
      <c r="I473" s="25">
        <f>' первое чтение вед стр-ра'!I640</f>
        <v>0</v>
      </c>
    </row>
    <row r="474" spans="1:9" s="68" customFormat="1" ht="25.5" x14ac:dyDescent="0.2">
      <c r="A474" s="69" t="s">
        <v>275</v>
      </c>
      <c r="B474" s="71">
        <v>10</v>
      </c>
      <c r="C474" s="71">
        <v>1</v>
      </c>
      <c r="D474" s="71" t="s">
        <v>397</v>
      </c>
      <c r="E474" s="71" t="s">
        <v>456</v>
      </c>
      <c r="F474" s="71"/>
      <c r="G474" s="72">
        <f>G475</f>
        <v>1263.9000000000001</v>
      </c>
      <c r="H474" s="72">
        <f>H475</f>
        <v>0</v>
      </c>
      <c r="I474" s="72">
        <f>I475</f>
        <v>0</v>
      </c>
    </row>
    <row r="475" spans="1:9" s="12" customFormat="1" ht="25.5" x14ac:dyDescent="0.2">
      <c r="A475" s="30" t="s">
        <v>400</v>
      </c>
      <c r="B475" s="24">
        <v>10</v>
      </c>
      <c r="C475" s="24">
        <v>1</v>
      </c>
      <c r="D475" s="24" t="s">
        <v>397</v>
      </c>
      <c r="E475" s="24" t="s">
        <v>456</v>
      </c>
      <c r="F475" s="24" t="s">
        <v>66</v>
      </c>
      <c r="G475" s="25">
        <f>' первое чтение вед стр-ра'!G642</f>
        <v>1263.9000000000001</v>
      </c>
      <c r="H475" s="25">
        <f>' первое чтение вед стр-ра'!H642</f>
        <v>0</v>
      </c>
      <c r="I475" s="25">
        <f>' первое чтение вед стр-ра'!I642</f>
        <v>0</v>
      </c>
    </row>
    <row r="476" spans="1:9" s="73" customFormat="1" x14ac:dyDescent="0.2">
      <c r="A476" s="83" t="s">
        <v>322</v>
      </c>
      <c r="B476" s="71">
        <v>10</v>
      </c>
      <c r="C476" s="71">
        <v>1</v>
      </c>
      <c r="D476" s="71" t="s">
        <v>397</v>
      </c>
      <c r="E476" s="71" t="s">
        <v>455</v>
      </c>
      <c r="F476" s="71"/>
      <c r="G476" s="72">
        <f>G477</f>
        <v>14349.1</v>
      </c>
      <c r="H476" s="72">
        <f>H477</f>
        <v>0</v>
      </c>
      <c r="I476" s="72">
        <f>I477</f>
        <v>0</v>
      </c>
    </row>
    <row r="477" spans="1:9" s="73" customFormat="1" ht="25.5" x14ac:dyDescent="0.2">
      <c r="A477" s="74" t="s">
        <v>400</v>
      </c>
      <c r="B477" s="76">
        <v>10</v>
      </c>
      <c r="C477" s="76">
        <v>1</v>
      </c>
      <c r="D477" s="76" t="s">
        <v>397</v>
      </c>
      <c r="E477" s="76" t="s">
        <v>455</v>
      </c>
      <c r="F477" s="76" t="s">
        <v>66</v>
      </c>
      <c r="G477" s="56">
        <f>' первое чтение вед стр-ра'!G646</f>
        <v>14349.1</v>
      </c>
      <c r="H477" s="56">
        <f>' первое чтение вед стр-ра'!H646</f>
        <v>0</v>
      </c>
      <c r="I477" s="56">
        <f>' первое чтение вед стр-ра'!I646</f>
        <v>0</v>
      </c>
    </row>
    <row r="478" spans="1:9" s="73" customFormat="1" ht="25.5" x14ac:dyDescent="0.2">
      <c r="A478" s="18" t="s">
        <v>690</v>
      </c>
      <c r="B478" s="19" t="s">
        <v>49</v>
      </c>
      <c r="C478" s="19" t="s">
        <v>439</v>
      </c>
      <c r="D478" s="19" t="s">
        <v>397</v>
      </c>
      <c r="E478" s="19" t="s">
        <v>692</v>
      </c>
      <c r="F478" s="199"/>
      <c r="G478" s="56">
        <f>G479</f>
        <v>800</v>
      </c>
      <c r="H478" s="56">
        <f t="shared" ref="H478:I478" si="56">H479</f>
        <v>0</v>
      </c>
      <c r="I478" s="56">
        <f t="shared" si="56"/>
        <v>0</v>
      </c>
    </row>
    <row r="479" spans="1:9" s="73" customFormat="1" ht="25.5" x14ac:dyDescent="0.2">
      <c r="A479" s="28" t="s">
        <v>74</v>
      </c>
      <c r="B479" s="24" t="s">
        <v>49</v>
      </c>
      <c r="C479" s="24" t="s">
        <v>439</v>
      </c>
      <c r="D479" s="24" t="s">
        <v>397</v>
      </c>
      <c r="E479" s="24" t="s">
        <v>692</v>
      </c>
      <c r="F479" s="27" t="s">
        <v>66</v>
      </c>
      <c r="G479" s="56">
        <f>' первое чтение вед стр-ра'!G644</f>
        <v>800</v>
      </c>
      <c r="H479" s="56">
        <f>' первое чтение вед стр-ра'!H644</f>
        <v>0</v>
      </c>
      <c r="I479" s="56">
        <f>' первое чтение вед стр-ра'!I644</f>
        <v>0</v>
      </c>
    </row>
    <row r="480" spans="1:9" s="26" customFormat="1" ht="25.5" x14ac:dyDescent="0.2">
      <c r="A480" s="18" t="s">
        <v>693</v>
      </c>
      <c r="B480" s="19">
        <v>10</v>
      </c>
      <c r="C480" s="19">
        <v>1</v>
      </c>
      <c r="D480" s="19" t="s">
        <v>397</v>
      </c>
      <c r="E480" s="19" t="s">
        <v>695</v>
      </c>
      <c r="F480" s="19"/>
      <c r="G480" s="20">
        <f>G481</f>
        <v>0</v>
      </c>
      <c r="H480" s="20">
        <f>H481</f>
        <v>0</v>
      </c>
      <c r="I480" s="20">
        <f>I481</f>
        <v>0</v>
      </c>
    </row>
    <row r="481" spans="1:12" s="197" customFormat="1" ht="25.5" x14ac:dyDescent="0.2">
      <c r="A481" s="28" t="s">
        <v>80</v>
      </c>
      <c r="B481" s="24">
        <v>10</v>
      </c>
      <c r="C481" s="24">
        <v>1</v>
      </c>
      <c r="D481" s="24" t="s">
        <v>397</v>
      </c>
      <c r="E481" s="24" t="s">
        <v>695</v>
      </c>
      <c r="F481" s="24" t="s">
        <v>69</v>
      </c>
      <c r="G481" s="25">
        <f>' первое чтение вед стр-ра'!G648</f>
        <v>0</v>
      </c>
      <c r="H481" s="25"/>
      <c r="I481" s="25"/>
    </row>
    <row r="482" spans="1:12" s="26" customFormat="1" ht="51" x14ac:dyDescent="0.2">
      <c r="A482" s="131" t="s">
        <v>454</v>
      </c>
      <c r="B482" s="130" t="s">
        <v>49</v>
      </c>
      <c r="C482" s="130" t="s">
        <v>434</v>
      </c>
      <c r="D482" s="130"/>
      <c r="E482" s="130"/>
      <c r="F482" s="130"/>
      <c r="G482" s="129">
        <f t="shared" ref="G482:I483" si="57">G483</f>
        <v>0</v>
      </c>
      <c r="H482" s="129">
        <f t="shared" si="57"/>
        <v>0</v>
      </c>
      <c r="I482" s="129">
        <f t="shared" si="57"/>
        <v>0</v>
      </c>
      <c r="J482" s="21"/>
      <c r="K482" s="21"/>
      <c r="L482" s="21"/>
    </row>
    <row r="483" spans="1:12" ht="38.25" x14ac:dyDescent="0.2">
      <c r="A483" s="18" t="s">
        <v>289</v>
      </c>
      <c r="B483" s="19">
        <v>10</v>
      </c>
      <c r="C483" s="19">
        <v>2</v>
      </c>
      <c r="D483" s="19" t="s">
        <v>397</v>
      </c>
      <c r="E483" s="19" t="s">
        <v>453</v>
      </c>
      <c r="F483" s="19"/>
      <c r="G483" s="20">
        <f t="shared" si="57"/>
        <v>0</v>
      </c>
      <c r="H483" s="20">
        <f t="shared" si="57"/>
        <v>0</v>
      </c>
      <c r="I483" s="20">
        <f t="shared" si="57"/>
        <v>0</v>
      </c>
    </row>
    <row r="484" spans="1:12" s="26" customFormat="1" ht="25.5" x14ac:dyDescent="0.2">
      <c r="A484" s="28" t="s">
        <v>130</v>
      </c>
      <c r="B484" s="24">
        <v>10</v>
      </c>
      <c r="C484" s="24">
        <v>2</v>
      </c>
      <c r="D484" s="24" t="s">
        <v>397</v>
      </c>
      <c r="E484" s="24" t="s">
        <v>453</v>
      </c>
      <c r="F484" s="24" t="s">
        <v>63</v>
      </c>
      <c r="G484" s="25">
        <f>' первое чтение вед стр-ра'!G683</f>
        <v>0</v>
      </c>
      <c r="H484" s="25">
        <f>' первое чтение вед стр-ра'!H683</f>
        <v>0</v>
      </c>
      <c r="I484" s="25">
        <f>' первое чтение вед стр-ра'!I683</f>
        <v>0</v>
      </c>
    </row>
    <row r="485" spans="1:12" s="138" customFormat="1" ht="39" x14ac:dyDescent="0.25">
      <c r="A485" s="131" t="s">
        <v>452</v>
      </c>
      <c r="B485" s="130" t="s">
        <v>49</v>
      </c>
      <c r="C485" s="130" t="s">
        <v>430</v>
      </c>
      <c r="D485" s="130"/>
      <c r="E485" s="130"/>
      <c r="F485" s="130"/>
      <c r="G485" s="129">
        <f>SUM(G486,G488,G490,G492)+G494+G496</f>
        <v>232609.5</v>
      </c>
      <c r="H485" s="129">
        <f t="shared" ref="H485:I485" si="58">SUM(H486,H488,H490,H492)+H494+H496</f>
        <v>0</v>
      </c>
      <c r="I485" s="129">
        <f t="shared" si="58"/>
        <v>0</v>
      </c>
    </row>
    <row r="486" spans="1:12" ht="52.5" customHeight="1" x14ac:dyDescent="0.2">
      <c r="A486" s="18" t="s">
        <v>451</v>
      </c>
      <c r="B486" s="19">
        <v>10</v>
      </c>
      <c r="C486" s="19">
        <v>3</v>
      </c>
      <c r="D486" s="19" t="s">
        <v>397</v>
      </c>
      <c r="E486" s="19" t="s">
        <v>450</v>
      </c>
      <c r="F486" s="19"/>
      <c r="G486" s="20">
        <f>G487</f>
        <v>167691.79999999999</v>
      </c>
      <c r="H486" s="20">
        <f>H487</f>
        <v>0</v>
      </c>
      <c r="I486" s="20">
        <f>I487</f>
        <v>0</v>
      </c>
    </row>
    <row r="487" spans="1:12" s="73" customFormat="1" x14ac:dyDescent="0.2">
      <c r="A487" s="81" t="s">
        <v>70</v>
      </c>
      <c r="B487" s="76">
        <v>10</v>
      </c>
      <c r="C487" s="76">
        <v>3</v>
      </c>
      <c r="D487" s="76" t="s">
        <v>397</v>
      </c>
      <c r="E487" s="76" t="s">
        <v>450</v>
      </c>
      <c r="F487" s="76" t="s">
        <v>71</v>
      </c>
      <c r="G487" s="56">
        <f>' первое чтение вед стр-ра'!G650</f>
        <v>167691.79999999999</v>
      </c>
      <c r="H487" s="56">
        <f>' первое чтение вед стр-ра'!H650</f>
        <v>0</v>
      </c>
      <c r="I487" s="56">
        <f>' первое чтение вед стр-ра'!I650</f>
        <v>0</v>
      </c>
    </row>
    <row r="488" spans="1:12" ht="63.75" x14ac:dyDescent="0.2">
      <c r="A488" s="18" t="s">
        <v>449</v>
      </c>
      <c r="B488" s="19">
        <v>10</v>
      </c>
      <c r="C488" s="19">
        <v>3</v>
      </c>
      <c r="D488" s="19" t="s">
        <v>397</v>
      </c>
      <c r="E488" s="19" t="s">
        <v>448</v>
      </c>
      <c r="F488" s="19"/>
      <c r="G488" s="20">
        <f>G489</f>
        <v>13355.2</v>
      </c>
      <c r="H488" s="20">
        <f>H489</f>
        <v>0</v>
      </c>
      <c r="I488" s="20">
        <f>I489</f>
        <v>0</v>
      </c>
    </row>
    <row r="489" spans="1:12" x14ac:dyDescent="0.2">
      <c r="A489" s="28" t="s">
        <v>70</v>
      </c>
      <c r="B489" s="24">
        <v>10</v>
      </c>
      <c r="C489" s="24">
        <v>3</v>
      </c>
      <c r="D489" s="24" t="s">
        <v>397</v>
      </c>
      <c r="E489" s="24" t="s">
        <v>448</v>
      </c>
      <c r="F489" s="24" t="s">
        <v>71</v>
      </c>
      <c r="G489" s="25">
        <f>' первое чтение вед стр-ра'!G652</f>
        <v>13355.2</v>
      </c>
      <c r="H489" s="25">
        <f>' первое чтение вед стр-ра'!H652</f>
        <v>0</v>
      </c>
      <c r="I489" s="25">
        <f>' первое чтение вед стр-ра'!I652</f>
        <v>0</v>
      </c>
    </row>
    <row r="490" spans="1:12" ht="38.25" x14ac:dyDescent="0.2">
      <c r="A490" s="18" t="s">
        <v>279</v>
      </c>
      <c r="B490" s="19">
        <v>10</v>
      </c>
      <c r="C490" s="19">
        <v>3</v>
      </c>
      <c r="D490" s="19" t="s">
        <v>397</v>
      </c>
      <c r="E490" s="19" t="s">
        <v>447</v>
      </c>
      <c r="F490" s="19"/>
      <c r="G490" s="20">
        <f>G491</f>
        <v>2590.5</v>
      </c>
      <c r="H490" s="20">
        <f>H491</f>
        <v>0</v>
      </c>
      <c r="I490" s="20">
        <f>I491</f>
        <v>0</v>
      </c>
    </row>
    <row r="491" spans="1:12" x14ac:dyDescent="0.2">
      <c r="A491" s="28" t="s">
        <v>70</v>
      </c>
      <c r="B491" s="24">
        <v>10</v>
      </c>
      <c r="C491" s="24">
        <v>3</v>
      </c>
      <c r="D491" s="24" t="s">
        <v>397</v>
      </c>
      <c r="E491" s="24" t="s">
        <v>447</v>
      </c>
      <c r="F491" s="24" t="s">
        <v>71</v>
      </c>
      <c r="G491" s="25">
        <f>' первое чтение вед стр-ра'!G654</f>
        <v>2590.5</v>
      </c>
      <c r="H491" s="25">
        <f>' первое чтение вед стр-ра'!H654</f>
        <v>0</v>
      </c>
      <c r="I491" s="25">
        <f>' первое чтение вед стр-ра'!I654</f>
        <v>0</v>
      </c>
    </row>
    <row r="492" spans="1:12" ht="40.5" customHeight="1" x14ac:dyDescent="0.2">
      <c r="A492" s="18" t="s">
        <v>374</v>
      </c>
      <c r="B492" s="19">
        <v>10</v>
      </c>
      <c r="C492" s="19">
        <v>3</v>
      </c>
      <c r="D492" s="19" t="s">
        <v>397</v>
      </c>
      <c r="E492" s="19" t="s">
        <v>446</v>
      </c>
      <c r="F492" s="19"/>
      <c r="G492" s="20">
        <f>G493</f>
        <v>0</v>
      </c>
      <c r="H492" s="20">
        <f>H493</f>
        <v>0</v>
      </c>
      <c r="I492" s="20">
        <f>I493</f>
        <v>0</v>
      </c>
    </row>
    <row r="493" spans="1:12" s="73" customFormat="1" x14ac:dyDescent="0.2">
      <c r="A493" s="81" t="s">
        <v>70</v>
      </c>
      <c r="B493" s="76">
        <v>10</v>
      </c>
      <c r="C493" s="76">
        <v>3</v>
      </c>
      <c r="D493" s="76" t="s">
        <v>397</v>
      </c>
      <c r="E493" s="76" t="s">
        <v>446</v>
      </c>
      <c r="F493" s="76" t="s">
        <v>71</v>
      </c>
      <c r="G493" s="56">
        <f>' первое чтение вед стр-ра'!G614</f>
        <v>0</v>
      </c>
      <c r="H493" s="56">
        <f>' первое чтение вед стр-ра'!H614</f>
        <v>0</v>
      </c>
      <c r="I493" s="56">
        <f>' первое чтение вед стр-ра'!I614</f>
        <v>0</v>
      </c>
    </row>
    <row r="494" spans="1:12" s="73" customFormat="1" ht="63.75" x14ac:dyDescent="0.2">
      <c r="A494" s="18" t="s">
        <v>652</v>
      </c>
      <c r="B494" s="19">
        <v>10</v>
      </c>
      <c r="C494" s="19">
        <v>3</v>
      </c>
      <c r="D494" s="19" t="s">
        <v>397</v>
      </c>
      <c r="E494" s="19" t="s">
        <v>646</v>
      </c>
      <c r="F494" s="19"/>
      <c r="G494" s="20">
        <f>G495</f>
        <v>44670</v>
      </c>
      <c r="H494" s="20">
        <f>H495</f>
        <v>0</v>
      </c>
      <c r="I494" s="20">
        <f>I495</f>
        <v>0</v>
      </c>
    </row>
    <row r="495" spans="1:12" s="73" customFormat="1" x14ac:dyDescent="0.2">
      <c r="A495" s="81" t="s">
        <v>70</v>
      </c>
      <c r="B495" s="76">
        <v>10</v>
      </c>
      <c r="C495" s="76">
        <v>3</v>
      </c>
      <c r="D495" s="76" t="s">
        <v>397</v>
      </c>
      <c r="E495" s="76" t="s">
        <v>646</v>
      </c>
      <c r="F495" s="76" t="s">
        <v>71</v>
      </c>
      <c r="G495" s="56">
        <f>' первое чтение вед стр-ра'!G656</f>
        <v>44670</v>
      </c>
      <c r="H495" s="56">
        <f>' первое чтение вед стр-ра'!H656</f>
        <v>0</v>
      </c>
      <c r="I495" s="56">
        <f>' первое чтение вед стр-ра'!I656</f>
        <v>0</v>
      </c>
    </row>
    <row r="496" spans="1:12" s="73" customFormat="1" ht="25.5" x14ac:dyDescent="0.2">
      <c r="A496" s="18" t="s">
        <v>650</v>
      </c>
      <c r="B496" s="19">
        <v>10</v>
      </c>
      <c r="C496" s="19">
        <v>3</v>
      </c>
      <c r="D496" s="19" t="s">
        <v>397</v>
      </c>
      <c r="E496" s="19" t="s">
        <v>651</v>
      </c>
      <c r="F496" s="19"/>
      <c r="G496" s="56">
        <f>G497</f>
        <v>4302</v>
      </c>
      <c r="H496" s="56">
        <f t="shared" ref="H496:I496" si="59">H497</f>
        <v>0</v>
      </c>
      <c r="I496" s="56">
        <f t="shared" si="59"/>
        <v>0</v>
      </c>
    </row>
    <row r="497" spans="1:9" s="73" customFormat="1" x14ac:dyDescent="0.2">
      <c r="A497" s="81" t="s">
        <v>70</v>
      </c>
      <c r="B497" s="76">
        <v>10</v>
      </c>
      <c r="C497" s="76">
        <v>3</v>
      </c>
      <c r="D497" s="76" t="s">
        <v>397</v>
      </c>
      <c r="E497" s="76" t="s">
        <v>651</v>
      </c>
      <c r="F497" s="76" t="s">
        <v>71</v>
      </c>
      <c r="G497" s="56">
        <f>' первое чтение вед стр-ра'!G658</f>
        <v>4302</v>
      </c>
      <c r="H497" s="56">
        <f>' первое чтение вед стр-ра'!H658</f>
        <v>0</v>
      </c>
      <c r="I497" s="56">
        <f>' первое чтение вед стр-ра'!I658</f>
        <v>0</v>
      </c>
    </row>
    <row r="498" spans="1:9" s="73" customFormat="1" ht="25.5" x14ac:dyDescent="0.2">
      <c r="A498" s="135" t="s">
        <v>445</v>
      </c>
      <c r="B498" s="133" t="s">
        <v>49</v>
      </c>
      <c r="C498" s="133" t="s">
        <v>427</v>
      </c>
      <c r="D498" s="133"/>
      <c r="E498" s="133"/>
      <c r="F498" s="133"/>
      <c r="G498" s="132">
        <f>SUM(G499)</f>
        <v>5480.6</v>
      </c>
      <c r="H498" s="132">
        <f>SUM(H499)</f>
        <v>4942.5</v>
      </c>
      <c r="I498" s="132">
        <f>SUM(I499)</f>
        <v>4942.5</v>
      </c>
    </row>
    <row r="499" spans="1:9" ht="25.5" x14ac:dyDescent="0.2">
      <c r="A499" s="18" t="s">
        <v>291</v>
      </c>
      <c r="B499" s="19">
        <v>10</v>
      </c>
      <c r="C499" s="19">
        <v>4</v>
      </c>
      <c r="D499" s="19" t="s">
        <v>397</v>
      </c>
      <c r="E499" s="19" t="s">
        <v>444</v>
      </c>
      <c r="F499" s="19"/>
      <c r="G499" s="20">
        <f>G500+G501</f>
        <v>5480.6</v>
      </c>
      <c r="H499" s="20">
        <f>H500+H501</f>
        <v>4942.5</v>
      </c>
      <c r="I499" s="20">
        <f>I500+I501</f>
        <v>4942.5</v>
      </c>
    </row>
    <row r="500" spans="1:9" ht="51" x14ac:dyDescent="0.2">
      <c r="A500" s="30" t="s">
        <v>64</v>
      </c>
      <c r="B500" s="24">
        <v>10</v>
      </c>
      <c r="C500" s="24">
        <v>4</v>
      </c>
      <c r="D500" s="24" t="s">
        <v>397</v>
      </c>
      <c r="E500" s="24" t="s">
        <v>444</v>
      </c>
      <c r="F500" s="24" t="s">
        <v>65</v>
      </c>
      <c r="G500" s="25">
        <f>' первое чтение вед стр-ра'!G685</f>
        <v>5040.2000000000007</v>
      </c>
      <c r="H500" s="25">
        <f>' первое чтение вед стр-ра'!H685</f>
        <v>4896.1000000000004</v>
      </c>
      <c r="I500" s="25">
        <f>' первое чтение вед стр-ра'!I685</f>
        <v>4896.1000000000004</v>
      </c>
    </row>
    <row r="501" spans="1:9" ht="25.5" x14ac:dyDescent="0.2">
      <c r="A501" s="30" t="s">
        <v>400</v>
      </c>
      <c r="B501" s="24">
        <v>10</v>
      </c>
      <c r="C501" s="24">
        <v>4</v>
      </c>
      <c r="D501" s="24" t="s">
        <v>397</v>
      </c>
      <c r="E501" s="24" t="s">
        <v>444</v>
      </c>
      <c r="F501" s="24" t="s">
        <v>66</v>
      </c>
      <c r="G501" s="25">
        <f>' первое чтение вед стр-ра'!G686</f>
        <v>440.4</v>
      </c>
      <c r="H501" s="25">
        <f>' первое чтение вед стр-ра'!H686</f>
        <v>46.4</v>
      </c>
      <c r="I501" s="25">
        <f>' первое чтение вед стр-ра'!I686</f>
        <v>46.4</v>
      </c>
    </row>
    <row r="502" spans="1:9" ht="38.25" x14ac:dyDescent="0.2">
      <c r="A502" s="137" t="s">
        <v>441</v>
      </c>
      <c r="B502" s="40" t="s">
        <v>19</v>
      </c>
      <c r="C502" s="40"/>
      <c r="D502" s="40"/>
      <c r="E502" s="40"/>
      <c r="F502" s="40"/>
      <c r="G502" s="38">
        <f>SUM(G503,G510,G515,G518,G521,G525)+G528+G534+G531</f>
        <v>164394.1</v>
      </c>
      <c r="H502" s="38">
        <f t="shared" ref="H502:I502" si="60">SUM(H503,H510,H515,H518,H521,H525)+H528+H534+H531</f>
        <v>160645.30000000002</v>
      </c>
      <c r="I502" s="38">
        <f t="shared" si="60"/>
        <v>133556.70000000001</v>
      </c>
    </row>
    <row r="503" spans="1:9" ht="25.5" x14ac:dyDescent="0.2">
      <c r="A503" s="136" t="s">
        <v>440</v>
      </c>
      <c r="B503" s="130" t="s">
        <v>19</v>
      </c>
      <c r="C503" s="130" t="s">
        <v>439</v>
      </c>
      <c r="D503" s="130"/>
      <c r="E503" s="130"/>
      <c r="F503" s="130"/>
      <c r="G503" s="129">
        <f>G508+G506+G504</f>
        <v>115684</v>
      </c>
      <c r="H503" s="129">
        <f>H508+H506+H504</f>
        <v>119779.5</v>
      </c>
      <c r="I503" s="129">
        <f>I508+I506+I504</f>
        <v>99769</v>
      </c>
    </row>
    <row r="504" spans="1:9" ht="63.75" x14ac:dyDescent="0.2">
      <c r="A504" s="18" t="s">
        <v>344</v>
      </c>
      <c r="B504" s="19">
        <v>11</v>
      </c>
      <c r="C504" s="19">
        <v>1</v>
      </c>
      <c r="D504" s="19" t="s">
        <v>397</v>
      </c>
      <c r="E504" s="19" t="s">
        <v>438</v>
      </c>
      <c r="F504" s="19"/>
      <c r="G504" s="20">
        <f>G505</f>
        <v>30000</v>
      </c>
      <c r="H504" s="20">
        <f>H505</f>
        <v>30000</v>
      </c>
      <c r="I504" s="20">
        <f>I505</f>
        <v>35000</v>
      </c>
    </row>
    <row r="505" spans="1:9" ht="25.5" x14ac:dyDescent="0.2">
      <c r="A505" s="28" t="s">
        <v>130</v>
      </c>
      <c r="B505" s="24">
        <v>11</v>
      </c>
      <c r="C505" s="24">
        <v>1</v>
      </c>
      <c r="D505" s="24" t="s">
        <v>397</v>
      </c>
      <c r="E505" s="24" t="s">
        <v>438</v>
      </c>
      <c r="F505" s="24" t="s">
        <v>63</v>
      </c>
      <c r="G505" s="25">
        <f>' первое чтение вед стр-ра'!G617</f>
        <v>30000</v>
      </c>
      <c r="H505" s="25">
        <f>' первое чтение вед стр-ра'!H617</f>
        <v>30000</v>
      </c>
      <c r="I505" s="25">
        <f>' первое чтение вед стр-ра'!I617</f>
        <v>35000</v>
      </c>
    </row>
    <row r="506" spans="1:9" ht="63.75" x14ac:dyDescent="0.2">
      <c r="A506" s="18" t="s">
        <v>344</v>
      </c>
      <c r="B506" s="19">
        <v>11</v>
      </c>
      <c r="C506" s="19">
        <v>1</v>
      </c>
      <c r="D506" s="19" t="s">
        <v>397</v>
      </c>
      <c r="E506" s="19" t="s">
        <v>437</v>
      </c>
      <c r="F506" s="19"/>
      <c r="G506" s="20">
        <f>G507</f>
        <v>1500</v>
      </c>
      <c r="H506" s="20">
        <f>H507</f>
        <v>0</v>
      </c>
      <c r="I506" s="20">
        <f>I507</f>
        <v>0</v>
      </c>
    </row>
    <row r="507" spans="1:9" ht="25.5" x14ac:dyDescent="0.2">
      <c r="A507" s="28" t="s">
        <v>130</v>
      </c>
      <c r="B507" s="24">
        <v>11</v>
      </c>
      <c r="C507" s="24">
        <v>1</v>
      </c>
      <c r="D507" s="24" t="s">
        <v>397</v>
      </c>
      <c r="E507" s="24" t="s">
        <v>437</v>
      </c>
      <c r="F507" s="24" t="s">
        <v>63</v>
      </c>
      <c r="G507" s="25">
        <f>' первое чтение вед стр-ра'!G619</f>
        <v>1500</v>
      </c>
      <c r="H507" s="25">
        <f>' первое чтение вед стр-ра'!H619</f>
        <v>0</v>
      </c>
      <c r="I507" s="25">
        <f>' первое чтение вед стр-ра'!I619</f>
        <v>0</v>
      </c>
    </row>
    <row r="508" spans="1:9" s="73" customFormat="1" ht="25.5" x14ac:dyDescent="0.2">
      <c r="A508" s="69" t="s">
        <v>271</v>
      </c>
      <c r="B508" s="71">
        <v>11</v>
      </c>
      <c r="C508" s="71">
        <v>1</v>
      </c>
      <c r="D508" s="71" t="s">
        <v>397</v>
      </c>
      <c r="E508" s="71" t="s">
        <v>436</v>
      </c>
      <c r="F508" s="71"/>
      <c r="G508" s="72">
        <f>G509</f>
        <v>84184</v>
      </c>
      <c r="H508" s="72">
        <f>H509</f>
        <v>89779.5</v>
      </c>
      <c r="I508" s="72">
        <f>I509</f>
        <v>64769</v>
      </c>
    </row>
    <row r="509" spans="1:9" s="73" customFormat="1" ht="25.5" x14ac:dyDescent="0.2">
      <c r="A509" s="81" t="s">
        <v>130</v>
      </c>
      <c r="B509" s="76">
        <v>11</v>
      </c>
      <c r="C509" s="76">
        <v>1</v>
      </c>
      <c r="D509" s="76" t="s">
        <v>397</v>
      </c>
      <c r="E509" s="76" t="s">
        <v>436</v>
      </c>
      <c r="F509" s="76" t="s">
        <v>63</v>
      </c>
      <c r="G509" s="56">
        <f>' первое чтение вед стр-ра'!G621</f>
        <v>84184</v>
      </c>
      <c r="H509" s="56">
        <f>' первое чтение вед стр-ра'!H621</f>
        <v>89779.5</v>
      </c>
      <c r="I509" s="56">
        <f>' первое чтение вед стр-ра'!I621</f>
        <v>64769</v>
      </c>
    </row>
    <row r="510" spans="1:9" s="73" customFormat="1" ht="25.5" x14ac:dyDescent="0.2">
      <c r="A510" s="135" t="s">
        <v>435</v>
      </c>
      <c r="B510" s="133" t="s">
        <v>19</v>
      </c>
      <c r="C510" s="133" t="s">
        <v>434</v>
      </c>
      <c r="D510" s="133"/>
      <c r="E510" s="133"/>
      <c r="F510" s="133"/>
      <c r="G510" s="132">
        <f>SUM(G511,G513)</f>
        <v>14980</v>
      </c>
      <c r="H510" s="132">
        <f>SUM(H511,H513)</f>
        <v>14980</v>
      </c>
      <c r="I510" s="132">
        <f>SUM(I511,I513)</f>
        <v>13380</v>
      </c>
    </row>
    <row r="511" spans="1:9" s="73" customFormat="1" ht="25.5" x14ac:dyDescent="0.2">
      <c r="A511" s="69" t="s">
        <v>273</v>
      </c>
      <c r="B511" s="71">
        <v>11</v>
      </c>
      <c r="C511" s="71">
        <v>2</v>
      </c>
      <c r="D511" s="71" t="s">
        <v>397</v>
      </c>
      <c r="E511" s="71" t="s">
        <v>433</v>
      </c>
      <c r="F511" s="71"/>
      <c r="G511" s="72">
        <f>G512</f>
        <v>14330</v>
      </c>
      <c r="H511" s="72">
        <f>H512</f>
        <v>14330</v>
      </c>
      <c r="I511" s="72">
        <f>I512</f>
        <v>12730</v>
      </c>
    </row>
    <row r="512" spans="1:9" s="73" customFormat="1" ht="25.5" x14ac:dyDescent="0.2">
      <c r="A512" s="81" t="s">
        <v>130</v>
      </c>
      <c r="B512" s="76">
        <v>11</v>
      </c>
      <c r="C512" s="76">
        <v>2</v>
      </c>
      <c r="D512" s="76" t="s">
        <v>397</v>
      </c>
      <c r="E512" s="76" t="s">
        <v>433</v>
      </c>
      <c r="F512" s="76" t="s">
        <v>63</v>
      </c>
      <c r="G512" s="56">
        <f>' первое чтение вед стр-ра'!G623</f>
        <v>14330</v>
      </c>
      <c r="H512" s="56">
        <f>' первое чтение вед стр-ра'!H623</f>
        <v>14330</v>
      </c>
      <c r="I512" s="56">
        <f>' первое чтение вед стр-ра'!I623</f>
        <v>12730</v>
      </c>
    </row>
    <row r="513" spans="1:9" s="73" customFormat="1" x14ac:dyDescent="0.2">
      <c r="A513" s="69" t="s">
        <v>281</v>
      </c>
      <c r="B513" s="71">
        <v>11</v>
      </c>
      <c r="C513" s="71">
        <v>2</v>
      </c>
      <c r="D513" s="71" t="s">
        <v>397</v>
      </c>
      <c r="E513" s="71" t="s">
        <v>432</v>
      </c>
      <c r="F513" s="71"/>
      <c r="G513" s="72">
        <f>G514</f>
        <v>650</v>
      </c>
      <c r="H513" s="72">
        <f>H514</f>
        <v>650</v>
      </c>
      <c r="I513" s="72">
        <f>I514</f>
        <v>650</v>
      </c>
    </row>
    <row r="514" spans="1:9" s="73" customFormat="1" ht="25.5" x14ac:dyDescent="0.2">
      <c r="A514" s="81" t="s">
        <v>130</v>
      </c>
      <c r="B514" s="76">
        <v>11</v>
      </c>
      <c r="C514" s="76">
        <v>2</v>
      </c>
      <c r="D514" s="76" t="s">
        <v>397</v>
      </c>
      <c r="E514" s="76" t="s">
        <v>432</v>
      </c>
      <c r="F514" s="76" t="s">
        <v>63</v>
      </c>
      <c r="G514" s="56">
        <f>' первое чтение вед стр-ра'!G669</f>
        <v>650</v>
      </c>
      <c r="H514" s="56">
        <f>' первое чтение вед стр-ра'!H669</f>
        <v>650</v>
      </c>
      <c r="I514" s="56">
        <f>' первое чтение вед стр-ра'!I669</f>
        <v>650</v>
      </c>
    </row>
    <row r="515" spans="1:9" ht="25.5" x14ac:dyDescent="0.2">
      <c r="A515" s="131" t="s">
        <v>431</v>
      </c>
      <c r="B515" s="130" t="s">
        <v>19</v>
      </c>
      <c r="C515" s="130" t="s">
        <v>430</v>
      </c>
      <c r="D515" s="130"/>
      <c r="E515" s="130"/>
      <c r="F515" s="130"/>
      <c r="G515" s="129">
        <f t="shared" ref="G515:I516" si="61">G516</f>
        <v>3500</v>
      </c>
      <c r="H515" s="129">
        <f t="shared" si="61"/>
        <v>3500</v>
      </c>
      <c r="I515" s="129">
        <f t="shared" si="61"/>
        <v>2000</v>
      </c>
    </row>
    <row r="516" spans="1:9" ht="25.5" x14ac:dyDescent="0.2">
      <c r="A516" s="18" t="s">
        <v>282</v>
      </c>
      <c r="B516" s="19">
        <v>11</v>
      </c>
      <c r="C516" s="19">
        <v>3</v>
      </c>
      <c r="D516" s="19" t="s">
        <v>397</v>
      </c>
      <c r="E516" s="19" t="s">
        <v>429</v>
      </c>
      <c r="F516" s="19"/>
      <c r="G516" s="20">
        <f t="shared" si="61"/>
        <v>3500</v>
      </c>
      <c r="H516" s="20">
        <f t="shared" si="61"/>
        <v>3500</v>
      </c>
      <c r="I516" s="20">
        <f t="shared" si="61"/>
        <v>2000</v>
      </c>
    </row>
    <row r="517" spans="1:9" ht="25.5" x14ac:dyDescent="0.2">
      <c r="A517" s="28" t="s">
        <v>130</v>
      </c>
      <c r="B517" s="24">
        <v>11</v>
      </c>
      <c r="C517" s="24">
        <v>3</v>
      </c>
      <c r="D517" s="24" t="s">
        <v>397</v>
      </c>
      <c r="E517" s="24" t="s">
        <v>429</v>
      </c>
      <c r="F517" s="24" t="s">
        <v>63</v>
      </c>
      <c r="G517" s="25">
        <f>' первое чтение вед стр-ра'!G671</f>
        <v>3500</v>
      </c>
      <c r="H517" s="25">
        <f>' первое чтение вед стр-ра'!H671</f>
        <v>3500</v>
      </c>
      <c r="I517" s="25">
        <f>' первое чтение вед стр-ра'!I671</f>
        <v>2000</v>
      </c>
    </row>
    <row r="518" spans="1:9" x14ac:dyDescent="0.2">
      <c r="A518" s="131" t="s">
        <v>428</v>
      </c>
      <c r="B518" s="130" t="s">
        <v>19</v>
      </c>
      <c r="C518" s="130" t="s">
        <v>427</v>
      </c>
      <c r="D518" s="130"/>
      <c r="E518" s="130"/>
      <c r="F518" s="130"/>
      <c r="G518" s="129">
        <f t="shared" ref="G518:I519" si="62">G519</f>
        <v>582.6</v>
      </c>
      <c r="H518" s="129">
        <f t="shared" si="62"/>
        <v>500</v>
      </c>
      <c r="I518" s="129">
        <f t="shared" si="62"/>
        <v>354.3</v>
      </c>
    </row>
    <row r="519" spans="1:9" x14ac:dyDescent="0.2">
      <c r="A519" s="18" t="s">
        <v>285</v>
      </c>
      <c r="B519" s="19">
        <v>11</v>
      </c>
      <c r="C519" s="19">
        <v>4</v>
      </c>
      <c r="D519" s="19" t="s">
        <v>397</v>
      </c>
      <c r="E519" s="19" t="s">
        <v>426</v>
      </c>
      <c r="F519" s="24"/>
      <c r="G519" s="25">
        <f t="shared" si="62"/>
        <v>582.6</v>
      </c>
      <c r="H519" s="25">
        <f t="shared" si="62"/>
        <v>500</v>
      </c>
      <c r="I519" s="25">
        <f t="shared" si="62"/>
        <v>354.3</v>
      </c>
    </row>
    <row r="520" spans="1:9" ht="25.5" x14ac:dyDescent="0.2">
      <c r="A520" s="28" t="s">
        <v>130</v>
      </c>
      <c r="B520" s="24">
        <v>11</v>
      </c>
      <c r="C520" s="24">
        <v>4</v>
      </c>
      <c r="D520" s="24" t="s">
        <v>397</v>
      </c>
      <c r="E520" s="24" t="s">
        <v>426</v>
      </c>
      <c r="F520" s="24" t="s">
        <v>63</v>
      </c>
      <c r="G520" s="25">
        <f>' первое чтение вед стр-ра'!G673</f>
        <v>582.6</v>
      </c>
      <c r="H520" s="25">
        <f>' первое чтение вед стр-ра'!H673</f>
        <v>500</v>
      </c>
      <c r="I520" s="25">
        <f>' первое чтение вед стр-ра'!I673</f>
        <v>354.3</v>
      </c>
    </row>
    <row r="521" spans="1:9" ht="25.5" x14ac:dyDescent="0.2">
      <c r="A521" s="131" t="s">
        <v>425</v>
      </c>
      <c r="B521" s="130" t="s">
        <v>19</v>
      </c>
      <c r="C521" s="130" t="s">
        <v>424</v>
      </c>
      <c r="D521" s="130"/>
      <c r="E521" s="130"/>
      <c r="F521" s="130"/>
      <c r="G521" s="129">
        <f>G522</f>
        <v>9336</v>
      </c>
      <c r="H521" s="129">
        <f t="shared" ref="H521:I521" si="63">H522</f>
        <v>6155.6</v>
      </c>
      <c r="I521" s="129">
        <f t="shared" si="63"/>
        <v>2790.2</v>
      </c>
    </row>
    <row r="522" spans="1:9" s="73" customFormat="1" ht="25.5" x14ac:dyDescent="0.2">
      <c r="A522" s="69" t="s">
        <v>287</v>
      </c>
      <c r="B522" s="100">
        <v>11</v>
      </c>
      <c r="C522" s="100">
        <v>5</v>
      </c>
      <c r="D522" s="100" t="s">
        <v>397</v>
      </c>
      <c r="E522" s="100" t="s">
        <v>423</v>
      </c>
      <c r="F522" s="71"/>
      <c r="G522" s="72">
        <f>G524+G523</f>
        <v>9336</v>
      </c>
      <c r="H522" s="72">
        <f t="shared" ref="H522:I522" si="64">H524+H523</f>
        <v>6155.6</v>
      </c>
      <c r="I522" s="72">
        <f t="shared" si="64"/>
        <v>2790.2</v>
      </c>
    </row>
    <row r="523" spans="1:9" s="73" customFormat="1" ht="25.5" x14ac:dyDescent="0.2">
      <c r="A523" s="30" t="s">
        <v>400</v>
      </c>
      <c r="B523" s="16">
        <v>11</v>
      </c>
      <c r="C523" s="16">
        <v>5</v>
      </c>
      <c r="D523" s="16" t="s">
        <v>397</v>
      </c>
      <c r="E523" s="16" t="s">
        <v>423</v>
      </c>
      <c r="F523" s="71" t="s">
        <v>66</v>
      </c>
      <c r="G523" s="72">
        <f>' первое чтение вед стр-ра'!G675</f>
        <v>286</v>
      </c>
      <c r="H523" s="72">
        <f>' первое чтение вед стр-ра'!H675</f>
        <v>0</v>
      </c>
      <c r="I523" s="72">
        <f>' первое чтение вед стр-ра'!I675</f>
        <v>0</v>
      </c>
    </row>
    <row r="524" spans="1:9" ht="25.5" x14ac:dyDescent="0.2">
      <c r="A524" s="28" t="s">
        <v>130</v>
      </c>
      <c r="B524" s="16">
        <v>11</v>
      </c>
      <c r="C524" s="16">
        <v>5</v>
      </c>
      <c r="D524" s="16" t="s">
        <v>397</v>
      </c>
      <c r="E524" s="16" t="s">
        <v>423</v>
      </c>
      <c r="F524" s="24" t="s">
        <v>63</v>
      </c>
      <c r="G524" s="25">
        <f>' первое чтение вед стр-ра'!G676</f>
        <v>9050</v>
      </c>
      <c r="H524" s="25">
        <f>' первое чтение вед стр-ра'!H676</f>
        <v>6155.6</v>
      </c>
      <c r="I524" s="25">
        <f>' первое чтение вед стр-ра'!I676</f>
        <v>2790.2</v>
      </c>
    </row>
    <row r="525" spans="1:9" s="73" customFormat="1" ht="38.25" x14ac:dyDescent="0.2">
      <c r="A525" s="135" t="s">
        <v>421</v>
      </c>
      <c r="B525" s="134" t="s">
        <v>19</v>
      </c>
      <c r="C525" s="134" t="s">
        <v>420</v>
      </c>
      <c r="D525" s="134"/>
      <c r="E525" s="134"/>
      <c r="F525" s="133"/>
      <c r="G525" s="132">
        <f t="shared" ref="G525:I526" si="65">G526</f>
        <v>15243.5</v>
      </c>
      <c r="H525" s="132">
        <f t="shared" si="65"/>
        <v>14412.2</v>
      </c>
      <c r="I525" s="132">
        <f t="shared" si="65"/>
        <v>14195.2</v>
      </c>
    </row>
    <row r="526" spans="1:9" ht="38.25" x14ac:dyDescent="0.2">
      <c r="A526" s="18" t="s">
        <v>293</v>
      </c>
      <c r="B526" s="19">
        <v>11</v>
      </c>
      <c r="C526" s="19">
        <v>6</v>
      </c>
      <c r="D526" s="19" t="s">
        <v>397</v>
      </c>
      <c r="E526" s="19" t="s">
        <v>419</v>
      </c>
      <c r="F526" s="5"/>
      <c r="G526" s="6">
        <f t="shared" si="65"/>
        <v>15243.5</v>
      </c>
      <c r="H526" s="6">
        <f t="shared" si="65"/>
        <v>14412.2</v>
      </c>
      <c r="I526" s="6">
        <f t="shared" si="65"/>
        <v>14195.2</v>
      </c>
    </row>
    <row r="527" spans="1:9" ht="25.5" x14ac:dyDescent="0.2">
      <c r="A527" s="28" t="s">
        <v>130</v>
      </c>
      <c r="B527" s="24">
        <v>11</v>
      </c>
      <c r="C527" s="24">
        <v>6</v>
      </c>
      <c r="D527" s="24" t="s">
        <v>397</v>
      </c>
      <c r="E527" s="24" t="s">
        <v>419</v>
      </c>
      <c r="F527" s="24" t="s">
        <v>63</v>
      </c>
      <c r="G527" s="25">
        <f>' первое чтение вед стр-ра'!G688</f>
        <v>15243.5</v>
      </c>
      <c r="H527" s="25">
        <f>' первое чтение вед стр-ра'!H688</f>
        <v>14412.2</v>
      </c>
      <c r="I527" s="25">
        <f>' первое чтение вед стр-ра'!I688</f>
        <v>14195.2</v>
      </c>
    </row>
    <row r="528" spans="1:9" ht="25.5" x14ac:dyDescent="0.2">
      <c r="A528" s="131" t="s">
        <v>756</v>
      </c>
      <c r="B528" s="107" t="s">
        <v>19</v>
      </c>
      <c r="C528" s="107" t="s">
        <v>418</v>
      </c>
      <c r="D528" s="107"/>
      <c r="E528" s="107"/>
      <c r="F528" s="130"/>
      <c r="G528" s="129">
        <f t="shared" ref="G528:I535" si="66">G529</f>
        <v>4000</v>
      </c>
      <c r="H528" s="129">
        <f t="shared" si="66"/>
        <v>0</v>
      </c>
      <c r="I528" s="129">
        <f t="shared" si="66"/>
        <v>0</v>
      </c>
    </row>
    <row r="529" spans="1:9" x14ac:dyDescent="0.2">
      <c r="A529" s="18" t="s">
        <v>349</v>
      </c>
      <c r="B529" s="126">
        <v>11</v>
      </c>
      <c r="C529" s="19" t="s">
        <v>418</v>
      </c>
      <c r="D529" s="19" t="s">
        <v>397</v>
      </c>
      <c r="E529" s="16" t="s">
        <v>417</v>
      </c>
      <c r="F529" s="19"/>
      <c r="G529" s="20">
        <f t="shared" si="66"/>
        <v>4000</v>
      </c>
      <c r="H529" s="20">
        <f t="shared" si="66"/>
        <v>0</v>
      </c>
      <c r="I529" s="20">
        <f t="shared" si="66"/>
        <v>0</v>
      </c>
    </row>
    <row r="530" spans="1:9" ht="25.5" x14ac:dyDescent="0.2">
      <c r="A530" s="28" t="s">
        <v>130</v>
      </c>
      <c r="B530" s="126">
        <v>11</v>
      </c>
      <c r="C530" s="19" t="s">
        <v>418</v>
      </c>
      <c r="D530" s="19" t="s">
        <v>397</v>
      </c>
      <c r="E530" s="16" t="s">
        <v>417</v>
      </c>
      <c r="F530" s="24" t="s">
        <v>63</v>
      </c>
      <c r="G530" s="25">
        <f>' первое чтение вед стр-ра'!G678</f>
        <v>4000</v>
      </c>
      <c r="H530" s="25">
        <f>' первое чтение вед стр-ра'!H678</f>
        <v>0</v>
      </c>
      <c r="I530" s="25">
        <f>' первое чтение вед стр-ра'!I678</f>
        <v>0</v>
      </c>
    </row>
    <row r="531" spans="1:9" s="197" customFormat="1" ht="25.5" x14ac:dyDescent="0.2">
      <c r="A531" s="131" t="s">
        <v>443</v>
      </c>
      <c r="B531" s="107" t="s">
        <v>19</v>
      </c>
      <c r="C531" s="107" t="s">
        <v>738</v>
      </c>
      <c r="D531" s="107"/>
      <c r="E531" s="107"/>
      <c r="F531" s="130"/>
      <c r="G531" s="129">
        <f t="shared" si="66"/>
        <v>0</v>
      </c>
      <c r="H531" s="129">
        <f t="shared" si="66"/>
        <v>250</v>
      </c>
      <c r="I531" s="129">
        <f t="shared" si="66"/>
        <v>0</v>
      </c>
    </row>
    <row r="532" spans="1:9" s="197" customFormat="1" ht="25.5" x14ac:dyDescent="0.2">
      <c r="A532" s="18" t="s">
        <v>334</v>
      </c>
      <c r="B532" s="126">
        <v>11</v>
      </c>
      <c r="C532" s="19" t="s">
        <v>738</v>
      </c>
      <c r="D532" s="19" t="s">
        <v>397</v>
      </c>
      <c r="E532" s="16" t="s">
        <v>442</v>
      </c>
      <c r="F532" s="19"/>
      <c r="G532" s="20">
        <f t="shared" si="66"/>
        <v>0</v>
      </c>
      <c r="H532" s="20">
        <f t="shared" si="66"/>
        <v>250</v>
      </c>
      <c r="I532" s="20">
        <f t="shared" si="66"/>
        <v>0</v>
      </c>
    </row>
    <row r="533" spans="1:9" s="197" customFormat="1" ht="25.5" x14ac:dyDescent="0.2">
      <c r="A533" s="30" t="s">
        <v>400</v>
      </c>
      <c r="B533" s="126">
        <v>11</v>
      </c>
      <c r="C533" s="19" t="s">
        <v>738</v>
      </c>
      <c r="D533" s="19" t="s">
        <v>397</v>
      </c>
      <c r="E533" s="16" t="s">
        <v>442</v>
      </c>
      <c r="F533" s="24" t="s">
        <v>66</v>
      </c>
      <c r="G533" s="25">
        <f>' первое чтение вед стр-ра'!G665</f>
        <v>0</v>
      </c>
      <c r="H533" s="25">
        <f>' первое чтение вед стр-ра'!H665</f>
        <v>250</v>
      </c>
      <c r="I533" s="25">
        <f>' первое чтение вед стр-ра'!I665</f>
        <v>0</v>
      </c>
    </row>
    <row r="534" spans="1:9" s="197" customFormat="1" ht="25.5" x14ac:dyDescent="0.2">
      <c r="A534" s="131" t="s">
        <v>734</v>
      </c>
      <c r="B534" s="107" t="s">
        <v>19</v>
      </c>
      <c r="C534" s="107" t="s">
        <v>735</v>
      </c>
      <c r="D534" s="107"/>
      <c r="E534" s="107"/>
      <c r="F534" s="130"/>
      <c r="G534" s="129">
        <f t="shared" si="66"/>
        <v>1068</v>
      </c>
      <c r="H534" s="129">
        <f t="shared" si="66"/>
        <v>1068</v>
      </c>
      <c r="I534" s="129">
        <f t="shared" si="66"/>
        <v>1068</v>
      </c>
    </row>
    <row r="535" spans="1:9" s="197" customFormat="1" ht="25.5" x14ac:dyDescent="0.2">
      <c r="A535" s="18" t="s">
        <v>732</v>
      </c>
      <c r="B535" s="126">
        <v>11</v>
      </c>
      <c r="C535" s="19" t="s">
        <v>735</v>
      </c>
      <c r="D535" s="19" t="s">
        <v>397</v>
      </c>
      <c r="E535" s="16" t="s">
        <v>736</v>
      </c>
      <c r="F535" s="19"/>
      <c r="G535" s="20">
        <f t="shared" si="66"/>
        <v>1068</v>
      </c>
      <c r="H535" s="20">
        <f t="shared" si="66"/>
        <v>1068</v>
      </c>
      <c r="I535" s="20">
        <f t="shared" si="66"/>
        <v>1068</v>
      </c>
    </row>
    <row r="536" spans="1:9" s="197" customFormat="1" ht="25.5" x14ac:dyDescent="0.2">
      <c r="A536" s="30" t="s">
        <v>400</v>
      </c>
      <c r="B536" s="126">
        <v>11</v>
      </c>
      <c r="C536" s="19" t="s">
        <v>735</v>
      </c>
      <c r="D536" s="19" t="s">
        <v>397</v>
      </c>
      <c r="E536" s="16" t="s">
        <v>736</v>
      </c>
      <c r="F536" s="24" t="s">
        <v>66</v>
      </c>
      <c r="G536" s="25">
        <f>' первое чтение вед стр-ра'!G680</f>
        <v>1068</v>
      </c>
      <c r="H536" s="25">
        <f>' первое чтение вед стр-ра'!H680</f>
        <v>1068</v>
      </c>
      <c r="I536" s="25">
        <f>' первое чтение вед стр-ра'!I680</f>
        <v>1068</v>
      </c>
    </row>
    <row r="537" spans="1:9" ht="25.5" x14ac:dyDescent="0.2">
      <c r="A537" s="39" t="s">
        <v>416</v>
      </c>
      <c r="B537" s="40" t="s">
        <v>21</v>
      </c>
      <c r="C537" s="40"/>
      <c r="D537" s="40"/>
      <c r="E537" s="40"/>
      <c r="F537" s="40"/>
      <c r="G537" s="38">
        <f t="shared" ref="G537:I538" si="67">G538</f>
        <v>2136.1</v>
      </c>
      <c r="H537" s="38">
        <f t="shared" si="67"/>
        <v>2123</v>
      </c>
      <c r="I537" s="38">
        <f t="shared" si="67"/>
        <v>2105</v>
      </c>
    </row>
    <row r="538" spans="1:9" ht="25.5" x14ac:dyDescent="0.2">
      <c r="A538" s="18" t="s">
        <v>174</v>
      </c>
      <c r="B538" s="19">
        <v>12</v>
      </c>
      <c r="C538" s="19">
        <v>0</v>
      </c>
      <c r="D538" s="19" t="s">
        <v>397</v>
      </c>
      <c r="E538" s="19" t="s">
        <v>415</v>
      </c>
      <c r="F538" s="19"/>
      <c r="G538" s="20">
        <f t="shared" si="67"/>
        <v>2136.1</v>
      </c>
      <c r="H538" s="20">
        <f t="shared" si="67"/>
        <v>2123</v>
      </c>
      <c r="I538" s="20">
        <f t="shared" si="67"/>
        <v>2105</v>
      </c>
    </row>
    <row r="539" spans="1:9" x14ac:dyDescent="0.2">
      <c r="A539" s="28" t="s">
        <v>72</v>
      </c>
      <c r="B539" s="24">
        <v>12</v>
      </c>
      <c r="C539" s="24">
        <v>0</v>
      </c>
      <c r="D539" s="24" t="s">
        <v>397</v>
      </c>
      <c r="E539" s="24" t="s">
        <v>415</v>
      </c>
      <c r="F539" s="24" t="s">
        <v>73</v>
      </c>
      <c r="G539" s="25">
        <f>' первое чтение вед стр-ра'!G158</f>
        <v>2136.1</v>
      </c>
      <c r="H539" s="25">
        <f>' первое чтение вед стр-ра'!H158</f>
        <v>2123</v>
      </c>
      <c r="I539" s="25">
        <f>' первое чтение вед стр-ра'!I158</f>
        <v>2105</v>
      </c>
    </row>
    <row r="540" spans="1:9" ht="25.5" x14ac:dyDescent="0.2">
      <c r="A540" s="39" t="s">
        <v>414</v>
      </c>
      <c r="B540" s="40" t="s">
        <v>59</v>
      </c>
      <c r="C540" s="40"/>
      <c r="D540" s="40"/>
      <c r="E540" s="40"/>
      <c r="F540" s="40"/>
      <c r="G540" s="38">
        <f t="shared" ref="G540:I541" si="68">G541</f>
        <v>2667.4</v>
      </c>
      <c r="H540" s="38">
        <f t="shared" si="68"/>
        <v>0</v>
      </c>
      <c r="I540" s="38">
        <f t="shared" si="68"/>
        <v>0</v>
      </c>
    </row>
    <row r="541" spans="1:9" s="73" customFormat="1" x14ac:dyDescent="0.2">
      <c r="A541" s="69" t="s">
        <v>136</v>
      </c>
      <c r="B541" s="71">
        <v>13</v>
      </c>
      <c r="C541" s="71">
        <v>0</v>
      </c>
      <c r="D541" s="71" t="s">
        <v>397</v>
      </c>
      <c r="E541" s="71" t="s">
        <v>413</v>
      </c>
      <c r="F541" s="71"/>
      <c r="G541" s="72">
        <f t="shared" si="68"/>
        <v>2667.4</v>
      </c>
      <c r="H541" s="72">
        <f t="shared" si="68"/>
        <v>0</v>
      </c>
      <c r="I541" s="72">
        <f t="shared" si="68"/>
        <v>0</v>
      </c>
    </row>
    <row r="542" spans="1:9" s="73" customFormat="1" ht="25.5" x14ac:dyDescent="0.2">
      <c r="A542" s="81" t="s">
        <v>130</v>
      </c>
      <c r="B542" s="76">
        <v>13</v>
      </c>
      <c r="C542" s="76">
        <v>0</v>
      </c>
      <c r="D542" s="76" t="s">
        <v>397</v>
      </c>
      <c r="E542" s="76" t="s">
        <v>413</v>
      </c>
      <c r="F542" s="76" t="s">
        <v>63</v>
      </c>
      <c r="G542" s="56">
        <f>' первое чтение вед стр-ра'!G47</f>
        <v>2667.4</v>
      </c>
      <c r="H542" s="56">
        <f>' первое чтение вед стр-ра'!H47</f>
        <v>0</v>
      </c>
      <c r="I542" s="56">
        <f>' первое чтение вед стр-ра'!I47</f>
        <v>0</v>
      </c>
    </row>
    <row r="543" spans="1:9" ht="38.25" x14ac:dyDescent="0.2">
      <c r="A543" s="39" t="s">
        <v>412</v>
      </c>
      <c r="B543" s="40" t="s">
        <v>411</v>
      </c>
      <c r="C543" s="40"/>
      <c r="D543" s="40"/>
      <c r="E543" s="40"/>
      <c r="F543" s="40"/>
      <c r="G543" s="38">
        <f>SUM(G551,G553)+G544</f>
        <v>655</v>
      </c>
      <c r="H543" s="38">
        <f t="shared" ref="H543:I543" si="69">SUM(H551,H553)+H544</f>
        <v>0</v>
      </c>
      <c r="I543" s="38">
        <f t="shared" si="69"/>
        <v>0</v>
      </c>
    </row>
    <row r="544" spans="1:9" s="197" customFormat="1" ht="24" customHeight="1" x14ac:dyDescent="0.2">
      <c r="A544" s="18" t="s">
        <v>673</v>
      </c>
      <c r="B544" s="19" t="s">
        <v>411</v>
      </c>
      <c r="C544" s="19" t="s">
        <v>398</v>
      </c>
      <c r="D544" s="19" t="s">
        <v>671</v>
      </c>
      <c r="E544" s="19"/>
      <c r="F544" s="19"/>
      <c r="G544" s="20">
        <f>G547+G545+G549</f>
        <v>0</v>
      </c>
      <c r="H544" s="20">
        <f t="shared" ref="H544:I544" si="70">H547+H545+H549</f>
        <v>0</v>
      </c>
      <c r="I544" s="20">
        <f t="shared" si="70"/>
        <v>0</v>
      </c>
    </row>
    <row r="545" spans="1:9" s="197" customFormat="1" ht="66" customHeight="1" x14ac:dyDescent="0.2">
      <c r="A545" s="18" t="s">
        <v>676</v>
      </c>
      <c r="B545" s="19" t="s">
        <v>411</v>
      </c>
      <c r="C545" s="19" t="s">
        <v>398</v>
      </c>
      <c r="D545" s="19" t="s">
        <v>671</v>
      </c>
      <c r="E545" s="19" t="s">
        <v>675</v>
      </c>
      <c r="F545" s="27"/>
      <c r="G545" s="20">
        <f>G546</f>
        <v>0</v>
      </c>
      <c r="H545" s="20">
        <f t="shared" ref="H545" si="71">H546</f>
        <v>0</v>
      </c>
      <c r="I545" s="20">
        <f t="shared" ref="I545" si="72">I546</f>
        <v>0</v>
      </c>
    </row>
    <row r="546" spans="1:9" s="197" customFormat="1" x14ac:dyDescent="0.2">
      <c r="A546" s="28" t="s">
        <v>70</v>
      </c>
      <c r="B546" s="24" t="s">
        <v>411</v>
      </c>
      <c r="C546" s="24" t="s">
        <v>398</v>
      </c>
      <c r="D546" s="24" t="s">
        <v>671</v>
      </c>
      <c r="E546" s="24" t="s">
        <v>675</v>
      </c>
      <c r="F546" s="27" t="s">
        <v>71</v>
      </c>
      <c r="G546" s="20">
        <f>' первое чтение вед стр-ра'!G95</f>
        <v>0</v>
      </c>
      <c r="H546" s="20">
        <f>' первое чтение вед стр-ра'!H95</f>
        <v>0</v>
      </c>
      <c r="I546" s="20">
        <f>' первое чтение вед стр-ра'!I95</f>
        <v>0</v>
      </c>
    </row>
    <row r="547" spans="1:9" s="197" customFormat="1" ht="51" x14ac:dyDescent="0.2">
      <c r="A547" s="18" t="s">
        <v>669</v>
      </c>
      <c r="B547" s="19" t="s">
        <v>411</v>
      </c>
      <c r="C547" s="19" t="s">
        <v>398</v>
      </c>
      <c r="D547" s="19" t="s">
        <v>671</v>
      </c>
      <c r="E547" s="19" t="s">
        <v>672</v>
      </c>
      <c r="F547" s="27"/>
      <c r="G547" s="20">
        <f>G548</f>
        <v>0</v>
      </c>
      <c r="H547" s="20">
        <f t="shared" ref="H547:I547" si="73">H548</f>
        <v>0</v>
      </c>
      <c r="I547" s="20">
        <f t="shared" si="73"/>
        <v>0</v>
      </c>
    </row>
    <row r="548" spans="1:9" s="197" customFormat="1" x14ac:dyDescent="0.2">
      <c r="A548" s="28" t="s">
        <v>70</v>
      </c>
      <c r="B548" s="24" t="s">
        <v>411</v>
      </c>
      <c r="C548" s="24" t="s">
        <v>398</v>
      </c>
      <c r="D548" s="24" t="s">
        <v>671</v>
      </c>
      <c r="E548" s="24" t="s">
        <v>672</v>
      </c>
      <c r="F548" s="27" t="s">
        <v>71</v>
      </c>
      <c r="G548" s="20">
        <f>' первое чтение вед стр-ра'!G97</f>
        <v>0</v>
      </c>
      <c r="H548" s="20">
        <f>' первое чтение вед стр-ра'!H97</f>
        <v>0</v>
      </c>
      <c r="I548" s="20">
        <f>' первое чтение вед стр-ра'!I97</f>
        <v>0</v>
      </c>
    </row>
    <row r="549" spans="1:9" s="197" customFormat="1" ht="51" x14ac:dyDescent="0.2">
      <c r="A549" s="18" t="s">
        <v>669</v>
      </c>
      <c r="B549" s="19" t="s">
        <v>411</v>
      </c>
      <c r="C549" s="19" t="s">
        <v>398</v>
      </c>
      <c r="D549" s="19" t="s">
        <v>671</v>
      </c>
      <c r="E549" s="19" t="s">
        <v>685</v>
      </c>
      <c r="F549" s="27"/>
      <c r="G549" s="20">
        <f>G550</f>
        <v>0</v>
      </c>
      <c r="H549" s="20">
        <f t="shared" ref="H549:I549" si="74">H550</f>
        <v>0</v>
      </c>
      <c r="I549" s="20">
        <f t="shared" si="74"/>
        <v>0</v>
      </c>
    </row>
    <row r="550" spans="1:9" s="197" customFormat="1" x14ac:dyDescent="0.2">
      <c r="A550" s="28" t="s">
        <v>70</v>
      </c>
      <c r="B550" s="24" t="s">
        <v>411</v>
      </c>
      <c r="C550" s="24" t="s">
        <v>398</v>
      </c>
      <c r="D550" s="24" t="s">
        <v>671</v>
      </c>
      <c r="E550" s="24" t="s">
        <v>685</v>
      </c>
      <c r="F550" s="27" t="s">
        <v>71</v>
      </c>
      <c r="G550" s="20">
        <f>' первое чтение вед стр-ра'!G99</f>
        <v>0</v>
      </c>
      <c r="H550" s="20">
        <f>' первое чтение вед стр-ра'!H99</f>
        <v>0</v>
      </c>
      <c r="I550" s="20">
        <f>' первое чтение вед стр-ра'!I99</f>
        <v>0</v>
      </c>
    </row>
    <row r="551" spans="1:9" ht="25.5" x14ac:dyDescent="0.2">
      <c r="A551" s="18" t="s">
        <v>156</v>
      </c>
      <c r="B551" s="19">
        <v>14</v>
      </c>
      <c r="C551" s="19">
        <v>0</v>
      </c>
      <c r="D551" s="19" t="s">
        <v>397</v>
      </c>
      <c r="E551" s="19" t="s">
        <v>410</v>
      </c>
      <c r="F551" s="19"/>
      <c r="G551" s="20">
        <f>G552</f>
        <v>203</v>
      </c>
      <c r="H551" s="20">
        <f>H552</f>
        <v>0</v>
      </c>
      <c r="I551" s="20">
        <f>I552</f>
        <v>0</v>
      </c>
    </row>
    <row r="552" spans="1:9" ht="25.5" x14ac:dyDescent="0.2">
      <c r="A552" s="30" t="s">
        <v>400</v>
      </c>
      <c r="B552" s="24">
        <v>14</v>
      </c>
      <c r="C552" s="24">
        <v>0</v>
      </c>
      <c r="D552" s="24" t="s">
        <v>397</v>
      </c>
      <c r="E552" s="24" t="s">
        <v>410</v>
      </c>
      <c r="F552" s="27" t="s">
        <v>66</v>
      </c>
      <c r="G552" s="25">
        <f>' первое чтение вед стр-ра'!G101</f>
        <v>203</v>
      </c>
      <c r="H552" s="25">
        <f>' первое чтение вед стр-ра'!H101</f>
        <v>0</v>
      </c>
      <c r="I552" s="25">
        <f>' первое чтение вед стр-ра'!I101</f>
        <v>0</v>
      </c>
    </row>
    <row r="553" spans="1:9" s="197" customFormat="1" ht="25.5" x14ac:dyDescent="0.2">
      <c r="A553" s="18" t="s">
        <v>624</v>
      </c>
      <c r="B553" s="24" t="s">
        <v>411</v>
      </c>
      <c r="C553" s="24" t="s">
        <v>398</v>
      </c>
      <c r="D553" s="24" t="s">
        <v>397</v>
      </c>
      <c r="E553" s="24" t="s">
        <v>626</v>
      </c>
      <c r="F553" s="27"/>
      <c r="G553" s="25">
        <f>G554</f>
        <v>452</v>
      </c>
      <c r="H553" s="25">
        <f t="shared" ref="H553:I553" si="75">H554</f>
        <v>0</v>
      </c>
      <c r="I553" s="25">
        <f t="shared" si="75"/>
        <v>0</v>
      </c>
    </row>
    <row r="554" spans="1:9" s="197" customFormat="1" x14ac:dyDescent="0.2">
      <c r="A554" s="30" t="s">
        <v>70</v>
      </c>
      <c r="B554" s="24" t="s">
        <v>411</v>
      </c>
      <c r="C554" s="24" t="s">
        <v>398</v>
      </c>
      <c r="D554" s="24" t="s">
        <v>397</v>
      </c>
      <c r="E554" s="24" t="s">
        <v>626</v>
      </c>
      <c r="F554" s="27" t="s">
        <v>71</v>
      </c>
      <c r="G554" s="25">
        <f>' первое чтение вед стр-ра'!G103</f>
        <v>452</v>
      </c>
      <c r="H554" s="25">
        <f>' первое чтение вед стр-ра'!H103</f>
        <v>0</v>
      </c>
      <c r="I554" s="25">
        <f>' первое чтение вед стр-ра'!I103</f>
        <v>0</v>
      </c>
    </row>
    <row r="555" spans="1:9" ht="38.25" x14ac:dyDescent="0.2">
      <c r="A555" s="39" t="s">
        <v>409</v>
      </c>
      <c r="B555" s="40" t="s">
        <v>408</v>
      </c>
      <c r="C555" s="40"/>
      <c r="D555" s="40"/>
      <c r="E555" s="40"/>
      <c r="F555" s="40"/>
      <c r="G555" s="38">
        <f>SUM(G556)+G561</f>
        <v>28664.50275</v>
      </c>
      <c r="H555" s="38">
        <f>SUM(H556)+H561</f>
        <v>29063.599999999999</v>
      </c>
      <c r="I555" s="38">
        <f>SUM(I556)+I561</f>
        <v>30278.899999999998</v>
      </c>
    </row>
    <row r="556" spans="1:9" s="73" customFormat="1" ht="25.5" x14ac:dyDescent="0.2">
      <c r="A556" s="69" t="s">
        <v>601</v>
      </c>
      <c r="B556" s="128">
        <v>15</v>
      </c>
      <c r="C556" s="71" t="s">
        <v>398</v>
      </c>
      <c r="D556" s="71" t="s">
        <v>407</v>
      </c>
      <c r="E556" s="71"/>
      <c r="F556" s="71"/>
      <c r="G556" s="72">
        <f>G557+G559</f>
        <v>27885.399999999998</v>
      </c>
      <c r="H556" s="72">
        <f t="shared" ref="H556:I556" si="76">H557+H559</f>
        <v>27943.8</v>
      </c>
      <c r="I556" s="72">
        <f t="shared" si="76"/>
        <v>29098.3</v>
      </c>
    </row>
    <row r="557" spans="1:9" ht="38.25" x14ac:dyDescent="0.2">
      <c r="A557" s="17" t="s">
        <v>758</v>
      </c>
      <c r="B557" s="126">
        <v>15</v>
      </c>
      <c r="C557" s="19" t="s">
        <v>398</v>
      </c>
      <c r="D557" s="71" t="s">
        <v>407</v>
      </c>
      <c r="E557" s="16" t="s">
        <v>759</v>
      </c>
      <c r="F557" s="19"/>
      <c r="G557" s="20">
        <f>SUM(G558:G558)</f>
        <v>14802.952249999998</v>
      </c>
      <c r="H557" s="20">
        <f>SUM(H558:H558)</f>
        <v>21277.1</v>
      </c>
      <c r="I557" s="20">
        <f>SUM(I558:I558)</f>
        <v>22431.599999999999</v>
      </c>
    </row>
    <row r="558" spans="1:9" ht="25.5" x14ac:dyDescent="0.2">
      <c r="A558" s="30" t="s">
        <v>400</v>
      </c>
      <c r="B558" s="127">
        <v>15</v>
      </c>
      <c r="C558" s="24" t="s">
        <v>398</v>
      </c>
      <c r="D558" s="71" t="s">
        <v>407</v>
      </c>
      <c r="E558" s="16" t="s">
        <v>759</v>
      </c>
      <c r="F558" s="24" t="s">
        <v>66</v>
      </c>
      <c r="G558" s="56">
        <f>' первое чтение вед стр-ра'!G627+' первое чтение вед стр-ра'!G661</f>
        <v>14802.952249999998</v>
      </c>
      <c r="H558" s="56">
        <f>' первое чтение вед стр-ра'!H627+' первое чтение вед стр-ра'!H661</f>
        <v>21277.1</v>
      </c>
      <c r="I558" s="56">
        <f>' первое чтение вед стр-ра'!I627+' первое чтение вед стр-ра'!I661</f>
        <v>22431.599999999999</v>
      </c>
    </row>
    <row r="559" spans="1:9" s="197" customFormat="1" ht="38.25" x14ac:dyDescent="0.2">
      <c r="A559" s="17" t="s">
        <v>761</v>
      </c>
      <c r="B559" s="126">
        <v>15</v>
      </c>
      <c r="C559" s="19" t="s">
        <v>398</v>
      </c>
      <c r="D559" s="71" t="s">
        <v>407</v>
      </c>
      <c r="E559" s="16" t="s">
        <v>762</v>
      </c>
      <c r="F559" s="19"/>
      <c r="G559" s="20">
        <f>SUM(G560:G560)</f>
        <v>13082.447749999999</v>
      </c>
      <c r="H559" s="20">
        <f>SUM(H560:H560)</f>
        <v>6666.7</v>
      </c>
      <c r="I559" s="20">
        <f>SUM(I560:I560)</f>
        <v>6666.7</v>
      </c>
    </row>
    <row r="560" spans="1:9" s="197" customFormat="1" ht="25.5" x14ac:dyDescent="0.2">
      <c r="A560" s="28" t="s">
        <v>130</v>
      </c>
      <c r="B560" s="127">
        <v>15</v>
      </c>
      <c r="C560" s="24" t="s">
        <v>398</v>
      </c>
      <c r="D560" s="71" t="s">
        <v>407</v>
      </c>
      <c r="E560" s="16" t="s">
        <v>762</v>
      </c>
      <c r="F560" s="24" t="s">
        <v>63</v>
      </c>
      <c r="G560" s="56">
        <f>' первое чтение вед стр-ра'!G663</f>
        <v>13082.447749999999</v>
      </c>
      <c r="H560" s="56">
        <f>' первое чтение вед стр-ра'!H663</f>
        <v>6666.7</v>
      </c>
      <c r="I560" s="56">
        <f>' первое чтение вед стр-ра'!I663</f>
        <v>6666.7</v>
      </c>
    </row>
    <row r="561" spans="1:9" ht="25.5" x14ac:dyDescent="0.2">
      <c r="A561" s="17" t="s">
        <v>359</v>
      </c>
      <c r="B561" s="126">
        <v>15</v>
      </c>
      <c r="C561" s="19" t="s">
        <v>398</v>
      </c>
      <c r="D561" s="19" t="s">
        <v>397</v>
      </c>
      <c r="E561" s="16" t="s">
        <v>406</v>
      </c>
      <c r="F561" s="19"/>
      <c r="G561" s="20">
        <f>G562</f>
        <v>779.10275000000001</v>
      </c>
      <c r="H561" s="20">
        <f>H562</f>
        <v>1119.8</v>
      </c>
      <c r="I561" s="20">
        <f>I562</f>
        <v>1180.5999999999999</v>
      </c>
    </row>
    <row r="562" spans="1:9" ht="25.5" x14ac:dyDescent="0.2">
      <c r="A562" s="30" t="s">
        <v>400</v>
      </c>
      <c r="B562" s="127">
        <v>15</v>
      </c>
      <c r="C562" s="24" t="s">
        <v>398</v>
      </c>
      <c r="D562" s="24" t="s">
        <v>397</v>
      </c>
      <c r="E562" s="16" t="s">
        <v>406</v>
      </c>
      <c r="F562" s="24" t="s">
        <v>66</v>
      </c>
      <c r="G562" s="25">
        <f>' первое чтение вед стр-ра'!G667+' первое чтение вед стр-ра'!G625</f>
        <v>779.10275000000001</v>
      </c>
      <c r="H562" s="25">
        <f>' первое чтение вед стр-ра'!H667+' первое чтение вед стр-ра'!H625</f>
        <v>1119.8</v>
      </c>
      <c r="I562" s="25">
        <f>' первое чтение вед стр-ра'!I667+' первое чтение вед стр-ра'!I625</f>
        <v>1180.5999999999999</v>
      </c>
    </row>
    <row r="563" spans="1:9" s="197" customFormat="1" ht="25.5" x14ac:dyDescent="0.2">
      <c r="A563" s="39" t="s">
        <v>714</v>
      </c>
      <c r="B563" s="40" t="s">
        <v>715</v>
      </c>
      <c r="C563" s="40"/>
      <c r="D563" s="40"/>
      <c r="E563" s="40"/>
      <c r="F563" s="40"/>
      <c r="G563" s="38">
        <f>SUM(G564,G566,G568,G570,G572,G574)</f>
        <v>250</v>
      </c>
      <c r="H563" s="38">
        <f t="shared" ref="H563:I563" si="77">SUM(H564,H566,H568,H570,H572,H574)</f>
        <v>0</v>
      </c>
      <c r="I563" s="38">
        <f t="shared" si="77"/>
        <v>0</v>
      </c>
    </row>
    <row r="564" spans="1:9" s="197" customFormat="1" ht="30.75" customHeight="1" x14ac:dyDescent="0.2">
      <c r="A564" s="18" t="s">
        <v>702</v>
      </c>
      <c r="B564" s="126">
        <v>16</v>
      </c>
      <c r="C564" s="24" t="s">
        <v>398</v>
      </c>
      <c r="D564" s="24" t="s">
        <v>397</v>
      </c>
      <c r="E564" s="19" t="s">
        <v>716</v>
      </c>
      <c r="F564" s="19"/>
      <c r="G564" s="20">
        <f>G565</f>
        <v>10</v>
      </c>
      <c r="H564" s="20">
        <f t="shared" ref="H564:I564" si="78">H565</f>
        <v>0</v>
      </c>
      <c r="I564" s="20">
        <f t="shared" si="78"/>
        <v>0</v>
      </c>
    </row>
    <row r="565" spans="1:9" s="26" customFormat="1" ht="30.75" customHeight="1" x14ac:dyDescent="0.2">
      <c r="A565" s="28" t="s">
        <v>130</v>
      </c>
      <c r="B565" s="127">
        <v>16</v>
      </c>
      <c r="C565" s="24" t="s">
        <v>398</v>
      </c>
      <c r="D565" s="24" t="s">
        <v>397</v>
      </c>
      <c r="E565" s="24" t="s">
        <v>716</v>
      </c>
      <c r="F565" s="24" t="s">
        <v>63</v>
      </c>
      <c r="G565" s="25">
        <f>' первое чтение вед стр-ра'!G414</f>
        <v>10</v>
      </c>
      <c r="H565" s="25">
        <f>' первое чтение вед стр-ра'!H414</f>
        <v>0</v>
      </c>
      <c r="I565" s="25">
        <f>' первое чтение вед стр-ра'!I414</f>
        <v>0</v>
      </c>
    </row>
    <row r="566" spans="1:9" s="197" customFormat="1" ht="30.75" customHeight="1" x14ac:dyDescent="0.2">
      <c r="A566" s="18" t="s">
        <v>705</v>
      </c>
      <c r="B566" s="126">
        <v>16</v>
      </c>
      <c r="C566" s="24" t="s">
        <v>398</v>
      </c>
      <c r="D566" s="24" t="s">
        <v>397</v>
      </c>
      <c r="E566" s="19" t="s">
        <v>717</v>
      </c>
      <c r="F566" s="19"/>
      <c r="G566" s="20">
        <f>G567</f>
        <v>10</v>
      </c>
      <c r="H566" s="20">
        <f t="shared" ref="H566:I566" si="79">H567</f>
        <v>0</v>
      </c>
      <c r="I566" s="20">
        <f t="shared" si="79"/>
        <v>0</v>
      </c>
    </row>
    <row r="567" spans="1:9" s="26" customFormat="1" ht="30.75" customHeight="1" x14ac:dyDescent="0.2">
      <c r="A567" s="28" t="s">
        <v>130</v>
      </c>
      <c r="B567" s="127">
        <v>16</v>
      </c>
      <c r="C567" s="24" t="s">
        <v>398</v>
      </c>
      <c r="D567" s="24" t="s">
        <v>397</v>
      </c>
      <c r="E567" s="24" t="s">
        <v>718</v>
      </c>
      <c r="F567" s="24" t="s">
        <v>63</v>
      </c>
      <c r="G567" s="25">
        <f>' первое чтение вед стр-ра'!G416</f>
        <v>10</v>
      </c>
      <c r="H567" s="25">
        <f>' первое чтение вед стр-ра'!H416</f>
        <v>0</v>
      </c>
      <c r="I567" s="25">
        <f>' первое чтение вед стр-ра'!I416</f>
        <v>0</v>
      </c>
    </row>
    <row r="568" spans="1:9" s="197" customFormat="1" ht="30.75" customHeight="1" x14ac:dyDescent="0.2">
      <c r="A568" s="18" t="s">
        <v>707</v>
      </c>
      <c r="B568" s="126">
        <v>16</v>
      </c>
      <c r="C568" s="24" t="s">
        <v>398</v>
      </c>
      <c r="D568" s="24" t="s">
        <v>397</v>
      </c>
      <c r="E568" s="19" t="s">
        <v>719</v>
      </c>
      <c r="F568" s="19"/>
      <c r="G568" s="20">
        <f>G569</f>
        <v>110</v>
      </c>
      <c r="H568" s="20">
        <f t="shared" ref="H568:I568" si="80">H569</f>
        <v>0</v>
      </c>
      <c r="I568" s="20">
        <f t="shared" si="80"/>
        <v>0</v>
      </c>
    </row>
    <row r="569" spans="1:9" s="26" customFormat="1" ht="30.75" customHeight="1" x14ac:dyDescent="0.2">
      <c r="A569" s="28" t="s">
        <v>130</v>
      </c>
      <c r="B569" s="127">
        <v>16</v>
      </c>
      <c r="C569" s="24" t="s">
        <v>398</v>
      </c>
      <c r="D569" s="24" t="s">
        <v>397</v>
      </c>
      <c r="E569" s="24" t="s">
        <v>719</v>
      </c>
      <c r="F569" s="24" t="s">
        <v>63</v>
      </c>
      <c r="G569" s="25">
        <f>' первое чтение вед стр-ра'!G418</f>
        <v>110</v>
      </c>
      <c r="H569" s="25">
        <f>' первое чтение вед стр-ра'!H418</f>
        <v>0</v>
      </c>
      <c r="I569" s="25">
        <f>' первое чтение вед стр-ра'!I418</f>
        <v>0</v>
      </c>
    </row>
    <row r="570" spans="1:9" s="197" customFormat="1" ht="30.75" customHeight="1" x14ac:dyDescent="0.2">
      <c r="A570" s="18" t="s">
        <v>709</v>
      </c>
      <c r="B570" s="126">
        <v>16</v>
      </c>
      <c r="C570" s="24" t="s">
        <v>398</v>
      </c>
      <c r="D570" s="24" t="s">
        <v>397</v>
      </c>
      <c r="E570" s="19" t="s">
        <v>720</v>
      </c>
      <c r="F570" s="19"/>
      <c r="G570" s="20">
        <f>G571</f>
        <v>106</v>
      </c>
      <c r="H570" s="20">
        <f t="shared" ref="H570:I570" si="81">H571</f>
        <v>0</v>
      </c>
      <c r="I570" s="20">
        <f t="shared" si="81"/>
        <v>0</v>
      </c>
    </row>
    <row r="571" spans="1:9" s="26" customFormat="1" ht="30.75" customHeight="1" x14ac:dyDescent="0.2">
      <c r="A571" s="28" t="s">
        <v>130</v>
      </c>
      <c r="B571" s="127">
        <v>16</v>
      </c>
      <c r="C571" s="24" t="s">
        <v>398</v>
      </c>
      <c r="D571" s="24" t="s">
        <v>397</v>
      </c>
      <c r="E571" s="24" t="s">
        <v>720</v>
      </c>
      <c r="F571" s="24" t="s">
        <v>63</v>
      </c>
      <c r="G571" s="25">
        <f>' первое чтение вед стр-ра'!G420</f>
        <v>106</v>
      </c>
      <c r="H571" s="25">
        <f>' первое чтение вед стр-ра'!H420</f>
        <v>0</v>
      </c>
      <c r="I571" s="25">
        <f>' первое чтение вед стр-ра'!I420</f>
        <v>0</v>
      </c>
    </row>
    <row r="572" spans="1:9" s="197" customFormat="1" ht="30.75" customHeight="1" x14ac:dyDescent="0.2">
      <c r="A572" s="18" t="s">
        <v>710</v>
      </c>
      <c r="B572" s="126">
        <v>16</v>
      </c>
      <c r="C572" s="24" t="s">
        <v>398</v>
      </c>
      <c r="D572" s="24" t="s">
        <v>397</v>
      </c>
      <c r="E572" s="19" t="s">
        <v>723</v>
      </c>
      <c r="F572" s="19"/>
      <c r="G572" s="20">
        <f>G573</f>
        <v>4</v>
      </c>
      <c r="H572" s="20">
        <f t="shared" ref="H572:I572" si="82">H573</f>
        <v>0</v>
      </c>
      <c r="I572" s="20">
        <f t="shared" si="82"/>
        <v>0</v>
      </c>
    </row>
    <row r="573" spans="1:9" s="26" customFormat="1" ht="30.75" customHeight="1" x14ac:dyDescent="0.2">
      <c r="A573" s="28" t="s">
        <v>130</v>
      </c>
      <c r="B573" s="127">
        <v>16</v>
      </c>
      <c r="C573" s="24" t="s">
        <v>398</v>
      </c>
      <c r="D573" s="24" t="s">
        <v>397</v>
      </c>
      <c r="E573" s="24" t="s">
        <v>721</v>
      </c>
      <c r="F573" s="24" t="s">
        <v>63</v>
      </c>
      <c r="G573" s="25">
        <f>' первое чтение вед стр-ра'!G422</f>
        <v>4</v>
      </c>
      <c r="H573" s="25">
        <f>' первое чтение вед стр-ра'!H422</f>
        <v>0</v>
      </c>
      <c r="I573" s="25">
        <f>' первое чтение вед стр-ра'!I422</f>
        <v>0</v>
      </c>
    </row>
    <row r="574" spans="1:9" s="197" customFormat="1" ht="30.75" customHeight="1" x14ac:dyDescent="0.2">
      <c r="A574" s="18" t="s">
        <v>713</v>
      </c>
      <c r="B574" s="126">
        <v>16</v>
      </c>
      <c r="C574" s="24" t="s">
        <v>398</v>
      </c>
      <c r="D574" s="24" t="s">
        <v>397</v>
      </c>
      <c r="E574" s="19" t="s">
        <v>722</v>
      </c>
      <c r="F574" s="19"/>
      <c r="G574" s="20">
        <f>G575</f>
        <v>10</v>
      </c>
      <c r="H574" s="20">
        <f t="shared" ref="H574:I574" si="83">H575</f>
        <v>0</v>
      </c>
      <c r="I574" s="20">
        <f t="shared" si="83"/>
        <v>0</v>
      </c>
    </row>
    <row r="575" spans="1:9" s="26" customFormat="1" ht="30.75" customHeight="1" x14ac:dyDescent="0.2">
      <c r="A575" s="28" t="s">
        <v>130</v>
      </c>
      <c r="B575" s="127">
        <v>16</v>
      </c>
      <c r="C575" s="24" t="s">
        <v>398</v>
      </c>
      <c r="D575" s="24" t="s">
        <v>397</v>
      </c>
      <c r="E575" s="24" t="s">
        <v>722</v>
      </c>
      <c r="F575" s="24" t="s">
        <v>63</v>
      </c>
      <c r="G575" s="25">
        <f>' первое чтение вед стр-ра'!G424</f>
        <v>10</v>
      </c>
      <c r="H575" s="25">
        <f>' первое чтение вед стр-ра'!H424</f>
        <v>0</v>
      </c>
      <c r="I575" s="25">
        <f>' первое чтение вед стр-ра'!I424</f>
        <v>0</v>
      </c>
    </row>
    <row r="576" spans="1:9" x14ac:dyDescent="0.2">
      <c r="A576" s="39" t="s">
        <v>405</v>
      </c>
      <c r="B576" s="40" t="s">
        <v>330</v>
      </c>
      <c r="C576" s="40"/>
      <c r="D576" s="40"/>
      <c r="E576" s="40"/>
      <c r="F576" s="40"/>
      <c r="G576" s="38">
        <f>SUM(G577,G580,G582,G584)+G588</f>
        <v>11612.699999999997</v>
      </c>
      <c r="H576" s="38">
        <f>SUM(H577,H580,H582,H584)+H588+H590</f>
        <v>37985.199999999997</v>
      </c>
      <c r="I576" s="38">
        <f>SUM(I577,I580,I582,I584)+I588+I590</f>
        <v>56427.399999999994</v>
      </c>
    </row>
    <row r="577" spans="1:9" ht="25.5" x14ac:dyDescent="0.2">
      <c r="A577" s="18" t="s">
        <v>209</v>
      </c>
      <c r="B577" s="19">
        <v>99</v>
      </c>
      <c r="C577" s="19">
        <v>0</v>
      </c>
      <c r="D577" s="19" t="s">
        <v>397</v>
      </c>
      <c r="E577" s="19" t="s">
        <v>404</v>
      </c>
      <c r="F577" s="19"/>
      <c r="G577" s="20">
        <f>G578+G579</f>
        <v>1895</v>
      </c>
      <c r="H577" s="20">
        <f t="shared" ref="H577:I577" si="84">H578+H579</f>
        <v>1895</v>
      </c>
      <c r="I577" s="20">
        <f t="shared" si="84"/>
        <v>1895</v>
      </c>
    </row>
    <row r="578" spans="1:9" ht="51" x14ac:dyDescent="0.2">
      <c r="A578" s="30" t="s">
        <v>64</v>
      </c>
      <c r="B578" s="24">
        <v>99</v>
      </c>
      <c r="C578" s="24">
        <v>0</v>
      </c>
      <c r="D578" s="24" t="s">
        <v>397</v>
      </c>
      <c r="E578" s="24" t="s">
        <v>404</v>
      </c>
      <c r="F578" s="27" t="s">
        <v>65</v>
      </c>
      <c r="G578" s="25">
        <f>' первое чтение вед стр-ра'!G250</f>
        <v>1880</v>
      </c>
      <c r="H578" s="25">
        <f>' первое чтение вед стр-ра'!H250</f>
        <v>1880</v>
      </c>
      <c r="I578" s="25">
        <f>' первое чтение вед стр-ра'!I250</f>
        <v>1880</v>
      </c>
    </row>
    <row r="579" spans="1:9" s="197" customFormat="1" ht="25.5" x14ac:dyDescent="0.2">
      <c r="A579" s="30" t="s">
        <v>400</v>
      </c>
      <c r="B579" s="24">
        <v>99</v>
      </c>
      <c r="C579" s="24">
        <v>0</v>
      </c>
      <c r="D579" s="24" t="s">
        <v>397</v>
      </c>
      <c r="E579" s="24" t="s">
        <v>404</v>
      </c>
      <c r="F579" s="27" t="s">
        <v>66</v>
      </c>
      <c r="G579" s="25">
        <f>' первое чтение вед стр-ра'!G251</f>
        <v>15</v>
      </c>
      <c r="H579" s="25">
        <f>' первое чтение вед стр-ра'!H251</f>
        <v>15</v>
      </c>
      <c r="I579" s="25">
        <f>' первое чтение вед стр-ра'!I251</f>
        <v>15</v>
      </c>
    </row>
    <row r="580" spans="1:9" x14ac:dyDescent="0.2">
      <c r="A580" s="18" t="s">
        <v>210</v>
      </c>
      <c r="B580" s="19">
        <v>99</v>
      </c>
      <c r="C580" s="19">
        <v>0</v>
      </c>
      <c r="D580" s="19" t="s">
        <v>397</v>
      </c>
      <c r="E580" s="19" t="s">
        <v>403</v>
      </c>
      <c r="F580" s="19"/>
      <c r="G580" s="20">
        <f>G581</f>
        <v>3116.7</v>
      </c>
      <c r="H580" s="20">
        <f>H581</f>
        <v>3116.7</v>
      </c>
      <c r="I580" s="20">
        <f>I581</f>
        <v>3116.7</v>
      </c>
    </row>
    <row r="581" spans="1:9" ht="51" x14ac:dyDescent="0.2">
      <c r="A581" s="30" t="s">
        <v>64</v>
      </c>
      <c r="B581" s="24">
        <v>99</v>
      </c>
      <c r="C581" s="24">
        <v>0</v>
      </c>
      <c r="D581" s="24" t="s">
        <v>397</v>
      </c>
      <c r="E581" s="24" t="s">
        <v>403</v>
      </c>
      <c r="F581" s="27" t="s">
        <v>65</v>
      </c>
      <c r="G581" s="25">
        <f>' первое чтение вед стр-ра'!G253</f>
        <v>3116.7</v>
      </c>
      <c r="H581" s="25">
        <f>' первое чтение вед стр-ра'!H253</f>
        <v>3116.7</v>
      </c>
      <c r="I581" s="25">
        <f>' первое чтение вед стр-ра'!I253</f>
        <v>3116.7</v>
      </c>
    </row>
    <row r="582" spans="1:9" x14ac:dyDescent="0.2">
      <c r="A582" s="18" t="s">
        <v>207</v>
      </c>
      <c r="B582" s="19">
        <v>99</v>
      </c>
      <c r="C582" s="19">
        <v>0</v>
      </c>
      <c r="D582" s="19" t="s">
        <v>397</v>
      </c>
      <c r="E582" s="19" t="s">
        <v>402</v>
      </c>
      <c r="F582" s="19"/>
      <c r="G582" s="20">
        <f>G583</f>
        <v>795.4</v>
      </c>
      <c r="H582" s="20">
        <f>H583</f>
        <v>795.4</v>
      </c>
      <c r="I582" s="20">
        <f>I583</f>
        <v>795.4</v>
      </c>
    </row>
    <row r="583" spans="1:9" ht="51" x14ac:dyDescent="0.2">
      <c r="A583" s="30" t="s">
        <v>64</v>
      </c>
      <c r="B583" s="24">
        <v>99</v>
      </c>
      <c r="C583" s="24">
        <v>0</v>
      </c>
      <c r="D583" s="24" t="s">
        <v>397</v>
      </c>
      <c r="E583" s="24" t="s">
        <v>402</v>
      </c>
      <c r="F583" s="27" t="s">
        <v>65</v>
      </c>
      <c r="G583" s="25">
        <f>' первое чтение вед стр-ра'!G241</f>
        <v>795.4</v>
      </c>
      <c r="H583" s="25">
        <f>' первое чтение вед стр-ра'!H241</f>
        <v>795.4</v>
      </c>
      <c r="I583" s="25">
        <f>' первое чтение вед стр-ра'!I241</f>
        <v>795.4</v>
      </c>
    </row>
    <row r="584" spans="1:9" x14ac:dyDescent="0.2">
      <c r="A584" s="18" t="s">
        <v>206</v>
      </c>
      <c r="B584" s="19">
        <v>99</v>
      </c>
      <c r="C584" s="19">
        <v>0</v>
      </c>
      <c r="D584" s="19" t="s">
        <v>397</v>
      </c>
      <c r="E584" s="19" t="s">
        <v>401</v>
      </c>
      <c r="F584" s="19"/>
      <c r="G584" s="20">
        <f>G585+G586+G587</f>
        <v>5788.7999999999993</v>
      </c>
      <c r="H584" s="20">
        <f>H585+H586+H587</f>
        <v>5788.7999999999993</v>
      </c>
      <c r="I584" s="20">
        <f>I585+I586+I587</f>
        <v>5788.7999999999993</v>
      </c>
    </row>
    <row r="585" spans="1:9" ht="51" x14ac:dyDescent="0.2">
      <c r="A585" s="30" t="s">
        <v>64</v>
      </c>
      <c r="B585" s="24">
        <v>99</v>
      </c>
      <c r="C585" s="24">
        <v>0</v>
      </c>
      <c r="D585" s="24" t="s">
        <v>397</v>
      </c>
      <c r="E585" s="24" t="s">
        <v>401</v>
      </c>
      <c r="F585" s="27" t="s">
        <v>65</v>
      </c>
      <c r="G585" s="25">
        <f>' первое чтение вед стр-ра'!G237+' первое чтение вед стр-ра'!G246</f>
        <v>4906</v>
      </c>
      <c r="H585" s="25">
        <f>' первое чтение вед стр-ра'!H237+' первое чтение вед стр-ра'!H246</f>
        <v>4906</v>
      </c>
      <c r="I585" s="25">
        <f>' первое чтение вед стр-ра'!I237+' первое чтение вед стр-ра'!I246</f>
        <v>4906</v>
      </c>
    </row>
    <row r="586" spans="1:9" ht="25.5" x14ac:dyDescent="0.2">
      <c r="A586" s="30" t="s">
        <v>400</v>
      </c>
      <c r="B586" s="24">
        <v>99</v>
      </c>
      <c r="C586" s="24">
        <v>0</v>
      </c>
      <c r="D586" s="24" t="s">
        <v>397</v>
      </c>
      <c r="E586" s="24" t="s">
        <v>401</v>
      </c>
      <c r="F586" s="27" t="s">
        <v>66</v>
      </c>
      <c r="G586" s="25">
        <f>' первое чтение вед стр-ра'!G238+' первое чтение вед стр-ра'!G247</f>
        <v>879.9</v>
      </c>
      <c r="H586" s="25">
        <f>' первое чтение вед стр-ра'!H238+' первое чтение вед стр-ра'!H247</f>
        <v>879.9</v>
      </c>
      <c r="I586" s="25">
        <f>' первое чтение вед стр-ра'!I238+' первое чтение вед стр-ра'!I247</f>
        <v>879.9</v>
      </c>
    </row>
    <row r="587" spans="1:9" x14ac:dyDescent="0.2">
      <c r="A587" s="28" t="s">
        <v>70</v>
      </c>
      <c r="B587" s="24">
        <v>99</v>
      </c>
      <c r="C587" s="24">
        <v>0</v>
      </c>
      <c r="D587" s="24" t="s">
        <v>397</v>
      </c>
      <c r="E587" s="24" t="s">
        <v>401</v>
      </c>
      <c r="F587" s="24" t="s">
        <v>71</v>
      </c>
      <c r="G587" s="25">
        <f>' первое чтение вед стр-ра'!G239+' первое чтение вед стр-ра'!G248</f>
        <v>2.9000000000000004</v>
      </c>
      <c r="H587" s="25">
        <f>' первое чтение вед стр-ра'!H239+' первое чтение вед стр-ра'!H248</f>
        <v>2.9000000000000004</v>
      </c>
      <c r="I587" s="25">
        <f>' первое чтение вед стр-ра'!I239+' первое чтение вед стр-ра'!I248</f>
        <v>2.9000000000000004</v>
      </c>
    </row>
    <row r="588" spans="1:9" ht="38.25" x14ac:dyDescent="0.2">
      <c r="A588" s="18" t="s">
        <v>333</v>
      </c>
      <c r="B588" s="19">
        <v>99</v>
      </c>
      <c r="C588" s="19">
        <v>0</v>
      </c>
      <c r="D588" s="19" t="s">
        <v>397</v>
      </c>
      <c r="E588" s="19" t="s">
        <v>399</v>
      </c>
      <c r="F588" s="19"/>
      <c r="G588" s="20">
        <f>G589</f>
        <v>16.8</v>
      </c>
      <c r="H588" s="20">
        <f>H589</f>
        <v>18</v>
      </c>
      <c r="I588" s="20">
        <f>I589</f>
        <v>144.6</v>
      </c>
    </row>
    <row r="589" spans="1:9" ht="25.5" x14ac:dyDescent="0.2">
      <c r="A589" s="30" t="s">
        <v>400</v>
      </c>
      <c r="B589" s="24">
        <v>99</v>
      </c>
      <c r="C589" s="24">
        <v>0</v>
      </c>
      <c r="D589" s="24" t="s">
        <v>397</v>
      </c>
      <c r="E589" s="24" t="s">
        <v>399</v>
      </c>
      <c r="F589" s="27" t="s">
        <v>66</v>
      </c>
      <c r="G589" s="25">
        <f>' первое чтение вед стр-ра'!G37</f>
        <v>16.8</v>
      </c>
      <c r="H589" s="25">
        <f>' первое чтение вед стр-ра'!H37</f>
        <v>18</v>
      </c>
      <c r="I589" s="25">
        <f>' первое чтение вед стр-ра'!I37</f>
        <v>144.6</v>
      </c>
    </row>
    <row r="590" spans="1:9" x14ac:dyDescent="0.2">
      <c r="A590" s="18" t="s">
        <v>329</v>
      </c>
      <c r="B590" s="126">
        <v>99</v>
      </c>
      <c r="C590" s="19" t="s">
        <v>398</v>
      </c>
      <c r="D590" s="19" t="s">
        <v>397</v>
      </c>
      <c r="E590" s="19" t="s">
        <v>396</v>
      </c>
      <c r="F590" s="19"/>
      <c r="G590" s="20"/>
      <c r="H590" s="20">
        <f t="shared" ref="H590:I592" si="85">H591</f>
        <v>26371.300000000003</v>
      </c>
      <c r="I590" s="20">
        <f t="shared" si="85"/>
        <v>44686.899999999994</v>
      </c>
    </row>
    <row r="591" spans="1:9" x14ac:dyDescent="0.2">
      <c r="A591" s="18" t="s">
        <v>329</v>
      </c>
      <c r="B591" s="126">
        <v>99</v>
      </c>
      <c r="C591" s="19" t="s">
        <v>398</v>
      </c>
      <c r="D591" s="19" t="s">
        <v>397</v>
      </c>
      <c r="E591" s="19" t="s">
        <v>396</v>
      </c>
      <c r="F591" s="19"/>
      <c r="G591" s="20"/>
      <c r="H591" s="20">
        <f t="shared" si="85"/>
        <v>26371.300000000003</v>
      </c>
      <c r="I591" s="20">
        <f t="shared" si="85"/>
        <v>44686.899999999994</v>
      </c>
    </row>
    <row r="592" spans="1:9" x14ac:dyDescent="0.2">
      <c r="A592" s="18" t="s">
        <v>329</v>
      </c>
      <c r="B592" s="126">
        <v>99</v>
      </c>
      <c r="C592" s="19" t="s">
        <v>398</v>
      </c>
      <c r="D592" s="19" t="s">
        <v>397</v>
      </c>
      <c r="E592" s="19" t="s">
        <v>396</v>
      </c>
      <c r="F592" s="19"/>
      <c r="G592" s="20"/>
      <c r="H592" s="20">
        <f t="shared" si="85"/>
        <v>26371.300000000003</v>
      </c>
      <c r="I592" s="20">
        <f t="shared" si="85"/>
        <v>44686.899999999994</v>
      </c>
    </row>
    <row r="593" spans="1:16" s="26" customFormat="1" x14ac:dyDescent="0.2">
      <c r="A593" s="28" t="s">
        <v>329</v>
      </c>
      <c r="B593" s="126">
        <v>99</v>
      </c>
      <c r="C593" s="19" t="s">
        <v>398</v>
      </c>
      <c r="D593" s="19" t="s">
        <v>397</v>
      </c>
      <c r="E593" s="19" t="s">
        <v>396</v>
      </c>
      <c r="F593" s="24" t="s">
        <v>71</v>
      </c>
      <c r="G593" s="25"/>
      <c r="H593" s="25">
        <f>' первое чтение вед стр-ра'!H162</f>
        <v>26371.300000000003</v>
      </c>
      <c r="I593" s="25">
        <f>' первое чтение вед стр-ра'!I162</f>
        <v>44686.899999999994</v>
      </c>
      <c r="K593" s="21"/>
      <c r="L593" s="21"/>
      <c r="M593" s="21"/>
      <c r="N593" s="21"/>
      <c r="O593" s="21"/>
      <c r="P593" s="21"/>
    </row>
    <row r="594" spans="1:16" ht="15.75" x14ac:dyDescent="0.25">
      <c r="A594" s="125" t="s">
        <v>395</v>
      </c>
      <c r="B594" s="124"/>
      <c r="C594" s="123"/>
      <c r="D594" s="124"/>
      <c r="E594" s="123"/>
      <c r="F594" s="123"/>
      <c r="G594" s="122">
        <f>SUM(G537,G576,G502,G466,G442,G310,G286,G156,G104,G77,G53,G13,G543,G540)+G555+G563</f>
        <v>3165965.8269000002</v>
      </c>
      <c r="H594" s="122">
        <f>SUM(H537,H576,H502,H466,H442,H310,H286,H156,H104,H77,H53,H13,H543,H540)+H555+H563</f>
        <v>2695005.7460000007</v>
      </c>
      <c r="I594" s="122">
        <f>SUM(I537,I576,I502,I466,I442,I310,I286,I156,I104,I77,I53,I13,I543,I540)+I555+I563</f>
        <v>2920920.5320000006</v>
      </c>
    </row>
    <row r="595" spans="1:16" ht="12" customHeight="1" x14ac:dyDescent="0.2">
      <c r="B595" s="171"/>
      <c r="C595" s="21"/>
      <c r="D595" s="171"/>
      <c r="E595" s="21"/>
      <c r="F595" s="21"/>
      <c r="G595" s="172"/>
      <c r="H595" s="172"/>
      <c r="I595" s="172"/>
    </row>
    <row r="596" spans="1:16" x14ac:dyDescent="0.2">
      <c r="B596" s="171"/>
      <c r="C596" s="21"/>
      <c r="D596" s="171"/>
      <c r="E596" s="21"/>
      <c r="F596" s="21"/>
      <c r="G596" s="172"/>
      <c r="H596" s="172"/>
      <c r="I596" s="172"/>
    </row>
    <row r="597" spans="1:16" x14ac:dyDescent="0.2">
      <c r="B597" s="171"/>
      <c r="C597" s="21"/>
      <c r="D597" s="171"/>
      <c r="E597" s="21"/>
      <c r="F597" s="21"/>
      <c r="G597" s="172"/>
      <c r="H597" s="172"/>
      <c r="I597" s="172"/>
    </row>
    <row r="598" spans="1:16" s="197" customFormat="1" ht="24" customHeight="1" x14ac:dyDescent="0.2">
      <c r="A598" s="116" t="s">
        <v>62</v>
      </c>
      <c r="B598" s="226"/>
      <c r="C598" s="226"/>
      <c r="D598" s="226"/>
      <c r="E598" s="226"/>
      <c r="F598" s="115"/>
      <c r="G598" s="117"/>
      <c r="H598" s="117"/>
      <c r="I598" s="118" t="s">
        <v>686</v>
      </c>
    </row>
    <row r="599" spans="1:16" ht="3.75" customHeight="1" x14ac:dyDescent="0.2">
      <c r="B599" s="171"/>
      <c r="C599" s="21"/>
      <c r="D599" s="171"/>
      <c r="E599" s="21"/>
      <c r="F599" s="21"/>
      <c r="G599" s="21"/>
    </row>
    <row r="600" spans="1:16" x14ac:dyDescent="0.2">
      <c r="B600" s="171"/>
      <c r="C600" s="21"/>
      <c r="D600" s="171"/>
      <c r="E600" s="21"/>
      <c r="F600" s="21"/>
      <c r="G600" s="173">
        <f>G594-' первое чтение вед стр-ра'!G699</f>
        <v>0</v>
      </c>
      <c r="H600" s="173">
        <f>H594-' первое чтение вед стр-ра'!H699</f>
        <v>0</v>
      </c>
      <c r="I600" s="173">
        <f>I594-' первое чтение вед стр-ра'!I699</f>
        <v>0</v>
      </c>
    </row>
    <row r="601" spans="1:16" x14ac:dyDescent="0.2">
      <c r="B601" s="171"/>
      <c r="C601" s="21"/>
      <c r="D601" s="171"/>
      <c r="E601" s="21"/>
      <c r="F601" s="21"/>
      <c r="G601" s="172"/>
      <c r="H601" s="172"/>
      <c r="I601" s="172"/>
    </row>
    <row r="602" spans="1:16" x14ac:dyDescent="0.2">
      <c r="B602" s="171"/>
      <c r="C602" s="21"/>
      <c r="D602" s="171"/>
      <c r="E602" s="21"/>
      <c r="F602" s="21"/>
      <c r="G602" s="172"/>
      <c r="H602" s="172"/>
      <c r="I602" s="172"/>
    </row>
    <row r="603" spans="1:16" x14ac:dyDescent="0.2">
      <c r="B603" s="171"/>
      <c r="C603" s="21"/>
      <c r="D603" s="171"/>
      <c r="E603" s="21"/>
      <c r="F603" s="21"/>
      <c r="G603" s="21"/>
    </row>
    <row r="604" spans="1:16" x14ac:dyDescent="0.2">
      <c r="B604" s="171"/>
      <c r="C604" s="21"/>
      <c r="D604" s="171"/>
      <c r="E604" s="21"/>
      <c r="F604" s="21"/>
      <c r="G604" s="172"/>
      <c r="H604" s="172"/>
      <c r="I604" s="172"/>
    </row>
    <row r="605" spans="1:16" x14ac:dyDescent="0.2">
      <c r="B605" s="171"/>
      <c r="C605" s="21"/>
      <c r="D605" s="171"/>
      <c r="E605" s="21"/>
      <c r="F605" s="21"/>
      <c r="G605" s="21"/>
    </row>
    <row r="606" spans="1:16" x14ac:dyDescent="0.2">
      <c r="B606" s="171"/>
      <c r="C606" s="21"/>
      <c r="D606" s="171"/>
      <c r="E606" s="21"/>
      <c r="F606" s="21"/>
      <c r="G606" s="172"/>
      <c r="H606" s="172"/>
      <c r="I606" s="172"/>
    </row>
    <row r="607" spans="1:16" x14ac:dyDescent="0.2">
      <c r="B607" s="171"/>
      <c r="C607" s="21"/>
      <c r="D607" s="171"/>
      <c r="E607" s="21"/>
      <c r="F607" s="21"/>
      <c r="G607" s="21"/>
    </row>
    <row r="608" spans="1:16" x14ac:dyDescent="0.2">
      <c r="B608" s="171"/>
      <c r="C608" s="21"/>
      <c r="D608" s="171"/>
      <c r="E608" s="21"/>
      <c r="F608" s="21"/>
      <c r="G608" s="21"/>
    </row>
    <row r="609" spans="2:7" x14ac:dyDescent="0.2">
      <c r="B609" s="171"/>
      <c r="C609" s="21"/>
      <c r="D609" s="171"/>
      <c r="E609" s="21"/>
      <c r="F609" s="21"/>
      <c r="G609" s="21"/>
    </row>
    <row r="610" spans="2:7" x14ac:dyDescent="0.2">
      <c r="B610" s="171"/>
      <c r="C610" s="21"/>
      <c r="D610" s="171"/>
      <c r="E610" s="21"/>
      <c r="F610" s="21"/>
      <c r="G610" s="21"/>
    </row>
    <row r="611" spans="2:7" x14ac:dyDescent="0.2">
      <c r="B611" s="171"/>
      <c r="C611" s="21"/>
      <c r="D611" s="171"/>
      <c r="E611" s="21"/>
      <c r="F611" s="21"/>
      <c r="G611" s="21"/>
    </row>
    <row r="612" spans="2:7" x14ac:dyDescent="0.2">
      <c r="B612" s="171"/>
      <c r="C612" s="21"/>
      <c r="D612" s="171"/>
      <c r="E612" s="21"/>
      <c r="F612" s="21"/>
      <c r="G612" s="21"/>
    </row>
    <row r="613" spans="2:7" x14ac:dyDescent="0.2">
      <c r="B613" s="171"/>
      <c r="C613" s="21"/>
      <c r="D613" s="171"/>
      <c r="E613" s="21"/>
      <c r="F613" s="21"/>
      <c r="G613" s="21"/>
    </row>
    <row r="614" spans="2:7" x14ac:dyDescent="0.2">
      <c r="B614" s="171"/>
      <c r="C614" s="21"/>
      <c r="D614" s="171"/>
      <c r="E614" s="21"/>
      <c r="F614" s="21"/>
      <c r="G614" s="21"/>
    </row>
    <row r="615" spans="2:7" x14ac:dyDescent="0.2">
      <c r="B615" s="171"/>
      <c r="C615" s="21"/>
      <c r="D615" s="171"/>
      <c r="E615" s="21"/>
      <c r="F615" s="21"/>
      <c r="G615" s="21"/>
    </row>
    <row r="616" spans="2:7" x14ac:dyDescent="0.2">
      <c r="B616" s="171"/>
      <c r="C616" s="21"/>
      <c r="D616" s="171"/>
      <c r="E616" s="21"/>
      <c r="F616" s="21"/>
      <c r="G616" s="21"/>
    </row>
    <row r="617" spans="2:7" x14ac:dyDescent="0.2">
      <c r="B617" s="171"/>
      <c r="C617" s="21"/>
      <c r="D617" s="171"/>
      <c r="E617" s="21"/>
      <c r="F617" s="21"/>
      <c r="G617" s="21"/>
    </row>
    <row r="618" spans="2:7" x14ac:dyDescent="0.2">
      <c r="B618" s="171"/>
      <c r="C618" s="21"/>
      <c r="D618" s="171"/>
      <c r="E618" s="21"/>
      <c r="F618" s="21"/>
      <c r="G618" s="21"/>
    </row>
    <row r="619" spans="2:7" x14ac:dyDescent="0.2">
      <c r="B619" s="171"/>
      <c r="C619" s="21"/>
      <c r="D619" s="171"/>
      <c r="E619" s="21"/>
      <c r="F619" s="21"/>
      <c r="G619" s="21"/>
    </row>
    <row r="620" spans="2:7" x14ac:dyDescent="0.2">
      <c r="B620" s="171"/>
      <c r="C620" s="21"/>
      <c r="D620" s="171"/>
      <c r="E620" s="21"/>
      <c r="F620" s="21"/>
      <c r="G620" s="21"/>
    </row>
    <row r="621" spans="2:7" x14ac:dyDescent="0.2">
      <c r="B621" s="171"/>
      <c r="C621" s="21"/>
      <c r="D621" s="171"/>
      <c r="E621" s="21"/>
      <c r="F621" s="21"/>
      <c r="G621" s="21"/>
    </row>
    <row r="622" spans="2:7" x14ac:dyDescent="0.2">
      <c r="B622" s="171"/>
      <c r="C622" s="21"/>
      <c r="D622" s="171"/>
      <c r="E622" s="21"/>
      <c r="F622" s="21"/>
      <c r="G622" s="21"/>
    </row>
    <row r="623" spans="2:7" x14ac:dyDescent="0.2">
      <c r="B623" s="171"/>
      <c r="C623" s="21"/>
      <c r="D623" s="171"/>
      <c r="E623" s="21"/>
      <c r="F623" s="21"/>
      <c r="G623" s="21"/>
    </row>
    <row r="624" spans="2:7" x14ac:dyDescent="0.2">
      <c r="B624" s="171"/>
      <c r="C624" s="21"/>
      <c r="D624" s="171"/>
      <c r="E624" s="21"/>
      <c r="F624" s="21"/>
      <c r="G624" s="21"/>
    </row>
    <row r="625" spans="2:7" x14ac:dyDescent="0.2">
      <c r="B625" s="171"/>
      <c r="C625" s="21"/>
      <c r="D625" s="171"/>
      <c r="E625" s="21"/>
      <c r="F625" s="21"/>
      <c r="G625" s="21"/>
    </row>
    <row r="626" spans="2:7" x14ac:dyDescent="0.2">
      <c r="B626" s="171"/>
      <c r="C626" s="21"/>
      <c r="D626" s="171"/>
      <c r="E626" s="21"/>
      <c r="F626" s="21"/>
      <c r="G626" s="21"/>
    </row>
    <row r="627" spans="2:7" x14ac:dyDescent="0.2">
      <c r="B627" s="171"/>
      <c r="C627" s="21"/>
      <c r="D627" s="171"/>
      <c r="E627" s="21"/>
      <c r="F627" s="21"/>
      <c r="G627" s="21"/>
    </row>
    <row r="628" spans="2:7" x14ac:dyDescent="0.2">
      <c r="B628" s="171"/>
      <c r="C628" s="21"/>
      <c r="D628" s="171"/>
      <c r="E628" s="21"/>
      <c r="F628" s="21"/>
      <c r="G628" s="21"/>
    </row>
    <row r="629" spans="2:7" x14ac:dyDescent="0.2">
      <c r="B629" s="171"/>
      <c r="C629" s="21"/>
      <c r="D629" s="171"/>
      <c r="E629" s="21"/>
      <c r="F629" s="21"/>
      <c r="G629" s="21"/>
    </row>
    <row r="630" spans="2:7" x14ac:dyDescent="0.2">
      <c r="B630" s="171"/>
      <c r="C630" s="21"/>
      <c r="D630" s="171"/>
      <c r="E630" s="21"/>
      <c r="F630" s="21"/>
      <c r="G630" s="21"/>
    </row>
    <row r="631" spans="2:7" x14ac:dyDescent="0.2">
      <c r="B631" s="171"/>
      <c r="C631" s="21"/>
      <c r="D631" s="171"/>
      <c r="E631" s="21"/>
      <c r="F631" s="21"/>
      <c r="G631" s="21"/>
    </row>
    <row r="632" spans="2:7" x14ac:dyDescent="0.2">
      <c r="B632" s="171"/>
      <c r="C632" s="21"/>
      <c r="D632" s="171"/>
      <c r="E632" s="21"/>
      <c r="F632" s="21"/>
      <c r="G632" s="21"/>
    </row>
    <row r="633" spans="2:7" x14ac:dyDescent="0.2">
      <c r="B633" s="171"/>
      <c r="C633" s="21"/>
      <c r="D633" s="171"/>
      <c r="E633" s="21"/>
      <c r="F633" s="21"/>
      <c r="G633" s="21"/>
    </row>
    <row r="634" spans="2:7" x14ac:dyDescent="0.2">
      <c r="B634" s="171"/>
      <c r="C634" s="21"/>
      <c r="D634" s="171"/>
      <c r="E634" s="21"/>
      <c r="F634" s="21"/>
      <c r="G634" s="21"/>
    </row>
    <row r="635" spans="2:7" x14ac:dyDescent="0.2">
      <c r="B635" s="171"/>
      <c r="C635" s="21"/>
      <c r="D635" s="171"/>
      <c r="E635" s="21"/>
      <c r="F635" s="21"/>
      <c r="G635" s="21"/>
    </row>
    <row r="636" spans="2:7" x14ac:dyDescent="0.2">
      <c r="B636" s="171"/>
      <c r="C636" s="21"/>
      <c r="D636" s="171"/>
      <c r="E636" s="21"/>
      <c r="F636" s="21"/>
      <c r="G636" s="21"/>
    </row>
    <row r="637" spans="2:7" x14ac:dyDescent="0.2">
      <c r="B637" s="171"/>
      <c r="C637" s="21"/>
      <c r="D637" s="171"/>
      <c r="E637" s="21"/>
      <c r="F637" s="21"/>
      <c r="G637" s="21"/>
    </row>
    <row r="638" spans="2:7" x14ac:dyDescent="0.2">
      <c r="B638" s="171"/>
      <c r="C638" s="21"/>
      <c r="D638" s="171"/>
      <c r="E638" s="21"/>
      <c r="F638" s="21"/>
      <c r="G638" s="21"/>
    </row>
  </sheetData>
  <mergeCells count="8">
    <mergeCell ref="A7:I7"/>
    <mergeCell ref="A9:I9"/>
    <mergeCell ref="A10:G10"/>
    <mergeCell ref="A1:I1"/>
    <mergeCell ref="A2:I2"/>
    <mergeCell ref="A3:I3"/>
    <mergeCell ref="A5:I5"/>
    <mergeCell ref="A6:I6"/>
  </mergeCells>
  <pageMargins left="0.78740157480314965" right="0.39370078740157483" top="0.59055118110236227" bottom="0.78740157480314965" header="0.31496062992125984" footer="0.31496062992125984"/>
  <pageSetup paperSize="9" scale="62" fitToHeight="100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3"/>
  <sheetViews>
    <sheetView zoomScaleNormal="100" workbookViewId="0">
      <selection activeCell="A10" sqref="A10:F10"/>
    </sheetView>
  </sheetViews>
  <sheetFormatPr defaultRowHeight="12.75" x14ac:dyDescent="0.2"/>
  <cols>
    <col min="1" max="1" width="61.140625" style="197" customWidth="1"/>
    <col min="2" max="2" width="4.85546875" style="198" customWidth="1"/>
    <col min="3" max="3" width="6.140625" style="198" customWidth="1"/>
    <col min="4" max="4" width="16.85546875" style="198" customWidth="1"/>
    <col min="5" max="5" width="5.85546875" style="198" customWidth="1"/>
    <col min="6" max="6" width="16.7109375" style="198" customWidth="1"/>
    <col min="7" max="7" width="14.85546875" style="198" customWidth="1"/>
    <col min="8" max="8" width="16.85546875" style="198" customWidth="1"/>
    <col min="9" max="16384" width="9.140625" style="197"/>
  </cols>
  <sheetData>
    <row r="1" spans="1:8" ht="14.25" customHeight="1" x14ac:dyDescent="0.3">
      <c r="A1" s="259" t="s">
        <v>582</v>
      </c>
      <c r="B1" s="259" t="s">
        <v>583</v>
      </c>
      <c r="C1" s="259" t="s">
        <v>583</v>
      </c>
      <c r="D1" s="259" t="s">
        <v>583</v>
      </c>
      <c r="E1" s="259" t="s">
        <v>583</v>
      </c>
      <c r="F1" s="259" t="s">
        <v>583</v>
      </c>
      <c r="G1" s="259" t="s">
        <v>583</v>
      </c>
      <c r="H1" s="259" t="s">
        <v>583</v>
      </c>
    </row>
    <row r="2" spans="1:8" ht="14.25" customHeight="1" x14ac:dyDescent="0.3">
      <c r="A2" s="259" t="s">
        <v>76</v>
      </c>
      <c r="B2" s="259" t="s">
        <v>76</v>
      </c>
      <c r="C2" s="259" t="s">
        <v>76</v>
      </c>
      <c r="D2" s="259" t="s">
        <v>76</v>
      </c>
      <c r="E2" s="259" t="s">
        <v>76</v>
      </c>
      <c r="F2" s="259" t="s">
        <v>76</v>
      </c>
      <c r="G2" s="259" t="s">
        <v>76</v>
      </c>
      <c r="H2" s="259" t="s">
        <v>76</v>
      </c>
    </row>
    <row r="3" spans="1:8" ht="14.25" customHeight="1" x14ac:dyDescent="0.3">
      <c r="A3" s="259" t="s">
        <v>777</v>
      </c>
      <c r="B3" s="259" t="s">
        <v>584</v>
      </c>
      <c r="C3" s="259" t="s">
        <v>584</v>
      </c>
      <c r="D3" s="259" t="s">
        <v>584</v>
      </c>
      <c r="E3" s="259" t="s">
        <v>584</v>
      </c>
      <c r="F3" s="259" t="s">
        <v>584</v>
      </c>
      <c r="G3" s="259" t="s">
        <v>584</v>
      </c>
      <c r="H3" s="259" t="s">
        <v>584</v>
      </c>
    </row>
    <row r="5" spans="1:8" x14ac:dyDescent="0.2">
      <c r="A5" s="265" t="s">
        <v>394</v>
      </c>
      <c r="B5" s="265" t="s">
        <v>583</v>
      </c>
      <c r="C5" s="265" t="s">
        <v>583</v>
      </c>
      <c r="D5" s="265" t="s">
        <v>583</v>
      </c>
      <c r="E5" s="265" t="s">
        <v>583</v>
      </c>
      <c r="F5" s="265" t="s">
        <v>583</v>
      </c>
      <c r="G5" s="265" t="s">
        <v>583</v>
      </c>
      <c r="H5" s="265" t="s">
        <v>583</v>
      </c>
    </row>
    <row r="6" spans="1:8" x14ac:dyDescent="0.2">
      <c r="A6" s="265" t="s">
        <v>76</v>
      </c>
      <c r="B6" s="265" t="s">
        <v>76</v>
      </c>
      <c r="C6" s="265" t="s">
        <v>76</v>
      </c>
      <c r="D6" s="265" t="s">
        <v>76</v>
      </c>
      <c r="E6" s="265" t="s">
        <v>76</v>
      </c>
      <c r="F6" s="265" t="s">
        <v>76</v>
      </c>
      <c r="G6" s="265" t="s">
        <v>76</v>
      </c>
      <c r="H6" s="265" t="s">
        <v>76</v>
      </c>
    </row>
    <row r="7" spans="1:8" x14ac:dyDescent="0.2">
      <c r="A7" s="265" t="s">
        <v>776</v>
      </c>
      <c r="B7" s="265"/>
      <c r="C7" s="265"/>
      <c r="D7" s="265"/>
      <c r="E7" s="265"/>
      <c r="F7" s="265"/>
      <c r="G7" s="265"/>
      <c r="H7" s="265"/>
    </row>
    <row r="8" spans="1:8" x14ac:dyDescent="0.2">
      <c r="A8" s="185"/>
      <c r="B8" s="185"/>
      <c r="C8" s="185"/>
      <c r="D8" s="185"/>
      <c r="E8" s="186"/>
      <c r="F8" s="185"/>
      <c r="G8" s="185"/>
      <c r="H8" s="185"/>
    </row>
    <row r="9" spans="1:8" s="163" customFormat="1" ht="75" customHeight="1" x14ac:dyDescent="0.2">
      <c r="A9" s="270" t="s">
        <v>780</v>
      </c>
      <c r="B9" s="270"/>
      <c r="C9" s="270"/>
      <c r="D9" s="270"/>
      <c r="E9" s="270"/>
      <c r="F9" s="270"/>
      <c r="G9" s="270"/>
      <c r="H9" s="270"/>
    </row>
    <row r="10" spans="1:8" s="163" customFormat="1" ht="9.75" customHeight="1" x14ac:dyDescent="0.2">
      <c r="A10" s="270"/>
      <c r="B10" s="270"/>
      <c r="C10" s="270"/>
      <c r="D10" s="270"/>
      <c r="E10" s="270"/>
      <c r="F10" s="270"/>
    </row>
    <row r="11" spans="1:8" s="164" customFormat="1" ht="12" thickBot="1" x14ac:dyDescent="0.25">
      <c r="A11" s="272"/>
      <c r="B11" s="272"/>
      <c r="C11" s="272"/>
      <c r="D11" s="272"/>
      <c r="E11" s="272"/>
      <c r="F11" s="272"/>
      <c r="H11" s="187" t="s">
        <v>60</v>
      </c>
    </row>
    <row r="12" spans="1:8" ht="42.75" x14ac:dyDescent="0.2">
      <c r="A12" s="188"/>
      <c r="B12" s="189" t="s">
        <v>6</v>
      </c>
      <c r="C12" s="189" t="s">
        <v>585</v>
      </c>
      <c r="D12" s="189" t="s">
        <v>8</v>
      </c>
      <c r="E12" s="189" t="s">
        <v>9</v>
      </c>
      <c r="F12" s="190" t="s">
        <v>328</v>
      </c>
      <c r="G12" s="190" t="s">
        <v>360</v>
      </c>
      <c r="H12" s="190" t="s">
        <v>688</v>
      </c>
    </row>
    <row r="13" spans="1:8" s="178" customFormat="1" ht="12" x14ac:dyDescent="0.2">
      <c r="A13" s="175">
        <v>1</v>
      </c>
      <c r="B13" s="176">
        <v>2</v>
      </c>
      <c r="C13" s="176">
        <v>3</v>
      </c>
      <c r="D13" s="176">
        <v>4</v>
      </c>
      <c r="E13" s="176">
        <v>5</v>
      </c>
      <c r="F13" s="177">
        <v>6</v>
      </c>
      <c r="G13" s="177">
        <v>7</v>
      </c>
      <c r="H13" s="177">
        <v>8</v>
      </c>
    </row>
    <row r="14" spans="1:8" s="138" customFormat="1" ht="15.75" x14ac:dyDescent="0.25">
      <c r="A14" s="125" t="s">
        <v>58</v>
      </c>
      <c r="B14" s="124" t="s">
        <v>10</v>
      </c>
      <c r="C14" s="124" t="s">
        <v>397</v>
      </c>
      <c r="D14" s="124"/>
      <c r="E14" s="124"/>
      <c r="F14" s="179">
        <f>F15+F18+F28+F47+F54+F57+F44</f>
        <v>135530</v>
      </c>
      <c r="G14" s="179">
        <f>G15+G18+G28+G47+G54+G57+G44</f>
        <v>106589.1</v>
      </c>
      <c r="H14" s="179">
        <f>H15+H18+H28+H47+H54+H57+H44</f>
        <v>104456.9</v>
      </c>
    </row>
    <row r="15" spans="1:8" s="68" customFormat="1" ht="25.5" x14ac:dyDescent="0.2">
      <c r="A15" s="64" t="s">
        <v>11</v>
      </c>
      <c r="B15" s="66" t="s">
        <v>10</v>
      </c>
      <c r="C15" s="66" t="s">
        <v>12</v>
      </c>
      <c r="D15" s="66"/>
      <c r="E15" s="66"/>
      <c r="F15" s="67">
        <f t="shared" ref="F15:H16" si="0">F16</f>
        <v>2391.9</v>
      </c>
      <c r="G15" s="67">
        <f t="shared" si="0"/>
        <v>2191.9</v>
      </c>
      <c r="H15" s="67">
        <f t="shared" si="0"/>
        <v>2191.9</v>
      </c>
    </row>
    <row r="16" spans="1:8" s="73" customFormat="1" ht="25.5" x14ac:dyDescent="0.2">
      <c r="A16" s="69" t="s">
        <v>311</v>
      </c>
      <c r="B16" s="71" t="s">
        <v>10</v>
      </c>
      <c r="C16" s="71" t="s">
        <v>12</v>
      </c>
      <c r="D16" s="71" t="s">
        <v>131</v>
      </c>
      <c r="E16" s="71"/>
      <c r="F16" s="72">
        <f>F17</f>
        <v>2391.9</v>
      </c>
      <c r="G16" s="72">
        <f t="shared" si="0"/>
        <v>2191.9</v>
      </c>
      <c r="H16" s="72">
        <f t="shared" si="0"/>
        <v>2191.9</v>
      </c>
    </row>
    <row r="17" spans="1:8" s="78" customFormat="1" ht="51" x14ac:dyDescent="0.2">
      <c r="A17" s="74" t="s">
        <v>64</v>
      </c>
      <c r="B17" s="76" t="s">
        <v>10</v>
      </c>
      <c r="C17" s="76" t="s">
        <v>12</v>
      </c>
      <c r="D17" s="76" t="s">
        <v>131</v>
      </c>
      <c r="E17" s="77" t="s">
        <v>65</v>
      </c>
      <c r="F17" s="56">
        <f>' первое чтение вед стр-ра'!G18</f>
        <v>2391.9</v>
      </c>
      <c r="G17" s="56">
        <f>' первое чтение вед стр-ра'!H18</f>
        <v>2191.9</v>
      </c>
      <c r="H17" s="56">
        <f>' первое чтение вед стр-ра'!I18</f>
        <v>2191.9</v>
      </c>
    </row>
    <row r="18" spans="1:8" s="26" customFormat="1" ht="38.25" x14ac:dyDescent="0.2">
      <c r="A18" s="11" t="s">
        <v>13</v>
      </c>
      <c r="B18" s="8" t="s">
        <v>10</v>
      </c>
      <c r="C18" s="8" t="s">
        <v>14</v>
      </c>
      <c r="D18" s="8"/>
      <c r="E18" s="8"/>
      <c r="F18" s="4">
        <f>SUM(F19,F23,F26)</f>
        <v>8549.9</v>
      </c>
      <c r="G18" s="4">
        <f t="shared" ref="G18:H18" si="1">SUM(G19,G23,G26)</f>
        <v>8549.9</v>
      </c>
      <c r="H18" s="4">
        <f t="shared" si="1"/>
        <v>8549.9</v>
      </c>
    </row>
    <row r="19" spans="1:8" s="21" customFormat="1" x14ac:dyDescent="0.2">
      <c r="A19" s="18" t="s">
        <v>206</v>
      </c>
      <c r="B19" s="19" t="s">
        <v>10</v>
      </c>
      <c r="C19" s="19" t="s">
        <v>14</v>
      </c>
      <c r="D19" s="19" t="s">
        <v>205</v>
      </c>
      <c r="E19" s="19"/>
      <c r="F19" s="20">
        <f>F20+F21+F22</f>
        <v>3538.2</v>
      </c>
      <c r="G19" s="20">
        <f>G20+G21+G22</f>
        <v>3538.2</v>
      </c>
      <c r="H19" s="20">
        <f>H20+H21+H22</f>
        <v>3538.2</v>
      </c>
    </row>
    <row r="20" spans="1:8" s="26" customFormat="1" ht="51" x14ac:dyDescent="0.2">
      <c r="A20" s="30" t="s">
        <v>64</v>
      </c>
      <c r="B20" s="24" t="s">
        <v>10</v>
      </c>
      <c r="C20" s="24" t="s">
        <v>14</v>
      </c>
      <c r="D20" s="24" t="s">
        <v>205</v>
      </c>
      <c r="E20" s="27" t="s">
        <v>65</v>
      </c>
      <c r="F20" s="25">
        <f>' первое чтение вед стр-ра'!G246</f>
        <v>3115.7</v>
      </c>
      <c r="G20" s="25">
        <f>' первое чтение вед стр-ра'!H246</f>
        <v>3115.7</v>
      </c>
      <c r="H20" s="25">
        <f>' первое чтение вед стр-ра'!I246</f>
        <v>3115.7</v>
      </c>
    </row>
    <row r="21" spans="1:8" s="9" customFormat="1" ht="25.5" x14ac:dyDescent="0.2">
      <c r="A21" s="28" t="s">
        <v>74</v>
      </c>
      <c r="B21" s="24" t="s">
        <v>10</v>
      </c>
      <c r="C21" s="24" t="s">
        <v>14</v>
      </c>
      <c r="D21" s="24" t="s">
        <v>205</v>
      </c>
      <c r="E21" s="27" t="s">
        <v>66</v>
      </c>
      <c r="F21" s="25">
        <f>' первое чтение вед стр-ра'!G247</f>
        <v>420.4</v>
      </c>
      <c r="G21" s="25">
        <f>' первое чтение вед стр-ра'!H247</f>
        <v>420.4</v>
      </c>
      <c r="H21" s="25">
        <f>' первое чтение вед стр-ра'!I247</f>
        <v>420.4</v>
      </c>
    </row>
    <row r="22" spans="1:8" s="21" customFormat="1" x14ac:dyDescent="0.2">
      <c r="A22" s="28" t="s">
        <v>70</v>
      </c>
      <c r="B22" s="24" t="s">
        <v>10</v>
      </c>
      <c r="C22" s="24" t="s">
        <v>14</v>
      </c>
      <c r="D22" s="24" t="s">
        <v>205</v>
      </c>
      <c r="E22" s="24" t="s">
        <v>71</v>
      </c>
      <c r="F22" s="25">
        <f>' первое чтение вед стр-ра'!G248</f>
        <v>2.1</v>
      </c>
      <c r="G22" s="25">
        <f>' первое чтение вед стр-ра'!H248</f>
        <v>2.1</v>
      </c>
      <c r="H22" s="25">
        <f>' первое чтение вед стр-ра'!I248</f>
        <v>2.1</v>
      </c>
    </row>
    <row r="23" spans="1:8" s="26" customFormat="1" ht="25.5" x14ac:dyDescent="0.2">
      <c r="A23" s="18" t="s">
        <v>209</v>
      </c>
      <c r="B23" s="19" t="s">
        <v>10</v>
      </c>
      <c r="C23" s="19" t="s">
        <v>14</v>
      </c>
      <c r="D23" s="19" t="s">
        <v>211</v>
      </c>
      <c r="E23" s="19"/>
      <c r="F23" s="20">
        <f>F24+F25</f>
        <v>1895</v>
      </c>
      <c r="G23" s="20">
        <f t="shared" ref="G23:H23" si="2">G24+G25</f>
        <v>1895</v>
      </c>
      <c r="H23" s="20">
        <f t="shared" si="2"/>
        <v>1895</v>
      </c>
    </row>
    <row r="24" spans="1:8" s="12" customFormat="1" ht="51" x14ac:dyDescent="0.2">
      <c r="A24" s="30" t="s">
        <v>64</v>
      </c>
      <c r="B24" s="24" t="s">
        <v>10</v>
      </c>
      <c r="C24" s="24" t="s">
        <v>14</v>
      </c>
      <c r="D24" s="24" t="s">
        <v>211</v>
      </c>
      <c r="E24" s="27" t="s">
        <v>65</v>
      </c>
      <c r="F24" s="25">
        <f>' первое чтение вед стр-ра'!G250</f>
        <v>1880</v>
      </c>
      <c r="G24" s="25">
        <f>' первое чтение вед стр-ра'!H250</f>
        <v>1880</v>
      </c>
      <c r="H24" s="25">
        <f>' первое чтение вед стр-ра'!I250</f>
        <v>1880</v>
      </c>
    </row>
    <row r="25" spans="1:8" s="12" customFormat="1" ht="25.5" x14ac:dyDescent="0.2">
      <c r="A25" s="28" t="s">
        <v>74</v>
      </c>
      <c r="B25" s="24" t="s">
        <v>10</v>
      </c>
      <c r="C25" s="24" t="s">
        <v>14</v>
      </c>
      <c r="D25" s="24" t="s">
        <v>211</v>
      </c>
      <c r="E25" s="27" t="s">
        <v>66</v>
      </c>
      <c r="F25" s="25">
        <f>' первое чтение вед стр-ра'!G251</f>
        <v>15</v>
      </c>
      <c r="G25" s="25">
        <f>' первое чтение вед стр-ра'!H251</f>
        <v>15</v>
      </c>
      <c r="H25" s="25">
        <f>' первое чтение вед стр-ра'!I251</f>
        <v>15</v>
      </c>
    </row>
    <row r="26" spans="1:8" s="114" customFormat="1" x14ac:dyDescent="0.2">
      <c r="A26" s="18" t="s">
        <v>210</v>
      </c>
      <c r="B26" s="19" t="s">
        <v>10</v>
      </c>
      <c r="C26" s="19" t="s">
        <v>14</v>
      </c>
      <c r="D26" s="19" t="s">
        <v>212</v>
      </c>
      <c r="E26" s="19"/>
      <c r="F26" s="20">
        <f>F27</f>
        <v>3116.7</v>
      </c>
      <c r="G26" s="20">
        <f>G27</f>
        <v>3116.7</v>
      </c>
      <c r="H26" s="20">
        <f>H27</f>
        <v>3116.7</v>
      </c>
    </row>
    <row r="27" spans="1:8" s="21" customFormat="1" ht="51" x14ac:dyDescent="0.2">
      <c r="A27" s="30" t="s">
        <v>64</v>
      </c>
      <c r="B27" s="24" t="s">
        <v>10</v>
      </c>
      <c r="C27" s="24" t="s">
        <v>14</v>
      </c>
      <c r="D27" s="24" t="s">
        <v>212</v>
      </c>
      <c r="E27" s="27" t="s">
        <v>65</v>
      </c>
      <c r="F27" s="25">
        <f>' первое чтение вед стр-ра'!G253</f>
        <v>3116.7</v>
      </c>
      <c r="G27" s="25">
        <f>' первое чтение вед стр-ра'!H253</f>
        <v>3116.7</v>
      </c>
      <c r="H27" s="25">
        <f>' первое чтение вед стр-ра'!I253</f>
        <v>3116.7</v>
      </c>
    </row>
    <row r="28" spans="1:8" s="218" customFormat="1" ht="38.25" x14ac:dyDescent="0.2">
      <c r="A28" s="64" t="s">
        <v>15</v>
      </c>
      <c r="B28" s="66" t="s">
        <v>10</v>
      </c>
      <c r="C28" s="66" t="s">
        <v>16</v>
      </c>
      <c r="D28" s="66"/>
      <c r="E28" s="66"/>
      <c r="F28" s="224">
        <f>SUM(F29,F32,F35,F41)+F39</f>
        <v>61030.399999999994</v>
      </c>
      <c r="G28" s="224">
        <f>SUM(G29,G32,G35,G41)+G39</f>
        <v>44237.7</v>
      </c>
      <c r="H28" s="224">
        <f>SUM(H29,H32,H35,H41)+H39</f>
        <v>42994.299999999996</v>
      </c>
    </row>
    <row r="29" spans="1:8" s="21" customFormat="1" ht="25.5" x14ac:dyDescent="0.2">
      <c r="A29" s="18" t="s">
        <v>132</v>
      </c>
      <c r="B29" s="19" t="s">
        <v>10</v>
      </c>
      <c r="C29" s="19" t="s">
        <v>16</v>
      </c>
      <c r="D29" s="19" t="s">
        <v>85</v>
      </c>
      <c r="E29" s="19"/>
      <c r="F29" s="20">
        <f>F30+F31</f>
        <v>486.20000000000005</v>
      </c>
      <c r="G29" s="20">
        <f>G30+G31</f>
        <v>486.20000000000005</v>
      </c>
      <c r="H29" s="20">
        <f>H30+H31</f>
        <v>486.20000000000005</v>
      </c>
    </row>
    <row r="30" spans="1:8" s="26" customFormat="1" ht="51" x14ac:dyDescent="0.2">
      <c r="A30" s="30" t="s">
        <v>64</v>
      </c>
      <c r="B30" s="24" t="s">
        <v>10</v>
      </c>
      <c r="C30" s="24" t="s">
        <v>16</v>
      </c>
      <c r="D30" s="24" t="s">
        <v>85</v>
      </c>
      <c r="E30" s="27" t="s">
        <v>65</v>
      </c>
      <c r="F30" s="25">
        <f>' первое чтение вед стр-ра'!G21</f>
        <v>457.1</v>
      </c>
      <c r="G30" s="25">
        <f>' первое чтение вед стр-ра'!H21</f>
        <v>457.1</v>
      </c>
      <c r="H30" s="25">
        <f>' первое чтение вед стр-ра'!I21</f>
        <v>457.1</v>
      </c>
    </row>
    <row r="31" spans="1:8" s="21" customFormat="1" ht="25.5" x14ac:dyDescent="0.2">
      <c r="A31" s="28" t="s">
        <v>74</v>
      </c>
      <c r="B31" s="24" t="s">
        <v>10</v>
      </c>
      <c r="C31" s="24" t="s">
        <v>16</v>
      </c>
      <c r="D31" s="24" t="s">
        <v>85</v>
      </c>
      <c r="E31" s="27" t="s">
        <v>66</v>
      </c>
      <c r="F31" s="25">
        <f>' первое чтение вед стр-ра'!G22</f>
        <v>29.1</v>
      </c>
      <c r="G31" s="25">
        <f>' первое чтение вед стр-ра'!H22</f>
        <v>29.1</v>
      </c>
      <c r="H31" s="25">
        <f>' первое чтение вед стр-ра'!I22</f>
        <v>29.1</v>
      </c>
    </row>
    <row r="32" spans="1:8" s="78" customFormat="1" x14ac:dyDescent="0.2">
      <c r="A32" s="69" t="s">
        <v>133</v>
      </c>
      <c r="B32" s="71" t="s">
        <v>10</v>
      </c>
      <c r="C32" s="71" t="s">
        <v>16</v>
      </c>
      <c r="D32" s="71" t="s">
        <v>84</v>
      </c>
      <c r="E32" s="71"/>
      <c r="F32" s="72">
        <f>F33+F34</f>
        <v>115.00000000000001</v>
      </c>
      <c r="G32" s="72">
        <f>G33+G34</f>
        <v>115.00000000000001</v>
      </c>
      <c r="H32" s="72">
        <f>H33+H34</f>
        <v>115.00000000000001</v>
      </c>
    </row>
    <row r="33" spans="1:8" s="78" customFormat="1" ht="51" x14ac:dyDescent="0.2">
      <c r="A33" s="74" t="s">
        <v>64</v>
      </c>
      <c r="B33" s="76" t="s">
        <v>10</v>
      </c>
      <c r="C33" s="76" t="s">
        <v>16</v>
      </c>
      <c r="D33" s="76" t="s">
        <v>84</v>
      </c>
      <c r="E33" s="77" t="s">
        <v>65</v>
      </c>
      <c r="F33" s="56">
        <f>' первое чтение вед стр-ра'!G24</f>
        <v>113.10000000000001</v>
      </c>
      <c r="G33" s="56">
        <f>' первое чтение вед стр-ра'!H24</f>
        <v>113.10000000000001</v>
      </c>
      <c r="H33" s="56">
        <f>' первое чтение вед стр-ра'!I24</f>
        <v>113.10000000000001</v>
      </c>
    </row>
    <row r="34" spans="1:8" s="78" customFormat="1" ht="25.5" x14ac:dyDescent="0.2">
      <c r="A34" s="79" t="s">
        <v>125</v>
      </c>
      <c r="B34" s="76" t="s">
        <v>10</v>
      </c>
      <c r="C34" s="76" t="s">
        <v>16</v>
      </c>
      <c r="D34" s="76" t="s">
        <v>84</v>
      </c>
      <c r="E34" s="77" t="s">
        <v>66</v>
      </c>
      <c r="F34" s="56">
        <f>' первое чтение вед стр-ра'!G25</f>
        <v>1.9</v>
      </c>
      <c r="G34" s="56">
        <f>' первое чтение вед стр-ра'!H25</f>
        <v>1.9</v>
      </c>
      <c r="H34" s="56">
        <f>' первое чтение вед стр-ра'!I25</f>
        <v>1.9</v>
      </c>
    </row>
    <row r="35" spans="1:8" s="138" customFormat="1" ht="26.25" x14ac:dyDescent="0.25">
      <c r="A35" s="18" t="s">
        <v>311</v>
      </c>
      <c r="B35" s="19" t="s">
        <v>10</v>
      </c>
      <c r="C35" s="19" t="s">
        <v>16</v>
      </c>
      <c r="D35" s="19" t="s">
        <v>134</v>
      </c>
      <c r="E35" s="19"/>
      <c r="F35" s="20">
        <f>SUM(F36:F38)</f>
        <v>57730.2</v>
      </c>
      <c r="G35" s="20">
        <f>SUM(G36:G38)</f>
        <v>42554.5</v>
      </c>
      <c r="H35" s="20">
        <f>SUM(H36:H38)</f>
        <v>41311.1</v>
      </c>
    </row>
    <row r="36" spans="1:8" s="68" customFormat="1" ht="51" x14ac:dyDescent="0.2">
      <c r="A36" s="74" t="s">
        <v>64</v>
      </c>
      <c r="B36" s="76" t="s">
        <v>10</v>
      </c>
      <c r="C36" s="76" t="s">
        <v>16</v>
      </c>
      <c r="D36" s="76" t="s">
        <v>134</v>
      </c>
      <c r="E36" s="77" t="s">
        <v>65</v>
      </c>
      <c r="F36" s="56">
        <f>' первое чтение вед стр-ра'!G27</f>
        <v>40010.5</v>
      </c>
      <c r="G36" s="56">
        <f>' первое чтение вед стр-ра'!H27</f>
        <v>39222.6</v>
      </c>
      <c r="H36" s="56">
        <f>' первое чтение вед стр-ра'!I27</f>
        <v>39222.6</v>
      </c>
    </row>
    <row r="37" spans="1:8" s="21" customFormat="1" ht="25.5" x14ac:dyDescent="0.2">
      <c r="A37" s="28" t="s">
        <v>74</v>
      </c>
      <c r="B37" s="24" t="s">
        <v>10</v>
      </c>
      <c r="C37" s="24" t="s">
        <v>16</v>
      </c>
      <c r="D37" s="24" t="s">
        <v>134</v>
      </c>
      <c r="E37" s="27" t="s">
        <v>66</v>
      </c>
      <c r="F37" s="56">
        <f>' первое чтение вед стр-ра'!G28</f>
        <v>17494.7</v>
      </c>
      <c r="G37" s="56">
        <f>' первое чтение вед стр-ра'!H28</f>
        <v>3289.9000000000005</v>
      </c>
      <c r="H37" s="56">
        <f>' первое чтение вед стр-ра'!I28</f>
        <v>2046.4999999999998</v>
      </c>
    </row>
    <row r="38" spans="1:8" s="26" customFormat="1" x14ac:dyDescent="0.2">
      <c r="A38" s="28" t="s">
        <v>70</v>
      </c>
      <c r="B38" s="24" t="s">
        <v>10</v>
      </c>
      <c r="C38" s="24" t="s">
        <v>16</v>
      </c>
      <c r="D38" s="24" t="s">
        <v>134</v>
      </c>
      <c r="E38" s="24" t="s">
        <v>71</v>
      </c>
      <c r="F38" s="56">
        <f>' первое чтение вед стр-ра'!G29</f>
        <v>225</v>
      </c>
      <c r="G38" s="56">
        <f>' первое чтение вед стр-ра'!H29</f>
        <v>42</v>
      </c>
      <c r="H38" s="56">
        <f>' первое чтение вед стр-ра'!I29</f>
        <v>42</v>
      </c>
    </row>
    <row r="39" spans="1:8" s="73" customFormat="1" ht="25.5" x14ac:dyDescent="0.2">
      <c r="A39" s="83" t="s">
        <v>152</v>
      </c>
      <c r="B39" s="71" t="s">
        <v>10</v>
      </c>
      <c r="C39" s="71" t="s">
        <v>16</v>
      </c>
      <c r="D39" s="71" t="s">
        <v>151</v>
      </c>
      <c r="E39" s="84"/>
      <c r="F39" s="85">
        <f>F40</f>
        <v>300</v>
      </c>
      <c r="G39" s="85">
        <f>G40</f>
        <v>0</v>
      </c>
      <c r="H39" s="85">
        <f>H40</f>
        <v>0</v>
      </c>
    </row>
    <row r="40" spans="1:8" s="73" customFormat="1" ht="25.5" x14ac:dyDescent="0.2">
      <c r="A40" s="28" t="s">
        <v>74</v>
      </c>
      <c r="B40" s="76" t="s">
        <v>10</v>
      </c>
      <c r="C40" s="76" t="s">
        <v>16</v>
      </c>
      <c r="D40" s="76" t="s">
        <v>151</v>
      </c>
      <c r="E40" s="76" t="s">
        <v>66</v>
      </c>
      <c r="F40" s="56">
        <f>' первое чтение вед стр-ра'!G31</f>
        <v>300</v>
      </c>
      <c r="G40" s="56">
        <f>' первое чтение вед стр-ра'!H31</f>
        <v>0</v>
      </c>
      <c r="H40" s="56">
        <f>' первое чтение вед стр-ра'!I31</f>
        <v>0</v>
      </c>
    </row>
    <row r="41" spans="1:8" s="148" customFormat="1" ht="25.5" x14ac:dyDescent="0.2">
      <c r="A41" s="18" t="s">
        <v>311</v>
      </c>
      <c r="B41" s="19" t="s">
        <v>10</v>
      </c>
      <c r="C41" s="19" t="s">
        <v>16</v>
      </c>
      <c r="D41" s="19" t="s">
        <v>135</v>
      </c>
      <c r="E41" s="19"/>
      <c r="F41" s="20">
        <f>F42+F43</f>
        <v>2399.0000000000005</v>
      </c>
      <c r="G41" s="20">
        <f>G42+G43</f>
        <v>1082.0000000000002</v>
      </c>
      <c r="H41" s="20">
        <f>H42+H43</f>
        <v>1082.0000000000002</v>
      </c>
    </row>
    <row r="42" spans="1:8" s="9" customFormat="1" ht="51" x14ac:dyDescent="0.2">
      <c r="A42" s="30" t="s">
        <v>64</v>
      </c>
      <c r="B42" s="24" t="s">
        <v>10</v>
      </c>
      <c r="C42" s="24" t="s">
        <v>16</v>
      </c>
      <c r="D42" s="19" t="s">
        <v>135</v>
      </c>
      <c r="E42" s="27" t="s">
        <v>65</v>
      </c>
      <c r="F42" s="25">
        <f>' первое чтение вед стр-ра'!G33</f>
        <v>2277.4000000000005</v>
      </c>
      <c r="G42" s="25">
        <f>' первое чтение вед стр-ра'!H33</f>
        <v>1082.0000000000002</v>
      </c>
      <c r="H42" s="25">
        <f>' первое чтение вед стр-ра'!I33</f>
        <v>1082.0000000000002</v>
      </c>
    </row>
    <row r="43" spans="1:8" s="73" customFormat="1" ht="25.5" x14ac:dyDescent="0.2">
      <c r="A43" s="81" t="s">
        <v>74</v>
      </c>
      <c r="B43" s="76" t="s">
        <v>10</v>
      </c>
      <c r="C43" s="76" t="s">
        <v>16</v>
      </c>
      <c r="D43" s="71" t="s">
        <v>135</v>
      </c>
      <c r="E43" s="77" t="s">
        <v>66</v>
      </c>
      <c r="F43" s="25">
        <f>' первое чтение вед стр-ра'!G34</f>
        <v>121.60000000000005</v>
      </c>
      <c r="G43" s="25">
        <f>' первое чтение вед стр-ра'!H34</f>
        <v>0</v>
      </c>
      <c r="H43" s="25">
        <f>' первое чтение вед стр-ра'!I34</f>
        <v>0</v>
      </c>
    </row>
    <row r="44" spans="1:8" s="9" customFormat="1" x14ac:dyDescent="0.2">
      <c r="A44" s="11" t="s">
        <v>332</v>
      </c>
      <c r="B44" s="8" t="s">
        <v>10</v>
      </c>
      <c r="C44" s="8" t="s">
        <v>29</v>
      </c>
      <c r="D44" s="8"/>
      <c r="E44" s="8"/>
      <c r="F44" s="4">
        <f>F45</f>
        <v>16.8</v>
      </c>
      <c r="G44" s="4">
        <f t="shared" ref="G44:H45" si="3">G45</f>
        <v>18</v>
      </c>
      <c r="H44" s="4">
        <f t="shared" si="3"/>
        <v>144.6</v>
      </c>
    </row>
    <row r="45" spans="1:8" s="21" customFormat="1" ht="45.75" customHeight="1" x14ac:dyDescent="0.2">
      <c r="A45" s="18" t="s">
        <v>333</v>
      </c>
      <c r="B45" s="19" t="s">
        <v>10</v>
      </c>
      <c r="C45" s="19" t="s">
        <v>29</v>
      </c>
      <c r="D45" s="19" t="s">
        <v>354</v>
      </c>
      <c r="E45" s="19"/>
      <c r="F45" s="20">
        <f>F46</f>
        <v>16.8</v>
      </c>
      <c r="G45" s="20">
        <f t="shared" si="3"/>
        <v>18</v>
      </c>
      <c r="H45" s="20">
        <f t="shared" si="3"/>
        <v>144.6</v>
      </c>
    </row>
    <row r="46" spans="1:8" s="26" customFormat="1" ht="25.5" x14ac:dyDescent="0.2">
      <c r="A46" s="23" t="s">
        <v>125</v>
      </c>
      <c r="B46" s="24" t="s">
        <v>10</v>
      </c>
      <c r="C46" s="24" t="s">
        <v>29</v>
      </c>
      <c r="D46" s="24" t="s">
        <v>354</v>
      </c>
      <c r="E46" s="27" t="s">
        <v>66</v>
      </c>
      <c r="F46" s="25">
        <f>' первое чтение вед стр-ра'!G37</f>
        <v>16.8</v>
      </c>
      <c r="G46" s="25">
        <f>' первое чтение вед стр-ра'!H37</f>
        <v>18</v>
      </c>
      <c r="H46" s="25">
        <f>' первое чтение вед стр-ра'!I37</f>
        <v>144.6</v>
      </c>
    </row>
    <row r="47" spans="1:8" s="148" customFormat="1" ht="38.25" x14ac:dyDescent="0.2">
      <c r="A47" s="11" t="s">
        <v>79</v>
      </c>
      <c r="B47" s="8" t="s">
        <v>10</v>
      </c>
      <c r="C47" s="8" t="s">
        <v>48</v>
      </c>
      <c r="D47" s="8"/>
      <c r="E47" s="8"/>
      <c r="F47" s="4">
        <f>F48+F52</f>
        <v>3046.0000000000005</v>
      </c>
      <c r="G47" s="4">
        <f>G48+G52</f>
        <v>3046.0000000000005</v>
      </c>
      <c r="H47" s="4">
        <f>H48+H52</f>
        <v>3046.0000000000005</v>
      </c>
    </row>
    <row r="48" spans="1:8" s="9" customFormat="1" x14ac:dyDescent="0.2">
      <c r="A48" s="18" t="s">
        <v>206</v>
      </c>
      <c r="B48" s="19" t="s">
        <v>10</v>
      </c>
      <c r="C48" s="19" t="s">
        <v>48</v>
      </c>
      <c r="D48" s="19" t="s">
        <v>205</v>
      </c>
      <c r="E48" s="19"/>
      <c r="F48" s="20">
        <f>+F49+F50+F51</f>
        <v>2250.6000000000004</v>
      </c>
      <c r="G48" s="20">
        <f>+G49+G50+G51</f>
        <v>2250.6000000000004</v>
      </c>
      <c r="H48" s="20">
        <f>+H49+H50+H51</f>
        <v>2250.6000000000004</v>
      </c>
    </row>
    <row r="49" spans="1:8" s="21" customFormat="1" ht="51" x14ac:dyDescent="0.2">
      <c r="A49" s="30" t="s">
        <v>64</v>
      </c>
      <c r="B49" s="24" t="s">
        <v>10</v>
      </c>
      <c r="C49" s="24" t="s">
        <v>48</v>
      </c>
      <c r="D49" s="24" t="s">
        <v>205</v>
      </c>
      <c r="E49" s="27" t="s">
        <v>65</v>
      </c>
      <c r="F49" s="25">
        <f>' первое чтение вед стр-ра'!G237</f>
        <v>1790.3000000000002</v>
      </c>
      <c r="G49" s="25">
        <f>' первое чтение вед стр-ра'!H237</f>
        <v>1790.3000000000002</v>
      </c>
      <c r="H49" s="25">
        <f>' первое чтение вед стр-ра'!I237</f>
        <v>1790.3000000000002</v>
      </c>
    </row>
    <row r="50" spans="1:8" s="21" customFormat="1" ht="25.5" x14ac:dyDescent="0.2">
      <c r="A50" s="28" t="s">
        <v>74</v>
      </c>
      <c r="B50" s="24" t="s">
        <v>10</v>
      </c>
      <c r="C50" s="24" t="s">
        <v>48</v>
      </c>
      <c r="D50" s="24" t="s">
        <v>205</v>
      </c>
      <c r="E50" s="27" t="s">
        <v>66</v>
      </c>
      <c r="F50" s="25">
        <f>' первое чтение вед стр-ра'!G238</f>
        <v>459.5</v>
      </c>
      <c r="G50" s="25">
        <f>' первое чтение вед стр-ра'!H238</f>
        <v>459.5</v>
      </c>
      <c r="H50" s="25">
        <f>' первое чтение вед стр-ра'!I238</f>
        <v>459.5</v>
      </c>
    </row>
    <row r="51" spans="1:8" s="26" customFormat="1" x14ac:dyDescent="0.2">
      <c r="A51" s="28" t="s">
        <v>70</v>
      </c>
      <c r="B51" s="24" t="s">
        <v>10</v>
      </c>
      <c r="C51" s="24" t="s">
        <v>48</v>
      </c>
      <c r="D51" s="24" t="s">
        <v>205</v>
      </c>
      <c r="E51" s="24" t="s">
        <v>71</v>
      </c>
      <c r="F51" s="25">
        <f>' первое чтение вед стр-ра'!G239</f>
        <v>0.8</v>
      </c>
      <c r="G51" s="25">
        <f>' первое чтение вед стр-ра'!H239</f>
        <v>0.8</v>
      </c>
      <c r="H51" s="25">
        <f>' первое чтение вед стр-ра'!I239</f>
        <v>0.8</v>
      </c>
    </row>
    <row r="52" spans="1:8" s="21" customFormat="1" x14ac:dyDescent="0.2">
      <c r="A52" s="18" t="s">
        <v>207</v>
      </c>
      <c r="B52" s="19" t="s">
        <v>10</v>
      </c>
      <c r="C52" s="19" t="s">
        <v>48</v>
      </c>
      <c r="D52" s="19" t="s">
        <v>208</v>
      </c>
      <c r="E52" s="19"/>
      <c r="F52" s="20">
        <f>F53</f>
        <v>795.4</v>
      </c>
      <c r="G52" s="20">
        <f>G53</f>
        <v>795.4</v>
      </c>
      <c r="H52" s="20">
        <f>H53</f>
        <v>795.4</v>
      </c>
    </row>
    <row r="53" spans="1:8" s="26" customFormat="1" ht="51" x14ac:dyDescent="0.2">
      <c r="A53" s="30" t="s">
        <v>64</v>
      </c>
      <c r="B53" s="24" t="s">
        <v>10</v>
      </c>
      <c r="C53" s="24" t="s">
        <v>48</v>
      </c>
      <c r="D53" s="24" t="s">
        <v>208</v>
      </c>
      <c r="E53" s="27" t="s">
        <v>65</v>
      </c>
      <c r="F53" s="25">
        <f>' первое чтение вед стр-ра'!G241</f>
        <v>795.4</v>
      </c>
      <c r="G53" s="25">
        <f>' первое чтение вед стр-ра'!H241</f>
        <v>795.4</v>
      </c>
      <c r="H53" s="25">
        <f>' первое чтение вед стр-ра'!I241</f>
        <v>795.4</v>
      </c>
    </row>
    <row r="54" spans="1:8" s="73" customFormat="1" x14ac:dyDescent="0.2">
      <c r="A54" s="64" t="s">
        <v>20</v>
      </c>
      <c r="B54" s="66" t="s">
        <v>10</v>
      </c>
      <c r="C54" s="66" t="s">
        <v>19</v>
      </c>
      <c r="D54" s="66"/>
      <c r="E54" s="66"/>
      <c r="F54" s="67">
        <f t="shared" ref="F54:H55" si="4">F55</f>
        <v>2000</v>
      </c>
      <c r="G54" s="67">
        <f t="shared" si="4"/>
        <v>2000</v>
      </c>
      <c r="H54" s="67">
        <f t="shared" si="4"/>
        <v>2000</v>
      </c>
    </row>
    <row r="55" spans="1:8" s="26" customFormat="1" x14ac:dyDescent="0.2">
      <c r="A55" s="18" t="s">
        <v>265</v>
      </c>
      <c r="B55" s="19" t="s">
        <v>10</v>
      </c>
      <c r="C55" s="19" t="s">
        <v>19</v>
      </c>
      <c r="D55" s="19" t="s">
        <v>267</v>
      </c>
      <c r="E55" s="19"/>
      <c r="F55" s="20">
        <f t="shared" si="4"/>
        <v>2000</v>
      </c>
      <c r="G55" s="20">
        <f t="shared" si="4"/>
        <v>2000</v>
      </c>
      <c r="H55" s="20">
        <f t="shared" si="4"/>
        <v>2000</v>
      </c>
    </row>
    <row r="56" spans="1:8" s="73" customFormat="1" x14ac:dyDescent="0.2">
      <c r="A56" s="81" t="s">
        <v>70</v>
      </c>
      <c r="B56" s="76" t="s">
        <v>10</v>
      </c>
      <c r="C56" s="76" t="s">
        <v>19</v>
      </c>
      <c r="D56" s="76" t="s">
        <v>267</v>
      </c>
      <c r="E56" s="76" t="s">
        <v>71</v>
      </c>
      <c r="F56" s="56">
        <f>' первое чтение вед стр-ра'!G40</f>
        <v>2000</v>
      </c>
      <c r="G56" s="56">
        <f>' первое чтение вед стр-ра'!H40</f>
        <v>2000</v>
      </c>
      <c r="H56" s="56">
        <f>' первое чтение вед стр-ра'!I40</f>
        <v>2000</v>
      </c>
    </row>
    <row r="57" spans="1:8" s="78" customFormat="1" x14ac:dyDescent="0.2">
      <c r="A57" s="64" t="s">
        <v>22</v>
      </c>
      <c r="B57" s="66" t="s">
        <v>10</v>
      </c>
      <c r="C57" s="66" t="s">
        <v>59</v>
      </c>
      <c r="D57" s="66"/>
      <c r="E57" s="66"/>
      <c r="F57" s="67">
        <f>F58+F68+F70+F72+F74+F76+F82+F84+F88+F92+F94+F97+F101+F86+F104+F60+F62+F66+F106+F64+F78</f>
        <v>58495</v>
      </c>
      <c r="G57" s="67">
        <f t="shared" ref="G57:H57" si="5">G58+G68+G70+G72+G74+G76+G82+G84+G88+G92+G94+G97+G101+G86+G104+G60+G62+G66+G106+G64+G78</f>
        <v>46545.599999999999</v>
      </c>
      <c r="H57" s="67">
        <f t="shared" si="5"/>
        <v>45530.2</v>
      </c>
    </row>
    <row r="58" spans="1:8" s="78" customFormat="1" x14ac:dyDescent="0.2">
      <c r="A58" s="69" t="s">
        <v>136</v>
      </c>
      <c r="B58" s="71" t="s">
        <v>10</v>
      </c>
      <c r="C58" s="71" t="s">
        <v>59</v>
      </c>
      <c r="D58" s="71" t="s">
        <v>137</v>
      </c>
      <c r="E58" s="71"/>
      <c r="F58" s="72">
        <f>F59</f>
        <v>2667.4</v>
      </c>
      <c r="G58" s="72">
        <f>G59</f>
        <v>0</v>
      </c>
      <c r="H58" s="72">
        <f>H59</f>
        <v>0</v>
      </c>
    </row>
    <row r="59" spans="1:8" s="78" customFormat="1" ht="25.5" x14ac:dyDescent="0.2">
      <c r="A59" s="81" t="s">
        <v>130</v>
      </c>
      <c r="B59" s="76" t="s">
        <v>10</v>
      </c>
      <c r="C59" s="76" t="s">
        <v>59</v>
      </c>
      <c r="D59" s="76" t="s">
        <v>137</v>
      </c>
      <c r="E59" s="76" t="s">
        <v>63</v>
      </c>
      <c r="F59" s="56">
        <f>' первое чтение вед стр-ра'!G47</f>
        <v>2667.4</v>
      </c>
      <c r="G59" s="56">
        <f>' первое чтение вед стр-ра'!H47</f>
        <v>0</v>
      </c>
      <c r="H59" s="56">
        <f>' первое чтение вед стр-ра'!I47</f>
        <v>0</v>
      </c>
    </row>
    <row r="60" spans="1:8" s="73" customFormat="1" ht="25.5" x14ac:dyDescent="0.2">
      <c r="A60" s="83" t="s">
        <v>152</v>
      </c>
      <c r="B60" s="71" t="s">
        <v>10</v>
      </c>
      <c r="C60" s="71" t="s">
        <v>59</v>
      </c>
      <c r="D60" s="71" t="s">
        <v>151</v>
      </c>
      <c r="E60" s="84"/>
      <c r="F60" s="85">
        <f>F61</f>
        <v>1689</v>
      </c>
      <c r="G60" s="85">
        <f>G61</f>
        <v>0</v>
      </c>
      <c r="H60" s="85">
        <f>H61</f>
        <v>0</v>
      </c>
    </row>
    <row r="61" spans="1:8" s="73" customFormat="1" ht="25.5" x14ac:dyDescent="0.2">
      <c r="A61" s="81" t="s">
        <v>130</v>
      </c>
      <c r="B61" s="76" t="s">
        <v>10</v>
      </c>
      <c r="C61" s="76" t="s">
        <v>59</v>
      </c>
      <c r="D61" s="71" t="s">
        <v>151</v>
      </c>
      <c r="E61" s="76" t="s">
        <v>63</v>
      </c>
      <c r="F61" s="56">
        <f>' первое чтение вед стр-ра'!G49</f>
        <v>1689</v>
      </c>
      <c r="G61" s="56">
        <f>' первое чтение вед стр-ра'!H49</f>
        <v>0</v>
      </c>
      <c r="H61" s="56">
        <f>' первое чтение вед стр-ра'!I49</f>
        <v>0</v>
      </c>
    </row>
    <row r="62" spans="1:8" s="21" customFormat="1" x14ac:dyDescent="0.2">
      <c r="A62" s="18" t="s">
        <v>160</v>
      </c>
      <c r="B62" s="19" t="s">
        <v>10</v>
      </c>
      <c r="C62" s="19" t="s">
        <v>59</v>
      </c>
      <c r="D62" s="19" t="s">
        <v>159</v>
      </c>
      <c r="E62" s="19"/>
      <c r="F62" s="20">
        <f>F63</f>
        <v>0</v>
      </c>
      <c r="G62" s="20">
        <f t="shared" ref="G62:H62" si="6">G63</f>
        <v>0</v>
      </c>
      <c r="H62" s="20">
        <f t="shared" si="6"/>
        <v>0</v>
      </c>
    </row>
    <row r="63" spans="1:8" ht="25.5" x14ac:dyDescent="0.2">
      <c r="A63" s="28" t="s">
        <v>80</v>
      </c>
      <c r="B63" s="24" t="s">
        <v>10</v>
      </c>
      <c r="C63" s="24" t="s">
        <v>59</v>
      </c>
      <c r="D63" s="19" t="s">
        <v>159</v>
      </c>
      <c r="E63" s="24" t="s">
        <v>69</v>
      </c>
      <c r="F63" s="25">
        <f>' первое чтение вед стр-ра'!G51</f>
        <v>0</v>
      </c>
      <c r="G63" s="25">
        <f>' первое чтение вед стр-ра'!H51</f>
        <v>0</v>
      </c>
      <c r="H63" s="25">
        <f>' первое чтение вед стр-ра'!I51</f>
        <v>0</v>
      </c>
    </row>
    <row r="64" spans="1:8" x14ac:dyDescent="0.2">
      <c r="A64" s="18" t="s">
        <v>162</v>
      </c>
      <c r="B64" s="19" t="s">
        <v>10</v>
      </c>
      <c r="C64" s="19" t="s">
        <v>59</v>
      </c>
      <c r="D64" s="19" t="s">
        <v>161</v>
      </c>
      <c r="E64" s="19"/>
      <c r="F64" s="20">
        <f>F65</f>
        <v>988.7</v>
      </c>
      <c r="G64" s="20">
        <f>G65</f>
        <v>0</v>
      </c>
      <c r="H64" s="20">
        <f>H65</f>
        <v>0</v>
      </c>
    </row>
    <row r="65" spans="1:8" s="26" customFormat="1" ht="25.5" x14ac:dyDescent="0.2">
      <c r="A65" s="28" t="s">
        <v>80</v>
      </c>
      <c r="B65" s="24" t="s">
        <v>10</v>
      </c>
      <c r="C65" s="24" t="s">
        <v>59</v>
      </c>
      <c r="D65" s="24" t="s">
        <v>161</v>
      </c>
      <c r="E65" s="24" t="s">
        <v>63</v>
      </c>
      <c r="F65" s="25">
        <f>' первое чтение вед стр-ра'!G53</f>
        <v>988.7</v>
      </c>
      <c r="G65" s="25"/>
      <c r="H65" s="25"/>
    </row>
    <row r="66" spans="1:8" ht="38.25" x14ac:dyDescent="0.2">
      <c r="A66" s="18" t="s">
        <v>355</v>
      </c>
      <c r="B66" s="24" t="s">
        <v>10</v>
      </c>
      <c r="C66" s="24" t="s">
        <v>59</v>
      </c>
      <c r="D66" s="19" t="s">
        <v>356</v>
      </c>
      <c r="E66" s="24"/>
      <c r="F66" s="25">
        <f>F67</f>
        <v>3052.2</v>
      </c>
      <c r="G66" s="25">
        <f t="shared" ref="G66:H66" si="7">G67</f>
        <v>2834.3</v>
      </c>
      <c r="H66" s="25">
        <f t="shared" si="7"/>
        <v>2834.3</v>
      </c>
    </row>
    <row r="67" spans="1:8" s="21" customFormat="1" ht="25.5" x14ac:dyDescent="0.2">
      <c r="A67" s="28" t="s">
        <v>130</v>
      </c>
      <c r="B67" s="24" t="s">
        <v>10</v>
      </c>
      <c r="C67" s="24" t="s">
        <v>59</v>
      </c>
      <c r="D67" s="19" t="s">
        <v>356</v>
      </c>
      <c r="E67" s="24" t="s">
        <v>63</v>
      </c>
      <c r="F67" s="25">
        <f>' первое чтение вед стр-ра'!G68</f>
        <v>3052.2</v>
      </c>
      <c r="G67" s="25">
        <f>' первое чтение вед стр-ра'!H68</f>
        <v>2834.3</v>
      </c>
      <c r="H67" s="25">
        <f>' первое чтение вед стр-ра'!I68</f>
        <v>2834.3</v>
      </c>
    </row>
    <row r="68" spans="1:8" s="21" customFormat="1" ht="33.75" customHeight="1" x14ac:dyDescent="0.2">
      <c r="A68" s="18" t="s">
        <v>138</v>
      </c>
      <c r="B68" s="19" t="s">
        <v>10</v>
      </c>
      <c r="C68" s="19" t="s">
        <v>59</v>
      </c>
      <c r="D68" s="19" t="s">
        <v>83</v>
      </c>
      <c r="E68" s="19"/>
      <c r="F68" s="20">
        <f>F69</f>
        <v>125</v>
      </c>
      <c r="G68" s="20">
        <f>G69</f>
        <v>125</v>
      </c>
      <c r="H68" s="20">
        <f>H69</f>
        <v>125</v>
      </c>
    </row>
    <row r="69" spans="1:8" s="26" customFormat="1" ht="25.5" x14ac:dyDescent="0.2">
      <c r="A69" s="28" t="s">
        <v>130</v>
      </c>
      <c r="B69" s="24" t="s">
        <v>10</v>
      </c>
      <c r="C69" s="24" t="s">
        <v>59</v>
      </c>
      <c r="D69" s="24" t="s">
        <v>83</v>
      </c>
      <c r="E69" s="24" t="s">
        <v>63</v>
      </c>
      <c r="F69" s="25">
        <f>' первое чтение вед стр-ра'!G55</f>
        <v>125</v>
      </c>
      <c r="G69" s="25">
        <f>' первое чтение вед стр-ра'!H55</f>
        <v>125</v>
      </c>
      <c r="H69" s="25">
        <f>' первое чтение вед стр-ра'!I55</f>
        <v>125</v>
      </c>
    </row>
    <row r="70" spans="1:8" s="26" customFormat="1" ht="25.5" x14ac:dyDescent="0.2">
      <c r="A70" s="113" t="s">
        <v>141</v>
      </c>
      <c r="B70" s="16" t="s">
        <v>10</v>
      </c>
      <c r="C70" s="19" t="s">
        <v>59</v>
      </c>
      <c r="D70" s="5" t="s">
        <v>142</v>
      </c>
      <c r="E70" s="5"/>
      <c r="F70" s="6">
        <f>F71</f>
        <v>5639.2</v>
      </c>
      <c r="G70" s="6">
        <f>G71</f>
        <v>5005.8999999999996</v>
      </c>
      <c r="H70" s="6">
        <f>H71</f>
        <v>4843.8</v>
      </c>
    </row>
    <row r="71" spans="1:8" s="26" customFormat="1" ht="25.5" x14ac:dyDescent="0.2">
      <c r="A71" s="28" t="s">
        <v>130</v>
      </c>
      <c r="B71" s="24" t="s">
        <v>10</v>
      </c>
      <c r="C71" s="24" t="s">
        <v>59</v>
      </c>
      <c r="D71" s="24" t="s">
        <v>142</v>
      </c>
      <c r="E71" s="24" t="s">
        <v>63</v>
      </c>
      <c r="F71" s="25">
        <f>' первое чтение вед стр-ра'!G59</f>
        <v>5639.2</v>
      </c>
      <c r="G71" s="25">
        <f>' первое чтение вед стр-ра'!H59</f>
        <v>5005.8999999999996</v>
      </c>
      <c r="H71" s="25">
        <f>' первое чтение вед стр-ра'!I59</f>
        <v>4843.8</v>
      </c>
    </row>
    <row r="72" spans="1:8" s="73" customFormat="1" ht="25.5" x14ac:dyDescent="0.2">
      <c r="A72" s="83" t="s">
        <v>139</v>
      </c>
      <c r="B72" s="71" t="s">
        <v>10</v>
      </c>
      <c r="C72" s="71" t="s">
        <v>59</v>
      </c>
      <c r="D72" s="71" t="s">
        <v>140</v>
      </c>
      <c r="E72" s="71"/>
      <c r="F72" s="72">
        <f>F73</f>
        <v>966</v>
      </c>
      <c r="G72" s="72">
        <f>G73</f>
        <v>966</v>
      </c>
      <c r="H72" s="72">
        <f>H73</f>
        <v>966</v>
      </c>
    </row>
    <row r="73" spans="1:8" s="78" customFormat="1" x14ac:dyDescent="0.2">
      <c r="A73" s="81" t="s">
        <v>67</v>
      </c>
      <c r="B73" s="76" t="s">
        <v>10</v>
      </c>
      <c r="C73" s="76" t="s">
        <v>59</v>
      </c>
      <c r="D73" s="76" t="s">
        <v>140</v>
      </c>
      <c r="E73" s="76" t="s">
        <v>68</v>
      </c>
      <c r="F73" s="56">
        <f>' первое чтение вед стр-ра'!G57</f>
        <v>966</v>
      </c>
      <c r="G73" s="56">
        <f>' первое чтение вед стр-ра'!H57</f>
        <v>966</v>
      </c>
      <c r="H73" s="56">
        <f>' первое чтение вед стр-ра'!I57</f>
        <v>966</v>
      </c>
    </row>
    <row r="74" spans="1:8" s="73" customFormat="1" x14ac:dyDescent="0.2">
      <c r="A74" s="69" t="s">
        <v>214</v>
      </c>
      <c r="B74" s="71" t="s">
        <v>10</v>
      </c>
      <c r="C74" s="71" t="s">
        <v>59</v>
      </c>
      <c r="D74" s="71" t="s">
        <v>213</v>
      </c>
      <c r="E74" s="71"/>
      <c r="F74" s="72">
        <f>F75</f>
        <v>3373.5</v>
      </c>
      <c r="G74" s="72">
        <f>G75</f>
        <v>0</v>
      </c>
      <c r="H74" s="72">
        <f>H75</f>
        <v>0</v>
      </c>
    </row>
    <row r="75" spans="1:8" s="78" customFormat="1" x14ac:dyDescent="0.2">
      <c r="A75" s="81" t="s">
        <v>67</v>
      </c>
      <c r="B75" s="76" t="s">
        <v>10</v>
      </c>
      <c r="C75" s="76" t="s">
        <v>59</v>
      </c>
      <c r="D75" s="76" t="s">
        <v>213</v>
      </c>
      <c r="E75" s="76" t="s">
        <v>68</v>
      </c>
      <c r="F75" s="56">
        <f>' первое чтение вед стр-ра'!G43+' первое чтение вед стр-ра'!G256</f>
        <v>3373.5</v>
      </c>
      <c r="G75" s="56">
        <f>' первое чтение вед стр-ра'!H43+' первое чтение вед стр-ра'!H256</f>
        <v>0</v>
      </c>
      <c r="H75" s="56">
        <f>' первое чтение вед стр-ра'!I43+' первое чтение вед стр-ра'!I256</f>
        <v>0</v>
      </c>
    </row>
    <row r="76" spans="1:8" s="9" customFormat="1" x14ac:dyDescent="0.2">
      <c r="A76" s="18" t="s">
        <v>266</v>
      </c>
      <c r="B76" s="19" t="s">
        <v>10</v>
      </c>
      <c r="C76" s="19" t="s">
        <v>59</v>
      </c>
      <c r="D76" s="19" t="s">
        <v>268</v>
      </c>
      <c r="E76" s="19"/>
      <c r="F76" s="20">
        <f>F77</f>
        <v>1100</v>
      </c>
      <c r="G76" s="20">
        <f>G77</f>
        <v>1100</v>
      </c>
      <c r="H76" s="20">
        <f>H77</f>
        <v>1100</v>
      </c>
    </row>
    <row r="77" spans="1:8" s="7" customFormat="1" x14ac:dyDescent="0.2">
      <c r="A77" s="28" t="s">
        <v>70</v>
      </c>
      <c r="B77" s="24" t="s">
        <v>10</v>
      </c>
      <c r="C77" s="24" t="s">
        <v>59</v>
      </c>
      <c r="D77" s="24" t="s">
        <v>268</v>
      </c>
      <c r="E77" s="24" t="s">
        <v>71</v>
      </c>
      <c r="F77" s="25">
        <f>' первое чтение вед стр-ра'!G45</f>
        <v>1100</v>
      </c>
      <c r="G77" s="25">
        <f>' первое чтение вед стр-ра'!H45</f>
        <v>1100</v>
      </c>
      <c r="H77" s="25">
        <f>' первое чтение вед стр-ра'!I45</f>
        <v>1100</v>
      </c>
    </row>
    <row r="78" spans="1:8" ht="38.25" x14ac:dyDescent="0.2">
      <c r="A78" s="49" t="s">
        <v>775</v>
      </c>
      <c r="B78" s="19" t="s">
        <v>10</v>
      </c>
      <c r="C78" s="19" t="s">
        <v>59</v>
      </c>
      <c r="D78" s="19" t="s">
        <v>773</v>
      </c>
      <c r="E78" s="19"/>
      <c r="F78" s="20">
        <f>F79+F81+F80</f>
        <v>14887.600000000002</v>
      </c>
      <c r="G78" s="20">
        <f t="shared" ref="G78:H78" si="8">G79+G81+G80</f>
        <v>19637.399999999998</v>
      </c>
      <c r="H78" s="20">
        <f t="shared" si="8"/>
        <v>18784.099999999999</v>
      </c>
    </row>
    <row r="79" spans="1:8" s="26" customFormat="1" ht="53.25" customHeight="1" x14ac:dyDescent="0.2">
      <c r="A79" s="23" t="s">
        <v>64</v>
      </c>
      <c r="B79" s="24" t="s">
        <v>10</v>
      </c>
      <c r="C79" s="24" t="s">
        <v>59</v>
      </c>
      <c r="D79" s="24" t="s">
        <v>773</v>
      </c>
      <c r="E79" s="27" t="s">
        <v>65</v>
      </c>
      <c r="F79" s="25">
        <f>' первое чтение вед стр-ра'!G70</f>
        <v>11260.800000000001</v>
      </c>
      <c r="G79" s="25">
        <f>' первое чтение вед стр-ра'!H70</f>
        <v>15875.3</v>
      </c>
      <c r="H79" s="25">
        <f>' первое чтение вед стр-ра'!I70</f>
        <v>15875.3</v>
      </c>
    </row>
    <row r="80" spans="1:8" s="26" customFormat="1" ht="25.5" x14ac:dyDescent="0.2">
      <c r="A80" s="28" t="s">
        <v>74</v>
      </c>
      <c r="B80" s="24" t="s">
        <v>10</v>
      </c>
      <c r="C80" s="24" t="s">
        <v>59</v>
      </c>
      <c r="D80" s="24" t="s">
        <v>773</v>
      </c>
      <c r="E80" s="27" t="s">
        <v>66</v>
      </c>
      <c r="F80" s="25">
        <f>' первое чтение вед стр-ра'!G71</f>
        <v>3576.1</v>
      </c>
      <c r="G80" s="25">
        <f>' первое чтение вед стр-ра'!H71</f>
        <v>3762.1</v>
      </c>
      <c r="H80" s="25">
        <f>' первое чтение вед стр-ра'!I71</f>
        <v>2908.8</v>
      </c>
    </row>
    <row r="81" spans="1:8" s="26" customFormat="1" x14ac:dyDescent="0.2">
      <c r="A81" s="28" t="s">
        <v>70</v>
      </c>
      <c r="B81" s="24" t="s">
        <v>10</v>
      </c>
      <c r="C81" s="24" t="s">
        <v>59</v>
      </c>
      <c r="D81" s="24" t="s">
        <v>773</v>
      </c>
      <c r="E81" s="27" t="s">
        <v>71</v>
      </c>
      <c r="F81" s="25">
        <f>' первое чтение вед стр-ра'!G72</f>
        <v>50.7</v>
      </c>
      <c r="G81" s="25">
        <f>' первое чтение вед стр-ра'!H72</f>
        <v>0</v>
      </c>
      <c r="H81" s="25">
        <f>' первое чтение вед стр-ра'!I72</f>
        <v>0</v>
      </c>
    </row>
    <row r="82" spans="1:8" s="7" customFormat="1" ht="30.75" customHeight="1" x14ac:dyDescent="0.2">
      <c r="A82" s="18" t="s">
        <v>185</v>
      </c>
      <c r="B82" s="19" t="s">
        <v>10</v>
      </c>
      <c r="C82" s="19" t="s">
        <v>59</v>
      </c>
      <c r="D82" s="5" t="s">
        <v>184</v>
      </c>
      <c r="E82" s="5"/>
      <c r="F82" s="6">
        <f>F83</f>
        <v>500</v>
      </c>
      <c r="G82" s="6">
        <f>G83</f>
        <v>0</v>
      </c>
      <c r="H82" s="6">
        <f>H83</f>
        <v>0</v>
      </c>
    </row>
    <row r="83" spans="1:8" s="7" customFormat="1" ht="25.5" x14ac:dyDescent="0.2">
      <c r="A83" s="28" t="s">
        <v>74</v>
      </c>
      <c r="B83" s="24" t="s">
        <v>10</v>
      </c>
      <c r="C83" s="24" t="s">
        <v>59</v>
      </c>
      <c r="D83" s="24" t="s">
        <v>184</v>
      </c>
      <c r="E83" s="27" t="s">
        <v>66</v>
      </c>
      <c r="F83" s="25">
        <f>' первое чтение вед стр-ра'!G197</f>
        <v>500</v>
      </c>
      <c r="G83" s="25">
        <f>' первое чтение вед стр-ра'!H197</f>
        <v>0</v>
      </c>
      <c r="H83" s="25">
        <f>' первое чтение вед стр-ра'!I197</f>
        <v>0</v>
      </c>
    </row>
    <row r="84" spans="1:8" s="7" customFormat="1" ht="12" customHeight="1" x14ac:dyDescent="0.2">
      <c r="A84" s="18" t="s">
        <v>186</v>
      </c>
      <c r="B84" s="19" t="s">
        <v>10</v>
      </c>
      <c r="C84" s="19" t="s">
        <v>59</v>
      </c>
      <c r="D84" s="5" t="s">
        <v>187</v>
      </c>
      <c r="E84" s="5"/>
      <c r="F84" s="6">
        <f>F85</f>
        <v>300</v>
      </c>
      <c r="G84" s="6">
        <f>G85</f>
        <v>0</v>
      </c>
      <c r="H84" s="6">
        <f>H85</f>
        <v>0</v>
      </c>
    </row>
    <row r="85" spans="1:8" s="7" customFormat="1" ht="25.5" x14ac:dyDescent="0.2">
      <c r="A85" s="28" t="s">
        <v>74</v>
      </c>
      <c r="B85" s="24" t="s">
        <v>10</v>
      </c>
      <c r="C85" s="24" t="s">
        <v>59</v>
      </c>
      <c r="D85" s="24" t="s">
        <v>187</v>
      </c>
      <c r="E85" s="27" t="s">
        <v>66</v>
      </c>
      <c r="F85" s="25">
        <f>' первое чтение вед стр-ра'!G199</f>
        <v>300</v>
      </c>
      <c r="G85" s="25">
        <f>' первое чтение вед стр-ра'!H199</f>
        <v>0</v>
      </c>
      <c r="H85" s="25">
        <f>' первое чтение вед стр-ра'!I199</f>
        <v>0</v>
      </c>
    </row>
    <row r="86" spans="1:8" s="7" customFormat="1" ht="25.5" x14ac:dyDescent="0.2">
      <c r="A86" s="18" t="s">
        <v>188</v>
      </c>
      <c r="B86" s="19" t="s">
        <v>10</v>
      </c>
      <c r="C86" s="19" t="s">
        <v>59</v>
      </c>
      <c r="D86" s="19" t="s">
        <v>189</v>
      </c>
      <c r="E86" s="19"/>
      <c r="F86" s="20">
        <f>F87</f>
        <v>200</v>
      </c>
      <c r="G86" s="20">
        <f>G87</f>
        <v>0</v>
      </c>
      <c r="H86" s="20">
        <f>H87</f>
        <v>0</v>
      </c>
    </row>
    <row r="87" spans="1:8" s="9" customFormat="1" ht="25.5" x14ac:dyDescent="0.2">
      <c r="A87" s="28" t="s">
        <v>74</v>
      </c>
      <c r="B87" s="24" t="s">
        <v>10</v>
      </c>
      <c r="C87" s="24" t="s">
        <v>59</v>
      </c>
      <c r="D87" s="24" t="s">
        <v>189</v>
      </c>
      <c r="E87" s="27" t="s">
        <v>66</v>
      </c>
      <c r="F87" s="25">
        <f>' первое чтение вед стр-ра'!G201</f>
        <v>200</v>
      </c>
      <c r="G87" s="25">
        <f>' первое чтение вед стр-ра'!H201</f>
        <v>0</v>
      </c>
      <c r="H87" s="25">
        <f>' первое чтение вед стр-ра'!I201</f>
        <v>0</v>
      </c>
    </row>
    <row r="88" spans="1:8" s="12" customFormat="1" x14ac:dyDescent="0.2">
      <c r="A88" s="18" t="s">
        <v>190</v>
      </c>
      <c r="B88" s="19" t="s">
        <v>10</v>
      </c>
      <c r="C88" s="19" t="s">
        <v>59</v>
      </c>
      <c r="D88" s="5" t="s">
        <v>191</v>
      </c>
      <c r="E88" s="5"/>
      <c r="F88" s="6">
        <f>F91+F89+F90</f>
        <v>4286.2</v>
      </c>
      <c r="G88" s="6">
        <f t="shared" ref="G88:H88" si="9">G91+G89+G90</f>
        <v>0</v>
      </c>
      <c r="H88" s="6">
        <f t="shared" si="9"/>
        <v>0</v>
      </c>
    </row>
    <row r="89" spans="1:8" s="26" customFormat="1" ht="25.5" x14ac:dyDescent="0.2">
      <c r="A89" s="28" t="s">
        <v>74</v>
      </c>
      <c r="B89" s="24" t="s">
        <v>10</v>
      </c>
      <c r="C89" s="24" t="s">
        <v>59</v>
      </c>
      <c r="D89" s="24" t="s">
        <v>191</v>
      </c>
      <c r="E89" s="27" t="s">
        <v>66</v>
      </c>
      <c r="F89" s="25">
        <f>' первое чтение вед стр-ра'!G203</f>
        <v>3202.4</v>
      </c>
      <c r="G89" s="25">
        <f>' первое чтение вед стр-ра'!H203</f>
        <v>0</v>
      </c>
      <c r="H89" s="25">
        <f>' первое чтение вед стр-ра'!I203</f>
        <v>0</v>
      </c>
    </row>
    <row r="90" spans="1:8" s="26" customFormat="1" ht="25.5" x14ac:dyDescent="0.2">
      <c r="A90" s="28" t="s">
        <v>130</v>
      </c>
      <c r="B90" s="24" t="s">
        <v>10</v>
      </c>
      <c r="C90" s="24" t="s">
        <v>59</v>
      </c>
      <c r="D90" s="24" t="s">
        <v>191</v>
      </c>
      <c r="E90" s="27" t="s">
        <v>63</v>
      </c>
      <c r="F90" s="25">
        <f>' первое чтение вед стр-ра'!G604+' первое чтение вед стр-ра'!G61</f>
        <v>1073.8</v>
      </c>
      <c r="G90" s="25">
        <f>' первое чтение вед стр-ра'!H604+' первое чтение вед стр-ра'!H61</f>
        <v>0</v>
      </c>
      <c r="H90" s="25">
        <f>' первое чтение вед стр-ра'!I604+' первое чтение вед стр-ра'!I61</f>
        <v>0</v>
      </c>
    </row>
    <row r="91" spans="1:8" s="26" customFormat="1" x14ac:dyDescent="0.2">
      <c r="A91" s="28" t="s">
        <v>70</v>
      </c>
      <c r="B91" s="24" t="s">
        <v>10</v>
      </c>
      <c r="C91" s="24" t="s">
        <v>59</v>
      </c>
      <c r="D91" s="24" t="s">
        <v>191</v>
      </c>
      <c r="E91" s="27" t="s">
        <v>71</v>
      </c>
      <c r="F91" s="25">
        <f>' первое чтение вед стр-ра'!G204</f>
        <v>10</v>
      </c>
      <c r="G91" s="25">
        <f>' первое чтение вед стр-ра'!H204</f>
        <v>0</v>
      </c>
      <c r="H91" s="25">
        <f>' первое чтение вед стр-ра'!I204</f>
        <v>0</v>
      </c>
    </row>
    <row r="92" spans="1:8" s="12" customFormat="1" x14ac:dyDescent="0.2">
      <c r="A92" s="18" t="s">
        <v>193</v>
      </c>
      <c r="B92" s="19" t="s">
        <v>10</v>
      </c>
      <c r="C92" s="19" t="s">
        <v>59</v>
      </c>
      <c r="D92" s="5" t="s">
        <v>192</v>
      </c>
      <c r="E92" s="5"/>
      <c r="F92" s="6">
        <f>F93</f>
        <v>500</v>
      </c>
      <c r="G92" s="6">
        <f>G93</f>
        <v>0</v>
      </c>
      <c r="H92" s="6">
        <f>H93</f>
        <v>0</v>
      </c>
    </row>
    <row r="93" spans="1:8" s="26" customFormat="1" ht="25.5" x14ac:dyDescent="0.2">
      <c r="A93" s="28" t="s">
        <v>74</v>
      </c>
      <c r="B93" s="24" t="s">
        <v>10</v>
      </c>
      <c r="C93" s="24" t="s">
        <v>59</v>
      </c>
      <c r="D93" s="24" t="s">
        <v>192</v>
      </c>
      <c r="E93" s="27" t="s">
        <v>66</v>
      </c>
      <c r="F93" s="25">
        <f>' первое чтение вед стр-ра'!G206</f>
        <v>500</v>
      </c>
      <c r="G93" s="25">
        <f>' первое чтение вед стр-ра'!H206</f>
        <v>0</v>
      </c>
      <c r="H93" s="25">
        <f>' первое чтение вед стр-ра'!I206</f>
        <v>0</v>
      </c>
    </row>
    <row r="94" spans="1:8" s="148" customFormat="1" ht="15" x14ac:dyDescent="0.2">
      <c r="A94" s="18" t="s">
        <v>194</v>
      </c>
      <c r="B94" s="19" t="s">
        <v>10</v>
      </c>
      <c r="C94" s="19" t="s">
        <v>59</v>
      </c>
      <c r="D94" s="5" t="s">
        <v>195</v>
      </c>
      <c r="E94" s="5"/>
      <c r="F94" s="6">
        <f>F95+F96</f>
        <v>169</v>
      </c>
      <c r="G94" s="6">
        <f t="shared" ref="G94:H94" si="10">G95+G96</f>
        <v>0</v>
      </c>
      <c r="H94" s="6">
        <f t="shared" si="10"/>
        <v>0</v>
      </c>
    </row>
    <row r="95" spans="1:8" s="26" customFormat="1" ht="25.5" x14ac:dyDescent="0.2">
      <c r="A95" s="28" t="s">
        <v>74</v>
      </c>
      <c r="B95" s="24" t="s">
        <v>10</v>
      </c>
      <c r="C95" s="24" t="s">
        <v>59</v>
      </c>
      <c r="D95" s="24" t="s">
        <v>195</v>
      </c>
      <c r="E95" s="27" t="s">
        <v>66</v>
      </c>
      <c r="F95" s="25">
        <f>' первое чтение вед стр-ра'!G208</f>
        <v>169</v>
      </c>
      <c r="G95" s="25">
        <f>' первое чтение вед стр-ра'!H208</f>
        <v>0</v>
      </c>
      <c r="H95" s="25">
        <f>' первое чтение вед стр-ра'!I208</f>
        <v>0</v>
      </c>
    </row>
    <row r="96" spans="1:8" s="9" customFormat="1" x14ac:dyDescent="0.2">
      <c r="A96" s="28" t="s">
        <v>70</v>
      </c>
      <c r="B96" s="19" t="s">
        <v>10</v>
      </c>
      <c r="C96" s="19" t="s">
        <v>59</v>
      </c>
      <c r="D96" s="24" t="s">
        <v>195</v>
      </c>
      <c r="E96" s="24" t="s">
        <v>71</v>
      </c>
      <c r="F96" s="25">
        <f>' первое чтение вед стр-ра'!G209</f>
        <v>0</v>
      </c>
      <c r="G96" s="25">
        <f>' первое чтение вед стр-ра'!H209</f>
        <v>0</v>
      </c>
      <c r="H96" s="25">
        <f>' первое чтение вед стр-ра'!I209</f>
        <v>0</v>
      </c>
    </row>
    <row r="97" spans="1:8" s="73" customFormat="1" ht="25.5" x14ac:dyDescent="0.2">
      <c r="A97" s="69" t="s">
        <v>196</v>
      </c>
      <c r="B97" s="71" t="s">
        <v>10</v>
      </c>
      <c r="C97" s="71" t="s">
        <v>59</v>
      </c>
      <c r="D97" s="84" t="s">
        <v>197</v>
      </c>
      <c r="E97" s="71"/>
      <c r="F97" s="72">
        <f>F98+F99+F100</f>
        <v>9752.8000000000011</v>
      </c>
      <c r="G97" s="72">
        <f t="shared" ref="G97:H97" si="11">G98+G99+G100</f>
        <v>9065.2000000000007</v>
      </c>
      <c r="H97" s="72">
        <f t="shared" si="11"/>
        <v>9065.2000000000007</v>
      </c>
    </row>
    <row r="98" spans="1:8" s="26" customFormat="1" ht="51" x14ac:dyDescent="0.2">
      <c r="A98" s="30" t="s">
        <v>64</v>
      </c>
      <c r="B98" s="24" t="s">
        <v>10</v>
      </c>
      <c r="C98" s="24" t="s">
        <v>59</v>
      </c>
      <c r="D98" s="24" t="s">
        <v>197</v>
      </c>
      <c r="E98" s="27" t="s">
        <v>65</v>
      </c>
      <c r="F98" s="25">
        <f>' первое чтение вед стр-ра'!G211</f>
        <v>8926.6</v>
      </c>
      <c r="G98" s="25">
        <f>' первое чтение вед стр-ра'!H211</f>
        <v>8926.6</v>
      </c>
      <c r="H98" s="25">
        <f>' первое чтение вед стр-ра'!I211</f>
        <v>8926.6</v>
      </c>
    </row>
    <row r="99" spans="1:8" s="78" customFormat="1" ht="25.5" x14ac:dyDescent="0.2">
      <c r="A99" s="81" t="s">
        <v>74</v>
      </c>
      <c r="B99" s="76" t="s">
        <v>10</v>
      </c>
      <c r="C99" s="76" t="s">
        <v>59</v>
      </c>
      <c r="D99" s="76" t="s">
        <v>197</v>
      </c>
      <c r="E99" s="77" t="s">
        <v>66</v>
      </c>
      <c r="F99" s="25">
        <f>' первое чтение вед стр-ра'!G212</f>
        <v>826.2</v>
      </c>
      <c r="G99" s="25">
        <f>' первое чтение вед стр-ра'!H212</f>
        <v>138.6</v>
      </c>
      <c r="H99" s="25">
        <f>' первое чтение вед стр-ра'!I212</f>
        <v>138.6</v>
      </c>
    </row>
    <row r="100" spans="1:8" s="26" customFormat="1" x14ac:dyDescent="0.2">
      <c r="A100" s="28" t="s">
        <v>70</v>
      </c>
      <c r="B100" s="24" t="s">
        <v>10</v>
      </c>
      <c r="C100" s="24" t="s">
        <v>59</v>
      </c>
      <c r="D100" s="24" t="s">
        <v>197</v>
      </c>
      <c r="E100" s="27" t="s">
        <v>71</v>
      </c>
      <c r="F100" s="25">
        <f>' первое чтение вед стр-ра'!G213</f>
        <v>0</v>
      </c>
      <c r="G100" s="25">
        <f>' первое чтение вед стр-ра'!H213</f>
        <v>0</v>
      </c>
      <c r="H100" s="25">
        <f>' первое чтение вед стр-ра'!I213</f>
        <v>0</v>
      </c>
    </row>
    <row r="101" spans="1:8" s="26" customFormat="1" ht="89.25" x14ac:dyDescent="0.2">
      <c r="A101" s="45" t="s">
        <v>144</v>
      </c>
      <c r="B101" s="19" t="s">
        <v>10</v>
      </c>
      <c r="C101" s="19" t="s">
        <v>59</v>
      </c>
      <c r="D101" s="19" t="s">
        <v>143</v>
      </c>
      <c r="E101" s="19"/>
      <c r="F101" s="20">
        <f>F102+F103</f>
        <v>8019.5999999999995</v>
      </c>
      <c r="G101" s="20">
        <f>G102+G103</f>
        <v>7811.7999999999993</v>
      </c>
      <c r="H101" s="20">
        <f>H102+H103</f>
        <v>7811.7999999999993</v>
      </c>
    </row>
    <row r="102" spans="1:8" s="26" customFormat="1" ht="51" x14ac:dyDescent="0.2">
      <c r="A102" s="30" t="s">
        <v>64</v>
      </c>
      <c r="B102" s="24" t="s">
        <v>10</v>
      </c>
      <c r="C102" s="24" t="s">
        <v>59</v>
      </c>
      <c r="D102" s="24" t="s">
        <v>143</v>
      </c>
      <c r="E102" s="27" t="s">
        <v>65</v>
      </c>
      <c r="F102" s="25">
        <f>' первое чтение вед стр-ра'!G63</f>
        <v>7757.7999999999993</v>
      </c>
      <c r="G102" s="25">
        <f>' первое чтение вед стр-ра'!H63</f>
        <v>7757.7999999999993</v>
      </c>
      <c r="H102" s="25">
        <f>' первое чтение вед стр-ра'!I63</f>
        <v>7757.7999999999993</v>
      </c>
    </row>
    <row r="103" spans="1:8" s="21" customFormat="1" ht="25.5" x14ac:dyDescent="0.2">
      <c r="A103" s="28" t="s">
        <v>74</v>
      </c>
      <c r="B103" s="24" t="s">
        <v>10</v>
      </c>
      <c r="C103" s="24" t="s">
        <v>59</v>
      </c>
      <c r="D103" s="24" t="s">
        <v>143</v>
      </c>
      <c r="E103" s="27" t="s">
        <v>66</v>
      </c>
      <c r="F103" s="25">
        <f>' первое чтение вед стр-ра'!G64</f>
        <v>261.8</v>
      </c>
      <c r="G103" s="25">
        <f>' первое чтение вед стр-ра'!H64</f>
        <v>54</v>
      </c>
      <c r="H103" s="25">
        <f>' первое чтение вед стр-ра'!I64</f>
        <v>54</v>
      </c>
    </row>
    <row r="104" spans="1:8" s="78" customFormat="1" ht="51" x14ac:dyDescent="0.2">
      <c r="A104" s="88" t="s">
        <v>145</v>
      </c>
      <c r="B104" s="71" t="s">
        <v>10</v>
      </c>
      <c r="C104" s="71" t="s">
        <v>59</v>
      </c>
      <c r="D104" s="71" t="s">
        <v>146</v>
      </c>
      <c r="E104" s="71"/>
      <c r="F104" s="72">
        <f>F105</f>
        <v>228.8</v>
      </c>
      <c r="G104" s="72">
        <f>G105</f>
        <v>0</v>
      </c>
      <c r="H104" s="72">
        <f>H105</f>
        <v>0</v>
      </c>
    </row>
    <row r="105" spans="1:8" s="73" customFormat="1" ht="25.5" x14ac:dyDescent="0.2">
      <c r="A105" s="81" t="s">
        <v>74</v>
      </c>
      <c r="B105" s="76" t="s">
        <v>10</v>
      </c>
      <c r="C105" s="76" t="s">
        <v>59</v>
      </c>
      <c r="D105" s="76" t="s">
        <v>146</v>
      </c>
      <c r="E105" s="77" t="s">
        <v>66</v>
      </c>
      <c r="F105" s="56">
        <f>' первое чтение вед стр-ра'!G66</f>
        <v>228.8</v>
      </c>
      <c r="G105" s="56">
        <f>' первое чтение вед стр-ра'!H66</f>
        <v>0</v>
      </c>
      <c r="H105" s="56">
        <f>' первое чтение вед стр-ра'!I66</f>
        <v>0</v>
      </c>
    </row>
    <row r="106" spans="1:8" s="78" customFormat="1" ht="25.5" x14ac:dyDescent="0.2">
      <c r="A106" s="69" t="s">
        <v>749</v>
      </c>
      <c r="B106" s="71" t="s">
        <v>10</v>
      </c>
      <c r="C106" s="71" t="s">
        <v>59</v>
      </c>
      <c r="D106" s="71" t="s">
        <v>696</v>
      </c>
      <c r="E106" s="71"/>
      <c r="F106" s="72">
        <f>F107</f>
        <v>50</v>
      </c>
      <c r="G106" s="72">
        <f>G107</f>
        <v>0</v>
      </c>
      <c r="H106" s="72">
        <f>H107</f>
        <v>0</v>
      </c>
    </row>
    <row r="107" spans="1:8" s="73" customFormat="1" ht="25.5" x14ac:dyDescent="0.2">
      <c r="A107" s="81" t="s">
        <v>74</v>
      </c>
      <c r="B107" s="76" t="s">
        <v>10</v>
      </c>
      <c r="C107" s="76" t="s">
        <v>59</v>
      </c>
      <c r="D107" s="76" t="s">
        <v>696</v>
      </c>
      <c r="E107" s="77" t="s">
        <v>66</v>
      </c>
      <c r="F107" s="56">
        <f>' первое чтение вед стр-ра'!G606</f>
        <v>50</v>
      </c>
      <c r="G107" s="56">
        <f>' первое чтение вед стр-ра'!H606</f>
        <v>0</v>
      </c>
      <c r="H107" s="56">
        <f>' первое чтение вед стр-ра'!I606</f>
        <v>0</v>
      </c>
    </row>
    <row r="108" spans="1:8" s="26" customFormat="1" ht="31.5" x14ac:dyDescent="0.25">
      <c r="A108" s="125" t="s">
        <v>4</v>
      </c>
      <c r="B108" s="124" t="s">
        <v>14</v>
      </c>
      <c r="C108" s="124" t="s">
        <v>397</v>
      </c>
      <c r="D108" s="124"/>
      <c r="E108" s="124"/>
      <c r="F108" s="179">
        <f>F109</f>
        <v>16164.8</v>
      </c>
      <c r="G108" s="179">
        <f>G109</f>
        <v>14784.4</v>
      </c>
      <c r="H108" s="179">
        <f>H109</f>
        <v>14705.1</v>
      </c>
    </row>
    <row r="109" spans="1:8" s="78" customFormat="1" ht="38.25" x14ac:dyDescent="0.2">
      <c r="A109" s="64" t="s">
        <v>586</v>
      </c>
      <c r="B109" s="180" t="s">
        <v>14</v>
      </c>
      <c r="C109" s="66" t="s">
        <v>24</v>
      </c>
      <c r="D109" s="66"/>
      <c r="E109" s="66"/>
      <c r="F109" s="67">
        <f>F114+F110+F118+F121+F123+F116</f>
        <v>16164.8</v>
      </c>
      <c r="G109" s="67">
        <f>G114+G110+G118+G121+G123+G116</f>
        <v>14784.4</v>
      </c>
      <c r="H109" s="67">
        <f>H114+H110+H118+H121+H123+H116</f>
        <v>14705.1</v>
      </c>
    </row>
    <row r="110" spans="1:8" s="26" customFormat="1" ht="38.25" x14ac:dyDescent="0.2">
      <c r="A110" s="45" t="s">
        <v>148</v>
      </c>
      <c r="B110" s="19" t="s">
        <v>14</v>
      </c>
      <c r="C110" s="19" t="s">
        <v>24</v>
      </c>
      <c r="D110" s="19" t="s">
        <v>147</v>
      </c>
      <c r="E110" s="19"/>
      <c r="F110" s="20">
        <f>F111+F112+F113</f>
        <v>0</v>
      </c>
      <c r="G110" s="20">
        <f>G111+G112+G113</f>
        <v>0</v>
      </c>
      <c r="H110" s="20">
        <f>H111+H112+H113</f>
        <v>0</v>
      </c>
    </row>
    <row r="111" spans="1:8" s="21" customFormat="1" ht="51" x14ac:dyDescent="0.2">
      <c r="A111" s="30" t="s">
        <v>64</v>
      </c>
      <c r="B111" s="24" t="s">
        <v>14</v>
      </c>
      <c r="C111" s="24" t="s">
        <v>24</v>
      </c>
      <c r="D111" s="24" t="s">
        <v>147</v>
      </c>
      <c r="E111" s="27" t="s">
        <v>65</v>
      </c>
      <c r="F111" s="25">
        <f>' первое чтение вед стр-ра'!G76</f>
        <v>0</v>
      </c>
      <c r="G111" s="25">
        <f>' первое чтение вед стр-ра'!H76</f>
        <v>0</v>
      </c>
      <c r="H111" s="25">
        <f>' первое чтение вед стр-ра'!I76</f>
        <v>0</v>
      </c>
    </row>
    <row r="112" spans="1:8" s="78" customFormat="1" ht="25.5" x14ac:dyDescent="0.2">
      <c r="A112" s="81" t="s">
        <v>74</v>
      </c>
      <c r="B112" s="76" t="s">
        <v>14</v>
      </c>
      <c r="C112" s="76" t="s">
        <v>24</v>
      </c>
      <c r="D112" s="76" t="s">
        <v>147</v>
      </c>
      <c r="E112" s="77" t="s">
        <v>66</v>
      </c>
      <c r="F112" s="25">
        <f>' первое чтение вед стр-ра'!G77</f>
        <v>0</v>
      </c>
      <c r="G112" s="25">
        <f>' первое чтение вед стр-ра'!H77</f>
        <v>0</v>
      </c>
      <c r="H112" s="25">
        <f>' первое чтение вед стр-ра'!I77</f>
        <v>0</v>
      </c>
    </row>
    <row r="113" spans="1:8" s="9" customFormat="1" x14ac:dyDescent="0.2">
      <c r="A113" s="28" t="s">
        <v>70</v>
      </c>
      <c r="B113" s="24" t="s">
        <v>14</v>
      </c>
      <c r="C113" s="24" t="s">
        <v>24</v>
      </c>
      <c r="D113" s="24" t="s">
        <v>147</v>
      </c>
      <c r="E113" s="24" t="s">
        <v>71</v>
      </c>
      <c r="F113" s="25">
        <f>' первое чтение вед стр-ра'!G78</f>
        <v>0</v>
      </c>
      <c r="G113" s="25">
        <f>' первое чтение вед стр-ра'!H78</f>
        <v>0</v>
      </c>
      <c r="H113" s="25">
        <f>' первое чтение вед стр-ра'!I78</f>
        <v>0</v>
      </c>
    </row>
    <row r="114" spans="1:8" s="26" customFormat="1" x14ac:dyDescent="0.2">
      <c r="A114" s="49" t="s">
        <v>149</v>
      </c>
      <c r="B114" s="19" t="s">
        <v>14</v>
      </c>
      <c r="C114" s="19" t="s">
        <v>24</v>
      </c>
      <c r="D114" s="19" t="s">
        <v>150</v>
      </c>
      <c r="E114" s="19"/>
      <c r="F114" s="20">
        <f>F115</f>
        <v>0</v>
      </c>
      <c r="G114" s="20">
        <f>G115</f>
        <v>0</v>
      </c>
      <c r="H114" s="20">
        <f>H115</f>
        <v>0</v>
      </c>
    </row>
    <row r="115" spans="1:8" s="26" customFormat="1" ht="25.5" x14ac:dyDescent="0.2">
      <c r="A115" s="28" t="s">
        <v>130</v>
      </c>
      <c r="B115" s="24" t="s">
        <v>14</v>
      </c>
      <c r="C115" s="24" t="s">
        <v>24</v>
      </c>
      <c r="D115" s="24" t="s">
        <v>150</v>
      </c>
      <c r="E115" s="27" t="s">
        <v>63</v>
      </c>
      <c r="F115" s="25">
        <f>' первое чтение вед стр-ра'!G610</f>
        <v>0</v>
      </c>
      <c r="G115" s="25">
        <f>' первое чтение вед стр-ра'!H610</f>
        <v>0</v>
      </c>
      <c r="H115" s="25">
        <f>' первое чтение вед стр-ра'!I610</f>
        <v>0</v>
      </c>
    </row>
    <row r="116" spans="1:8" s="26" customFormat="1" ht="63.75" x14ac:dyDescent="0.2">
      <c r="A116" s="18" t="s">
        <v>623</v>
      </c>
      <c r="B116" s="24" t="s">
        <v>14</v>
      </c>
      <c r="C116" s="24" t="s">
        <v>24</v>
      </c>
      <c r="D116" s="24" t="s">
        <v>621</v>
      </c>
      <c r="E116" s="27"/>
      <c r="F116" s="25">
        <f>F117</f>
        <v>15854.8</v>
      </c>
      <c r="G116" s="25">
        <f t="shared" ref="G116:H116" si="12">G117</f>
        <v>14784.4</v>
      </c>
      <c r="H116" s="25">
        <f t="shared" si="12"/>
        <v>14705.1</v>
      </c>
    </row>
    <row r="117" spans="1:8" s="26" customFormat="1" ht="25.5" x14ac:dyDescent="0.2">
      <c r="A117" s="28" t="s">
        <v>130</v>
      </c>
      <c r="B117" s="24" t="s">
        <v>14</v>
      </c>
      <c r="C117" s="24" t="s">
        <v>24</v>
      </c>
      <c r="D117" s="24" t="s">
        <v>621</v>
      </c>
      <c r="E117" s="27" t="s">
        <v>63</v>
      </c>
      <c r="F117" s="25">
        <f>' первое чтение вед стр-ра'!G80</f>
        <v>15854.8</v>
      </c>
      <c r="G117" s="25">
        <f>' первое чтение вед стр-ра'!H80</f>
        <v>14784.4</v>
      </c>
      <c r="H117" s="25">
        <f>' первое чтение вед стр-ра'!I80</f>
        <v>14705.1</v>
      </c>
    </row>
    <row r="118" spans="1:8" s="21" customFormat="1" ht="25.5" x14ac:dyDescent="0.2">
      <c r="A118" s="17" t="s">
        <v>152</v>
      </c>
      <c r="B118" s="19" t="s">
        <v>14</v>
      </c>
      <c r="C118" s="19" t="s">
        <v>24</v>
      </c>
      <c r="D118" s="19" t="s">
        <v>151</v>
      </c>
      <c r="E118" s="5"/>
      <c r="F118" s="6">
        <f>F119+F120</f>
        <v>55</v>
      </c>
      <c r="G118" s="6">
        <f t="shared" ref="G118:H118" si="13">G119+G120</f>
        <v>0</v>
      </c>
      <c r="H118" s="6">
        <f t="shared" si="13"/>
        <v>0</v>
      </c>
    </row>
    <row r="119" spans="1:8" s="68" customFormat="1" ht="25.5" x14ac:dyDescent="0.2">
      <c r="A119" s="81" t="s">
        <v>74</v>
      </c>
      <c r="B119" s="76" t="s">
        <v>14</v>
      </c>
      <c r="C119" s="76" t="s">
        <v>24</v>
      </c>
      <c r="D119" s="76" t="s">
        <v>151</v>
      </c>
      <c r="E119" s="77" t="s">
        <v>66</v>
      </c>
      <c r="F119" s="56">
        <f>' первое чтение вед стр-ра'!G82</f>
        <v>0</v>
      </c>
      <c r="G119" s="56">
        <f>' первое чтение вед стр-ра'!H82</f>
        <v>0</v>
      </c>
      <c r="H119" s="56">
        <f>' первое чтение вед стр-ра'!I82</f>
        <v>0</v>
      </c>
    </row>
    <row r="120" spans="1:8" s="68" customFormat="1" ht="25.5" x14ac:dyDescent="0.2">
      <c r="A120" s="81" t="s">
        <v>130</v>
      </c>
      <c r="B120" s="76" t="s">
        <v>14</v>
      </c>
      <c r="C120" s="76" t="s">
        <v>24</v>
      </c>
      <c r="D120" s="76" t="s">
        <v>619</v>
      </c>
      <c r="E120" s="77" t="s">
        <v>63</v>
      </c>
      <c r="F120" s="56">
        <f>' первое чтение вед стр-ра'!G83</f>
        <v>55</v>
      </c>
      <c r="G120" s="56">
        <f>' первое чтение вед стр-ра'!H83</f>
        <v>0</v>
      </c>
      <c r="H120" s="56">
        <f>' первое чтение вед стр-ра'!I83</f>
        <v>0</v>
      </c>
    </row>
    <row r="121" spans="1:8" s="73" customFormat="1" x14ac:dyDescent="0.2">
      <c r="A121" s="83" t="s">
        <v>153</v>
      </c>
      <c r="B121" s="71" t="s">
        <v>14</v>
      </c>
      <c r="C121" s="71" t="s">
        <v>24</v>
      </c>
      <c r="D121" s="71" t="s">
        <v>154</v>
      </c>
      <c r="E121" s="84"/>
      <c r="F121" s="85">
        <f>F122</f>
        <v>220</v>
      </c>
      <c r="G121" s="85">
        <f t="shared" ref="G121:H121" si="14">G122</f>
        <v>0</v>
      </c>
      <c r="H121" s="85">
        <f t="shared" si="14"/>
        <v>0</v>
      </c>
    </row>
    <row r="122" spans="1:8" s="78" customFormat="1" ht="25.5" x14ac:dyDescent="0.2">
      <c r="A122" s="81" t="s">
        <v>130</v>
      </c>
      <c r="B122" s="76" t="s">
        <v>14</v>
      </c>
      <c r="C122" s="76" t="s">
        <v>24</v>
      </c>
      <c r="D122" s="76" t="s">
        <v>154</v>
      </c>
      <c r="E122" s="77" t="s">
        <v>63</v>
      </c>
      <c r="F122" s="56">
        <f>' первое чтение вед стр-ра'!G85</f>
        <v>220</v>
      </c>
      <c r="G122" s="56">
        <f>' первое чтение вед стр-ра'!H85</f>
        <v>0</v>
      </c>
      <c r="H122" s="56">
        <f>' первое чтение вед стр-ра'!I85</f>
        <v>0</v>
      </c>
    </row>
    <row r="123" spans="1:8" s="21" customFormat="1" ht="25.5" x14ac:dyDescent="0.2">
      <c r="A123" s="17" t="s">
        <v>365</v>
      </c>
      <c r="B123" s="19" t="s">
        <v>14</v>
      </c>
      <c r="C123" s="19" t="s">
        <v>24</v>
      </c>
      <c r="D123" s="19" t="s">
        <v>366</v>
      </c>
      <c r="E123" s="5"/>
      <c r="F123" s="6">
        <f>F124+F125</f>
        <v>35</v>
      </c>
      <c r="G123" s="6">
        <f t="shared" ref="G123:H123" si="15">G124+G125</f>
        <v>0</v>
      </c>
      <c r="H123" s="6">
        <f t="shared" si="15"/>
        <v>0</v>
      </c>
    </row>
    <row r="124" spans="1:8" s="26" customFormat="1" x14ac:dyDescent="0.2">
      <c r="A124" s="28" t="s">
        <v>67</v>
      </c>
      <c r="B124" s="24" t="s">
        <v>14</v>
      </c>
      <c r="C124" s="24" t="s">
        <v>24</v>
      </c>
      <c r="D124" s="19" t="s">
        <v>366</v>
      </c>
      <c r="E124" s="27" t="s">
        <v>68</v>
      </c>
      <c r="F124" s="25">
        <f>' первое чтение вед стр-ра'!G87</f>
        <v>0</v>
      </c>
      <c r="G124" s="25">
        <f>' первое чтение вед стр-ра'!H87</f>
        <v>0</v>
      </c>
      <c r="H124" s="25">
        <f>' первое чтение вед стр-ра'!I87</f>
        <v>0</v>
      </c>
    </row>
    <row r="125" spans="1:8" s="26" customFormat="1" ht="25.5" x14ac:dyDescent="0.2">
      <c r="A125" s="28" t="s">
        <v>130</v>
      </c>
      <c r="B125" s="24" t="s">
        <v>14</v>
      </c>
      <c r="C125" s="24" t="s">
        <v>24</v>
      </c>
      <c r="D125" s="19" t="s">
        <v>366</v>
      </c>
      <c r="E125" s="27" t="s">
        <v>63</v>
      </c>
      <c r="F125" s="25">
        <f>' первое чтение вед стр-ра'!G88</f>
        <v>35</v>
      </c>
      <c r="G125" s="25">
        <f>' первое чтение вед стр-ра'!H88</f>
        <v>0</v>
      </c>
      <c r="H125" s="25">
        <f>' первое чтение вед стр-ра'!I88</f>
        <v>0</v>
      </c>
    </row>
    <row r="126" spans="1:8" s="21" customFormat="1" ht="15.75" x14ac:dyDescent="0.25">
      <c r="A126" s="125" t="s">
        <v>25</v>
      </c>
      <c r="B126" s="124" t="s">
        <v>16</v>
      </c>
      <c r="C126" s="124" t="s">
        <v>397</v>
      </c>
      <c r="D126" s="124"/>
      <c r="E126" s="124"/>
      <c r="F126" s="179">
        <f>F132+F135+F148+F127</f>
        <v>144530.51516000001</v>
      </c>
      <c r="G126" s="179">
        <f>G132+G135+G148+G127</f>
        <v>153594.9</v>
      </c>
      <c r="H126" s="179">
        <f>H132+H135+H148+H127</f>
        <v>133041.60000000001</v>
      </c>
    </row>
    <row r="127" spans="1:8" s="9" customFormat="1" x14ac:dyDescent="0.2">
      <c r="A127" s="11" t="s">
        <v>678</v>
      </c>
      <c r="B127" s="8" t="s">
        <v>16</v>
      </c>
      <c r="C127" s="8" t="s">
        <v>10</v>
      </c>
      <c r="D127" s="8"/>
      <c r="E127" s="8"/>
      <c r="F127" s="4">
        <f>F128+F130</f>
        <v>0</v>
      </c>
      <c r="G127" s="4">
        <f t="shared" ref="G127:H127" si="16">G128+G130</f>
        <v>0</v>
      </c>
      <c r="H127" s="4">
        <f t="shared" si="16"/>
        <v>0</v>
      </c>
    </row>
    <row r="128" spans="1:8" ht="25.5" x14ac:dyDescent="0.2">
      <c r="A128" s="18" t="s">
        <v>639</v>
      </c>
      <c r="B128" s="19" t="s">
        <v>16</v>
      </c>
      <c r="C128" s="19" t="s">
        <v>10</v>
      </c>
      <c r="D128" s="19" t="s">
        <v>640</v>
      </c>
      <c r="E128" s="19"/>
      <c r="F128" s="20">
        <f>F129</f>
        <v>0</v>
      </c>
      <c r="G128" s="20">
        <f t="shared" ref="G128:H128" si="17">G129</f>
        <v>0</v>
      </c>
      <c r="H128" s="20">
        <f t="shared" si="17"/>
        <v>0</v>
      </c>
    </row>
    <row r="129" spans="1:8" s="26" customFormat="1" ht="25.5" x14ac:dyDescent="0.2">
      <c r="A129" s="28" t="s">
        <v>74</v>
      </c>
      <c r="B129" s="24" t="s">
        <v>16</v>
      </c>
      <c r="C129" s="24" t="s">
        <v>10</v>
      </c>
      <c r="D129" s="24" t="s">
        <v>640</v>
      </c>
      <c r="E129" s="24" t="s">
        <v>66</v>
      </c>
      <c r="F129" s="25">
        <f>' первое чтение вед стр-ра'!G476</f>
        <v>0</v>
      </c>
      <c r="G129" s="25">
        <f>' первое чтение вед стр-ра'!H476</f>
        <v>0</v>
      </c>
      <c r="H129" s="25">
        <f>' первое чтение вед стр-ра'!I476</f>
        <v>0</v>
      </c>
    </row>
    <row r="130" spans="1:8" ht="38.25" x14ac:dyDescent="0.2">
      <c r="A130" s="18" t="s">
        <v>682</v>
      </c>
      <c r="B130" s="19" t="s">
        <v>16</v>
      </c>
      <c r="C130" s="19" t="s">
        <v>10</v>
      </c>
      <c r="D130" s="19" t="s">
        <v>681</v>
      </c>
      <c r="E130" s="19"/>
      <c r="F130" s="20">
        <f>F131</f>
        <v>0</v>
      </c>
      <c r="G130" s="20">
        <f t="shared" ref="G130:H130" si="18">G131</f>
        <v>0</v>
      </c>
      <c r="H130" s="20">
        <f t="shared" si="18"/>
        <v>0</v>
      </c>
    </row>
    <row r="131" spans="1:8" s="26" customFormat="1" ht="25.5" x14ac:dyDescent="0.2">
      <c r="A131" s="28" t="s">
        <v>130</v>
      </c>
      <c r="B131" s="24" t="s">
        <v>16</v>
      </c>
      <c r="C131" s="24" t="s">
        <v>10</v>
      </c>
      <c r="D131" s="24" t="s">
        <v>681</v>
      </c>
      <c r="E131" s="24" t="s">
        <v>63</v>
      </c>
      <c r="F131" s="25">
        <f>' первое чтение вед стр-ра'!G92</f>
        <v>0</v>
      </c>
      <c r="G131" s="25">
        <f>' первое чтение вед стр-ра'!H92</f>
        <v>0</v>
      </c>
      <c r="H131" s="25">
        <f>' первое чтение вед стр-ра'!I92</f>
        <v>0</v>
      </c>
    </row>
    <row r="132" spans="1:8" s="9" customFormat="1" x14ac:dyDescent="0.2">
      <c r="A132" s="11" t="s">
        <v>26</v>
      </c>
      <c r="B132" s="8" t="s">
        <v>16</v>
      </c>
      <c r="C132" s="8" t="s">
        <v>12</v>
      </c>
      <c r="D132" s="8"/>
      <c r="E132" s="8"/>
      <c r="F132" s="4">
        <f>F133</f>
        <v>0</v>
      </c>
      <c r="G132" s="4">
        <f t="shared" ref="G132:H132" si="19">G133</f>
        <v>0</v>
      </c>
      <c r="H132" s="4">
        <f t="shared" si="19"/>
        <v>0</v>
      </c>
    </row>
    <row r="133" spans="1:8" s="26" customFormat="1" ht="38.25" x14ac:dyDescent="0.2">
      <c r="A133" s="18" t="s">
        <v>374</v>
      </c>
      <c r="B133" s="19" t="s">
        <v>16</v>
      </c>
      <c r="C133" s="19" t="s">
        <v>12</v>
      </c>
      <c r="D133" s="19" t="s">
        <v>269</v>
      </c>
      <c r="E133" s="19"/>
      <c r="F133" s="20">
        <f>F134</f>
        <v>0</v>
      </c>
      <c r="G133" s="20">
        <f>G134</f>
        <v>0</v>
      </c>
      <c r="H133" s="20">
        <f>H134</f>
        <v>0</v>
      </c>
    </row>
    <row r="134" spans="1:8" s="78" customFormat="1" x14ac:dyDescent="0.2">
      <c r="A134" s="81" t="s">
        <v>70</v>
      </c>
      <c r="B134" s="76" t="s">
        <v>16</v>
      </c>
      <c r="C134" s="76" t="s">
        <v>12</v>
      </c>
      <c r="D134" s="76" t="s">
        <v>269</v>
      </c>
      <c r="E134" s="76" t="s">
        <v>71</v>
      </c>
      <c r="F134" s="56">
        <f>' первое чтение вед стр-ра'!G614</f>
        <v>0</v>
      </c>
      <c r="G134" s="56">
        <f>' первое чтение вед стр-ра'!H614</f>
        <v>0</v>
      </c>
      <c r="H134" s="56">
        <f>' первое чтение вед стр-ра'!I614</f>
        <v>0</v>
      </c>
    </row>
    <row r="135" spans="1:8" s="73" customFormat="1" x14ac:dyDescent="0.2">
      <c r="A135" s="64" t="s">
        <v>77</v>
      </c>
      <c r="B135" s="66" t="s">
        <v>16</v>
      </c>
      <c r="C135" s="66" t="s">
        <v>24</v>
      </c>
      <c r="D135" s="66"/>
      <c r="E135" s="66"/>
      <c r="F135" s="225">
        <f>F140+F142+F136+F138+F144+F146</f>
        <v>141625.51516000001</v>
      </c>
      <c r="G135" s="67">
        <f t="shared" ref="G135:H135" si="20">G140+G142+G136+G138+G144+G146</f>
        <v>153594.9</v>
      </c>
      <c r="H135" s="67">
        <f t="shared" si="20"/>
        <v>133041.60000000001</v>
      </c>
    </row>
    <row r="136" spans="1:8" s="21" customFormat="1" ht="69" customHeight="1" x14ac:dyDescent="0.2">
      <c r="A136" s="18" t="s">
        <v>344</v>
      </c>
      <c r="B136" s="19" t="s">
        <v>16</v>
      </c>
      <c r="C136" s="19" t="s">
        <v>24</v>
      </c>
      <c r="D136" s="19" t="s">
        <v>345</v>
      </c>
      <c r="E136" s="19"/>
      <c r="F136" s="20">
        <f>F137</f>
        <v>30000</v>
      </c>
      <c r="G136" s="20">
        <f>G137</f>
        <v>30000</v>
      </c>
      <c r="H136" s="20">
        <f>H137</f>
        <v>35000</v>
      </c>
    </row>
    <row r="137" spans="1:8" s="26" customFormat="1" ht="25.5" x14ac:dyDescent="0.2">
      <c r="A137" s="28" t="s">
        <v>130</v>
      </c>
      <c r="B137" s="24" t="s">
        <v>16</v>
      </c>
      <c r="C137" s="24" t="s">
        <v>24</v>
      </c>
      <c r="D137" s="24" t="s">
        <v>345</v>
      </c>
      <c r="E137" s="24" t="s">
        <v>63</v>
      </c>
      <c r="F137" s="25">
        <f>' первое чтение вед стр-ра'!G617</f>
        <v>30000</v>
      </c>
      <c r="G137" s="25">
        <f>' первое чтение вед стр-ра'!H617</f>
        <v>30000</v>
      </c>
      <c r="H137" s="25">
        <f>' первое чтение вед стр-ра'!I617</f>
        <v>35000</v>
      </c>
    </row>
    <row r="138" spans="1:8" s="21" customFormat="1" ht="69" customHeight="1" x14ac:dyDescent="0.2">
      <c r="A138" s="18" t="s">
        <v>344</v>
      </c>
      <c r="B138" s="19" t="s">
        <v>16</v>
      </c>
      <c r="C138" s="19" t="s">
        <v>24</v>
      </c>
      <c r="D138" s="19" t="s">
        <v>348</v>
      </c>
      <c r="E138" s="19"/>
      <c r="F138" s="20">
        <f>F139</f>
        <v>1500</v>
      </c>
      <c r="G138" s="20">
        <f>G139</f>
        <v>0</v>
      </c>
      <c r="H138" s="20">
        <f>H139</f>
        <v>0</v>
      </c>
    </row>
    <row r="139" spans="1:8" s="26" customFormat="1" ht="25.5" x14ac:dyDescent="0.2">
      <c r="A139" s="28" t="s">
        <v>130</v>
      </c>
      <c r="B139" s="24" t="s">
        <v>16</v>
      </c>
      <c r="C139" s="24" t="s">
        <v>24</v>
      </c>
      <c r="D139" s="24" t="s">
        <v>348</v>
      </c>
      <c r="E139" s="24" t="s">
        <v>63</v>
      </c>
      <c r="F139" s="25">
        <f>' первое чтение вед стр-ра'!G619</f>
        <v>1500</v>
      </c>
      <c r="G139" s="25">
        <f>' первое чтение вед стр-ра'!H619</f>
        <v>0</v>
      </c>
      <c r="H139" s="25">
        <f>' первое чтение вед стр-ра'!I619</f>
        <v>0</v>
      </c>
    </row>
    <row r="140" spans="1:8" s="68" customFormat="1" ht="25.5" x14ac:dyDescent="0.2">
      <c r="A140" s="69" t="s">
        <v>271</v>
      </c>
      <c r="B140" s="71" t="s">
        <v>16</v>
      </c>
      <c r="C140" s="71" t="s">
        <v>24</v>
      </c>
      <c r="D140" s="71" t="s">
        <v>270</v>
      </c>
      <c r="E140" s="71"/>
      <c r="F140" s="72">
        <f>F141</f>
        <v>84184</v>
      </c>
      <c r="G140" s="72">
        <f>G141</f>
        <v>89779.5</v>
      </c>
      <c r="H140" s="72">
        <f>H141</f>
        <v>64769</v>
      </c>
    </row>
    <row r="141" spans="1:8" s="73" customFormat="1" ht="25.5" x14ac:dyDescent="0.2">
      <c r="A141" s="81" t="s">
        <v>130</v>
      </c>
      <c r="B141" s="76" t="s">
        <v>16</v>
      </c>
      <c r="C141" s="76" t="s">
        <v>24</v>
      </c>
      <c r="D141" s="76" t="s">
        <v>270</v>
      </c>
      <c r="E141" s="76" t="s">
        <v>63</v>
      </c>
      <c r="F141" s="56">
        <f>' первое чтение вед стр-ра'!G621</f>
        <v>84184</v>
      </c>
      <c r="G141" s="56">
        <f>' первое чтение вед стр-ра'!H621</f>
        <v>89779.5</v>
      </c>
      <c r="H141" s="56">
        <f>' первое чтение вед стр-ра'!I621</f>
        <v>64769</v>
      </c>
    </row>
    <row r="142" spans="1:8" s="73" customFormat="1" ht="25.5" x14ac:dyDescent="0.2">
      <c r="A142" s="69" t="s">
        <v>273</v>
      </c>
      <c r="B142" s="71" t="s">
        <v>16</v>
      </c>
      <c r="C142" s="71" t="s">
        <v>24</v>
      </c>
      <c r="D142" s="71" t="s">
        <v>272</v>
      </c>
      <c r="E142" s="71"/>
      <c r="F142" s="72">
        <f>F143</f>
        <v>14330</v>
      </c>
      <c r="G142" s="72">
        <f>G143</f>
        <v>14330</v>
      </c>
      <c r="H142" s="72">
        <f>H143</f>
        <v>12730</v>
      </c>
    </row>
    <row r="143" spans="1:8" s="73" customFormat="1" ht="25.5" x14ac:dyDescent="0.2">
      <c r="A143" s="81" t="s">
        <v>130</v>
      </c>
      <c r="B143" s="76" t="s">
        <v>16</v>
      </c>
      <c r="C143" s="76" t="s">
        <v>24</v>
      </c>
      <c r="D143" s="76" t="s">
        <v>272</v>
      </c>
      <c r="E143" s="76" t="s">
        <v>63</v>
      </c>
      <c r="F143" s="56">
        <f>' первое чтение вед стр-ра'!G623</f>
        <v>14330</v>
      </c>
      <c r="G143" s="56">
        <f>' первое чтение вед стр-ра'!H623</f>
        <v>14330</v>
      </c>
      <c r="H143" s="56">
        <f>' первое чтение вед стр-ра'!I623</f>
        <v>12730</v>
      </c>
    </row>
    <row r="144" spans="1:8" ht="25.5" x14ac:dyDescent="0.2">
      <c r="A144" s="17" t="s">
        <v>359</v>
      </c>
      <c r="B144" s="19" t="s">
        <v>16</v>
      </c>
      <c r="C144" s="19" t="s">
        <v>24</v>
      </c>
      <c r="D144" s="19" t="s">
        <v>357</v>
      </c>
      <c r="E144" s="19"/>
      <c r="F144" s="20">
        <f>F145</f>
        <v>580.57576000000006</v>
      </c>
      <c r="G144" s="20">
        <f t="shared" ref="G144:H144" si="21">G145</f>
        <v>974.3</v>
      </c>
      <c r="H144" s="20">
        <f t="shared" si="21"/>
        <v>1027.0999999999999</v>
      </c>
    </row>
    <row r="145" spans="1:8" ht="25.5" x14ac:dyDescent="0.2">
      <c r="A145" s="28" t="s">
        <v>74</v>
      </c>
      <c r="B145" s="24" t="s">
        <v>16</v>
      </c>
      <c r="C145" s="24" t="s">
        <v>24</v>
      </c>
      <c r="D145" s="24" t="s">
        <v>358</v>
      </c>
      <c r="E145" s="24" t="s">
        <v>66</v>
      </c>
      <c r="F145" s="25">
        <f>' первое чтение вед стр-ра'!G625</f>
        <v>580.57576000000006</v>
      </c>
      <c r="G145" s="25">
        <f>' первое чтение вед стр-ра'!H625</f>
        <v>974.3</v>
      </c>
      <c r="H145" s="25">
        <f>' первое чтение вед стр-ра'!I625</f>
        <v>1027.0999999999999</v>
      </c>
    </row>
    <row r="146" spans="1:8" ht="38.25" x14ac:dyDescent="0.2">
      <c r="A146" s="17" t="s">
        <v>758</v>
      </c>
      <c r="B146" s="19" t="s">
        <v>16</v>
      </c>
      <c r="C146" s="19" t="s">
        <v>24</v>
      </c>
      <c r="D146" s="19" t="s">
        <v>757</v>
      </c>
      <c r="E146" s="19"/>
      <c r="F146" s="20">
        <f>' первое чтение вед стр-ра'!G626</f>
        <v>11030.939399999999</v>
      </c>
      <c r="G146" s="20">
        <f>' первое чтение вед стр-ра'!H626</f>
        <v>18511.099999999999</v>
      </c>
      <c r="H146" s="20">
        <f>' первое чтение вед стр-ра'!I626</f>
        <v>19515.5</v>
      </c>
    </row>
    <row r="147" spans="1:8" ht="25.5" x14ac:dyDescent="0.2">
      <c r="A147" s="28" t="s">
        <v>74</v>
      </c>
      <c r="B147" s="24" t="s">
        <v>16</v>
      </c>
      <c r="C147" s="24" t="s">
        <v>24</v>
      </c>
      <c r="D147" s="19" t="s">
        <v>757</v>
      </c>
      <c r="E147" s="24" t="s">
        <v>66</v>
      </c>
      <c r="F147" s="20">
        <f>' первое чтение вед стр-ра'!G627</f>
        <v>11030.939399999999</v>
      </c>
      <c r="G147" s="20">
        <f>' первое чтение вед стр-ра'!H627</f>
        <v>18511.099999999999</v>
      </c>
      <c r="H147" s="20">
        <f>' первое чтение вед стр-ра'!I627</f>
        <v>19515.5</v>
      </c>
    </row>
    <row r="148" spans="1:8" s="78" customFormat="1" x14ac:dyDescent="0.2">
      <c r="A148" s="64" t="s">
        <v>27</v>
      </c>
      <c r="B148" s="66" t="s">
        <v>16</v>
      </c>
      <c r="C148" s="66" t="s">
        <v>21</v>
      </c>
      <c r="D148" s="66"/>
      <c r="E148" s="66"/>
      <c r="F148" s="67">
        <f>F159+F161+F155+F157+F151+F149+F153+F163+F165+F167+F169+F171+F173</f>
        <v>2905</v>
      </c>
      <c r="G148" s="67">
        <f t="shared" ref="G148:H148" si="22">G159+G161+G155+G157+G151+G149+G153+G163+G165+G167+G169+G171+G173</f>
        <v>0</v>
      </c>
      <c r="H148" s="67">
        <f t="shared" si="22"/>
        <v>0</v>
      </c>
    </row>
    <row r="149" spans="1:8" ht="63.75" x14ac:dyDescent="0.2">
      <c r="A149" s="18" t="s">
        <v>676</v>
      </c>
      <c r="B149" s="19" t="s">
        <v>16</v>
      </c>
      <c r="C149" s="19" t="s">
        <v>21</v>
      </c>
      <c r="D149" s="19" t="s">
        <v>674</v>
      </c>
      <c r="E149" s="19"/>
      <c r="F149" s="20">
        <f>F150</f>
        <v>0</v>
      </c>
      <c r="G149" s="20">
        <f t="shared" ref="G149" si="23">G150</f>
        <v>0</v>
      </c>
      <c r="H149" s="20">
        <f t="shared" ref="H149" si="24">H150</f>
        <v>0</v>
      </c>
    </row>
    <row r="150" spans="1:8" s="26" customFormat="1" x14ac:dyDescent="0.2">
      <c r="A150" s="28" t="s">
        <v>70</v>
      </c>
      <c r="B150" s="24" t="s">
        <v>16</v>
      </c>
      <c r="C150" s="24" t="s">
        <v>21</v>
      </c>
      <c r="D150" s="24" t="s">
        <v>674</v>
      </c>
      <c r="E150" s="24" t="s">
        <v>71</v>
      </c>
      <c r="F150" s="25">
        <f>' первое чтение вед стр-ра'!G95</f>
        <v>0</v>
      </c>
      <c r="G150" s="25">
        <f>' первое чтение вед стр-ра'!H95</f>
        <v>0</v>
      </c>
      <c r="H150" s="25">
        <f>' первое чтение вед стр-ра'!I95</f>
        <v>0</v>
      </c>
    </row>
    <row r="151" spans="1:8" ht="51" x14ac:dyDescent="0.2">
      <c r="A151" s="18" t="s">
        <v>669</v>
      </c>
      <c r="B151" s="19" t="s">
        <v>16</v>
      </c>
      <c r="C151" s="19" t="s">
        <v>21</v>
      </c>
      <c r="D151" s="19" t="s">
        <v>670</v>
      </c>
      <c r="E151" s="19"/>
      <c r="F151" s="20">
        <f>F152</f>
        <v>0</v>
      </c>
      <c r="G151" s="20">
        <f t="shared" ref="G151:H151" si="25">G152</f>
        <v>0</v>
      </c>
      <c r="H151" s="20">
        <f t="shared" si="25"/>
        <v>0</v>
      </c>
    </row>
    <row r="152" spans="1:8" s="26" customFormat="1" x14ac:dyDescent="0.2">
      <c r="A152" s="28" t="s">
        <v>70</v>
      </c>
      <c r="B152" s="24" t="s">
        <v>16</v>
      </c>
      <c r="C152" s="24" t="s">
        <v>21</v>
      </c>
      <c r="D152" s="24" t="s">
        <v>670</v>
      </c>
      <c r="E152" s="24" t="s">
        <v>71</v>
      </c>
      <c r="F152" s="25">
        <f>' первое чтение вед стр-ра'!G97</f>
        <v>0</v>
      </c>
      <c r="G152" s="25">
        <f>' первое чтение вед стр-ра'!H97</f>
        <v>0</v>
      </c>
      <c r="H152" s="25">
        <f>' первое чтение вед стр-ра'!I97</f>
        <v>0</v>
      </c>
    </row>
    <row r="153" spans="1:8" s="26" customFormat="1" ht="51" x14ac:dyDescent="0.2">
      <c r="A153" s="18" t="s">
        <v>669</v>
      </c>
      <c r="B153" s="19" t="s">
        <v>16</v>
      </c>
      <c r="C153" s="19" t="s">
        <v>21</v>
      </c>
      <c r="D153" s="19" t="s">
        <v>684</v>
      </c>
      <c r="E153" s="19"/>
      <c r="F153" s="25">
        <f>F154</f>
        <v>0</v>
      </c>
      <c r="G153" s="25">
        <f t="shared" ref="G153:H153" si="26">G154</f>
        <v>0</v>
      </c>
      <c r="H153" s="25">
        <f t="shared" si="26"/>
        <v>0</v>
      </c>
    </row>
    <row r="154" spans="1:8" s="26" customFormat="1" x14ac:dyDescent="0.2">
      <c r="A154" s="28" t="s">
        <v>70</v>
      </c>
      <c r="B154" s="24" t="s">
        <v>16</v>
      </c>
      <c r="C154" s="24" t="s">
        <v>21</v>
      </c>
      <c r="D154" s="24" t="s">
        <v>684</v>
      </c>
      <c r="E154" s="24" t="s">
        <v>71</v>
      </c>
      <c r="F154" s="25">
        <f>' первое чтение вед стр-ра'!G99</f>
        <v>0</v>
      </c>
      <c r="G154" s="25">
        <f>' первое чтение вед стр-ра'!H99</f>
        <v>0</v>
      </c>
      <c r="H154" s="25">
        <f>' первое чтение вед стр-ра'!I99</f>
        <v>0</v>
      </c>
    </row>
    <row r="155" spans="1:8" s="26" customFormat="1" ht="25.5" x14ac:dyDescent="0.2">
      <c r="A155" s="18" t="s">
        <v>156</v>
      </c>
      <c r="B155" s="19" t="s">
        <v>16</v>
      </c>
      <c r="C155" s="19" t="s">
        <v>21</v>
      </c>
      <c r="D155" s="19" t="s">
        <v>155</v>
      </c>
      <c r="E155" s="19"/>
      <c r="F155" s="20">
        <f>F156</f>
        <v>203</v>
      </c>
      <c r="G155" s="20">
        <f>G156</f>
        <v>0</v>
      </c>
      <c r="H155" s="20">
        <f>H156</f>
        <v>0</v>
      </c>
    </row>
    <row r="156" spans="1:8" s="26" customFormat="1" ht="25.5" x14ac:dyDescent="0.2">
      <c r="A156" s="28" t="s">
        <v>74</v>
      </c>
      <c r="B156" s="24" t="s">
        <v>16</v>
      </c>
      <c r="C156" s="24" t="s">
        <v>21</v>
      </c>
      <c r="D156" s="24" t="s">
        <v>155</v>
      </c>
      <c r="E156" s="27" t="s">
        <v>66</v>
      </c>
      <c r="F156" s="25">
        <f>' первое чтение вед стр-ра'!G101</f>
        <v>203</v>
      </c>
      <c r="G156" s="25">
        <f>' первое чтение вед стр-ра'!H101</f>
        <v>0</v>
      </c>
      <c r="H156" s="25">
        <f>' первое чтение вед стр-ра'!I101</f>
        <v>0</v>
      </c>
    </row>
    <row r="157" spans="1:8" s="26" customFormat="1" ht="25.5" x14ac:dyDescent="0.2">
      <c r="A157" s="18" t="s">
        <v>624</v>
      </c>
      <c r="B157" s="24" t="s">
        <v>16</v>
      </c>
      <c r="C157" s="24" t="s">
        <v>21</v>
      </c>
      <c r="D157" s="24" t="s">
        <v>625</v>
      </c>
      <c r="E157" s="27"/>
      <c r="F157" s="25">
        <f>F158</f>
        <v>452</v>
      </c>
      <c r="G157" s="25">
        <f t="shared" ref="G157:H157" si="27">G158</f>
        <v>0</v>
      </c>
      <c r="H157" s="25">
        <f t="shared" si="27"/>
        <v>0</v>
      </c>
    </row>
    <row r="158" spans="1:8" s="26" customFormat="1" x14ac:dyDescent="0.2">
      <c r="A158" s="28" t="s">
        <v>70</v>
      </c>
      <c r="B158" s="24" t="s">
        <v>16</v>
      </c>
      <c r="C158" s="24" t="s">
        <v>21</v>
      </c>
      <c r="D158" s="24" t="s">
        <v>625</v>
      </c>
      <c r="E158" s="27" t="s">
        <v>71</v>
      </c>
      <c r="F158" s="25">
        <f>' первое чтение вед стр-ра'!G103</f>
        <v>452</v>
      </c>
      <c r="G158" s="25">
        <f>' первое чтение вед стр-ра'!H103</f>
        <v>0</v>
      </c>
      <c r="H158" s="25">
        <f>' первое чтение вед стр-ра'!I103</f>
        <v>0</v>
      </c>
    </row>
    <row r="159" spans="1:8" s="9" customFormat="1" x14ac:dyDescent="0.2">
      <c r="A159" s="18" t="s">
        <v>199</v>
      </c>
      <c r="B159" s="19" t="s">
        <v>16</v>
      </c>
      <c r="C159" s="19" t="s">
        <v>21</v>
      </c>
      <c r="D159" s="19" t="s">
        <v>198</v>
      </c>
      <c r="E159" s="19"/>
      <c r="F159" s="20">
        <f>F160</f>
        <v>1500</v>
      </c>
      <c r="G159" s="20">
        <f>G160</f>
        <v>0</v>
      </c>
      <c r="H159" s="20">
        <f>H160</f>
        <v>0</v>
      </c>
    </row>
    <row r="160" spans="1:8" s="21" customFormat="1" ht="25.5" x14ac:dyDescent="0.2">
      <c r="A160" s="28" t="s">
        <v>74</v>
      </c>
      <c r="B160" s="24" t="s">
        <v>16</v>
      </c>
      <c r="C160" s="24" t="s">
        <v>21</v>
      </c>
      <c r="D160" s="24" t="s">
        <v>198</v>
      </c>
      <c r="E160" s="27" t="s">
        <v>66</v>
      </c>
      <c r="F160" s="25">
        <f>' первое чтение вед стр-ра'!G217</f>
        <v>1500</v>
      </c>
      <c r="G160" s="25">
        <f>' первое чтение вед стр-ра'!H217</f>
        <v>0</v>
      </c>
      <c r="H160" s="25">
        <f>' первое чтение вед стр-ра'!I217</f>
        <v>0</v>
      </c>
    </row>
    <row r="161" spans="1:8" s="26" customFormat="1" ht="38.25" x14ac:dyDescent="0.2">
      <c r="A161" s="18" t="s">
        <v>200</v>
      </c>
      <c r="B161" s="19" t="s">
        <v>16</v>
      </c>
      <c r="C161" s="19" t="s">
        <v>21</v>
      </c>
      <c r="D161" s="19" t="s">
        <v>201</v>
      </c>
      <c r="E161" s="19"/>
      <c r="F161" s="20">
        <f>F162</f>
        <v>500</v>
      </c>
      <c r="G161" s="20">
        <f>G162</f>
        <v>0</v>
      </c>
      <c r="H161" s="20">
        <f>H162</f>
        <v>0</v>
      </c>
    </row>
    <row r="162" spans="1:8" s="9" customFormat="1" ht="25.5" x14ac:dyDescent="0.2">
      <c r="A162" s="28" t="s">
        <v>74</v>
      </c>
      <c r="B162" s="24" t="s">
        <v>16</v>
      </c>
      <c r="C162" s="24" t="s">
        <v>21</v>
      </c>
      <c r="D162" s="24" t="s">
        <v>201</v>
      </c>
      <c r="E162" s="27" t="s">
        <v>66</v>
      </c>
      <c r="F162" s="25">
        <f>' первое чтение вед стр-ра'!G219</f>
        <v>500</v>
      </c>
      <c r="G162" s="25">
        <f>' первое чтение вед стр-ра'!H219</f>
        <v>0</v>
      </c>
      <c r="H162" s="25">
        <f>' первое чтение вед стр-ра'!I219</f>
        <v>0</v>
      </c>
    </row>
    <row r="163" spans="1:8" ht="30.75" customHeight="1" x14ac:dyDescent="0.2">
      <c r="A163" s="18" t="s">
        <v>702</v>
      </c>
      <c r="B163" s="19" t="s">
        <v>16</v>
      </c>
      <c r="C163" s="19" t="s">
        <v>21</v>
      </c>
      <c r="D163" s="19" t="s">
        <v>701</v>
      </c>
      <c r="E163" s="19"/>
      <c r="F163" s="20">
        <f>F164</f>
        <v>10</v>
      </c>
      <c r="G163" s="20">
        <f t="shared" ref="G163:H163" si="28">G164</f>
        <v>0</v>
      </c>
      <c r="H163" s="20">
        <f t="shared" si="28"/>
        <v>0</v>
      </c>
    </row>
    <row r="164" spans="1:8" s="26" customFormat="1" ht="30.75" customHeight="1" x14ac:dyDescent="0.2">
      <c r="A164" s="28" t="s">
        <v>130</v>
      </c>
      <c r="B164" s="24" t="s">
        <v>16</v>
      </c>
      <c r="C164" s="24" t="s">
        <v>21</v>
      </c>
      <c r="D164" s="24" t="s">
        <v>701</v>
      </c>
      <c r="E164" s="24" t="s">
        <v>63</v>
      </c>
      <c r="F164" s="25">
        <v>10</v>
      </c>
      <c r="G164" s="25">
        <v>0</v>
      </c>
      <c r="H164" s="25">
        <v>0</v>
      </c>
    </row>
    <row r="165" spans="1:8" ht="30.75" customHeight="1" x14ac:dyDescent="0.2">
      <c r="A165" s="18" t="s">
        <v>705</v>
      </c>
      <c r="B165" s="19" t="s">
        <v>16</v>
      </c>
      <c r="C165" s="19" t="s">
        <v>21</v>
      </c>
      <c r="D165" s="19" t="s">
        <v>703</v>
      </c>
      <c r="E165" s="19"/>
      <c r="F165" s="20">
        <f>F166</f>
        <v>10</v>
      </c>
      <c r="G165" s="20">
        <f t="shared" ref="G165:H165" si="29">G166</f>
        <v>0</v>
      </c>
      <c r="H165" s="20">
        <f t="shared" si="29"/>
        <v>0</v>
      </c>
    </row>
    <row r="166" spans="1:8" s="26" customFormat="1" ht="30.75" customHeight="1" x14ac:dyDescent="0.2">
      <c r="A166" s="28" t="s">
        <v>130</v>
      </c>
      <c r="B166" s="24" t="s">
        <v>16</v>
      </c>
      <c r="C166" s="24" t="s">
        <v>21</v>
      </c>
      <c r="D166" s="24" t="s">
        <v>704</v>
      </c>
      <c r="E166" s="24" t="s">
        <v>63</v>
      </c>
      <c r="F166" s="25">
        <v>10</v>
      </c>
      <c r="G166" s="25">
        <v>0</v>
      </c>
      <c r="H166" s="25">
        <v>0</v>
      </c>
    </row>
    <row r="167" spans="1:8" ht="30.75" customHeight="1" x14ac:dyDescent="0.2">
      <c r="A167" s="18" t="s">
        <v>707</v>
      </c>
      <c r="B167" s="19" t="s">
        <v>16</v>
      </c>
      <c r="C167" s="19" t="s">
        <v>21</v>
      </c>
      <c r="D167" s="19" t="s">
        <v>706</v>
      </c>
      <c r="E167" s="19"/>
      <c r="F167" s="20">
        <f>F168</f>
        <v>110</v>
      </c>
      <c r="G167" s="20">
        <f t="shared" ref="G167:H167" si="30">G168</f>
        <v>0</v>
      </c>
      <c r="H167" s="20">
        <f t="shared" si="30"/>
        <v>0</v>
      </c>
    </row>
    <row r="168" spans="1:8" s="26" customFormat="1" ht="30.75" customHeight="1" x14ac:dyDescent="0.2">
      <c r="A168" s="28" t="s">
        <v>130</v>
      </c>
      <c r="B168" s="24" t="s">
        <v>16</v>
      </c>
      <c r="C168" s="24" t="s">
        <v>21</v>
      </c>
      <c r="D168" s="24" t="s">
        <v>706</v>
      </c>
      <c r="E168" s="24" t="s">
        <v>63</v>
      </c>
      <c r="F168" s="25">
        <v>110</v>
      </c>
      <c r="G168" s="25">
        <v>0</v>
      </c>
      <c r="H168" s="25">
        <v>0</v>
      </c>
    </row>
    <row r="169" spans="1:8" ht="30.75" customHeight="1" x14ac:dyDescent="0.2">
      <c r="A169" s="18" t="s">
        <v>709</v>
      </c>
      <c r="B169" s="19" t="s">
        <v>16</v>
      </c>
      <c r="C169" s="19" t="s">
        <v>21</v>
      </c>
      <c r="D169" s="19" t="s">
        <v>708</v>
      </c>
      <c r="E169" s="19"/>
      <c r="F169" s="20">
        <f>F170</f>
        <v>106</v>
      </c>
      <c r="G169" s="20">
        <f t="shared" ref="G169:H169" si="31">G170</f>
        <v>0</v>
      </c>
      <c r="H169" s="20">
        <f t="shared" si="31"/>
        <v>0</v>
      </c>
    </row>
    <row r="170" spans="1:8" s="26" customFormat="1" ht="30.75" customHeight="1" x14ac:dyDescent="0.2">
      <c r="A170" s="28" t="s">
        <v>130</v>
      </c>
      <c r="B170" s="24" t="s">
        <v>16</v>
      </c>
      <c r="C170" s="24" t="s">
        <v>21</v>
      </c>
      <c r="D170" s="24" t="s">
        <v>708</v>
      </c>
      <c r="E170" s="24" t="s">
        <v>63</v>
      </c>
      <c r="F170" s="25">
        <v>106</v>
      </c>
      <c r="G170" s="25">
        <v>0</v>
      </c>
      <c r="H170" s="25">
        <v>0</v>
      </c>
    </row>
    <row r="171" spans="1:8" ht="30.75" customHeight="1" x14ac:dyDescent="0.2">
      <c r="A171" s="18" t="s">
        <v>710</v>
      </c>
      <c r="B171" s="19" t="s">
        <v>16</v>
      </c>
      <c r="C171" s="19" t="s">
        <v>21</v>
      </c>
      <c r="D171" s="19" t="s">
        <v>711</v>
      </c>
      <c r="E171" s="19"/>
      <c r="F171" s="20">
        <f>F172</f>
        <v>4</v>
      </c>
      <c r="G171" s="20">
        <f t="shared" ref="G171:H171" si="32">G172</f>
        <v>0</v>
      </c>
      <c r="H171" s="20">
        <f t="shared" si="32"/>
        <v>0</v>
      </c>
    </row>
    <row r="172" spans="1:8" s="26" customFormat="1" ht="30.75" customHeight="1" x14ac:dyDescent="0.2">
      <c r="A172" s="28" t="s">
        <v>130</v>
      </c>
      <c r="B172" s="24" t="s">
        <v>16</v>
      </c>
      <c r="C172" s="24" t="s">
        <v>21</v>
      </c>
      <c r="D172" s="24" t="s">
        <v>711</v>
      </c>
      <c r="E172" s="24" t="s">
        <v>63</v>
      </c>
      <c r="F172" s="25">
        <v>4</v>
      </c>
      <c r="G172" s="25">
        <v>0</v>
      </c>
      <c r="H172" s="25">
        <v>0</v>
      </c>
    </row>
    <row r="173" spans="1:8" ht="30.75" customHeight="1" x14ac:dyDescent="0.2">
      <c r="A173" s="18" t="s">
        <v>713</v>
      </c>
      <c r="B173" s="19" t="s">
        <v>16</v>
      </c>
      <c r="C173" s="19" t="s">
        <v>21</v>
      </c>
      <c r="D173" s="19" t="s">
        <v>712</v>
      </c>
      <c r="E173" s="19"/>
      <c r="F173" s="20">
        <f>F174</f>
        <v>10</v>
      </c>
      <c r="G173" s="20">
        <f t="shared" ref="G173:H173" si="33">G174</f>
        <v>0</v>
      </c>
      <c r="H173" s="20">
        <f t="shared" si="33"/>
        <v>0</v>
      </c>
    </row>
    <row r="174" spans="1:8" s="26" customFormat="1" ht="30.75" customHeight="1" x14ac:dyDescent="0.2">
      <c r="A174" s="28" t="s">
        <v>130</v>
      </c>
      <c r="B174" s="24" t="s">
        <v>16</v>
      </c>
      <c r="C174" s="24" t="s">
        <v>21</v>
      </c>
      <c r="D174" s="24" t="s">
        <v>712</v>
      </c>
      <c r="E174" s="24" t="s">
        <v>63</v>
      </c>
      <c r="F174" s="25">
        <v>10</v>
      </c>
      <c r="G174" s="25">
        <v>0</v>
      </c>
      <c r="H174" s="25">
        <v>0</v>
      </c>
    </row>
    <row r="175" spans="1:8" s="21" customFormat="1" ht="15.75" x14ac:dyDescent="0.25">
      <c r="A175" s="125" t="s">
        <v>28</v>
      </c>
      <c r="B175" s="124" t="s">
        <v>29</v>
      </c>
      <c r="C175" s="124" t="s">
        <v>397</v>
      </c>
      <c r="D175" s="124"/>
      <c r="E175" s="124"/>
      <c r="F175" s="179">
        <f>F176+F201+F226+F248</f>
        <v>501834.99339999998</v>
      </c>
      <c r="G175" s="179">
        <f>G176+G201+G226+G248</f>
        <v>208167.46</v>
      </c>
      <c r="H175" s="179">
        <f>H176+H201+H226+H248</f>
        <v>119080.53200000001</v>
      </c>
    </row>
    <row r="176" spans="1:8" s="78" customFormat="1" x14ac:dyDescent="0.2">
      <c r="A176" s="64" t="s">
        <v>30</v>
      </c>
      <c r="B176" s="66" t="s">
        <v>29</v>
      </c>
      <c r="C176" s="66" t="s">
        <v>10</v>
      </c>
      <c r="D176" s="66"/>
      <c r="E176" s="66"/>
      <c r="F176" s="67">
        <f>F192+F194+F199+F197+F183+F190+F180+F177+F185+F187</f>
        <v>195898.80580999999</v>
      </c>
      <c r="G176" s="67">
        <f>G192+G194+G199+G197+G183+G190+G180+G177</f>
        <v>167110.96</v>
      </c>
      <c r="H176" s="67">
        <f>H192+H194+H199+H197+H183+H190+H180+H177</f>
        <v>83344.032000000007</v>
      </c>
    </row>
    <row r="177" spans="1:8" ht="51" x14ac:dyDescent="0.2">
      <c r="A177" s="18" t="s">
        <v>746</v>
      </c>
      <c r="B177" s="19" t="s">
        <v>29</v>
      </c>
      <c r="C177" s="19" t="s">
        <v>10</v>
      </c>
      <c r="D177" s="19" t="s">
        <v>740</v>
      </c>
      <c r="E177" s="19"/>
      <c r="F177" s="20">
        <f>F178+F179</f>
        <v>175340.65198</v>
      </c>
      <c r="G177" s="20">
        <f t="shared" ref="G177:H177" si="34">G178+G179</f>
        <v>140373.2064</v>
      </c>
      <c r="H177" s="20">
        <f t="shared" si="34"/>
        <v>0</v>
      </c>
    </row>
    <row r="178" spans="1:8" ht="25.5" x14ac:dyDescent="0.2">
      <c r="A178" s="28" t="s">
        <v>80</v>
      </c>
      <c r="B178" s="19" t="s">
        <v>29</v>
      </c>
      <c r="C178" s="19" t="s">
        <v>10</v>
      </c>
      <c r="D178" s="24" t="s">
        <v>740</v>
      </c>
      <c r="E178" s="19" t="s">
        <v>69</v>
      </c>
      <c r="F178" s="20">
        <f>' первое чтение вед стр-ра'!G107</f>
        <v>85831.981480000002</v>
      </c>
      <c r="G178" s="20">
        <f>' первое чтение вед стр-ра'!H107</f>
        <v>72661.518339999995</v>
      </c>
      <c r="H178" s="20">
        <f>' первое чтение вед стр-ра'!I107</f>
        <v>0</v>
      </c>
    </row>
    <row r="179" spans="1:8" s="26" customFormat="1" x14ac:dyDescent="0.2">
      <c r="A179" s="28" t="s">
        <v>70</v>
      </c>
      <c r="B179" s="24" t="s">
        <v>29</v>
      </c>
      <c r="C179" s="24" t="s">
        <v>10</v>
      </c>
      <c r="D179" s="24" t="s">
        <v>740</v>
      </c>
      <c r="E179" s="24" t="s">
        <v>71</v>
      </c>
      <c r="F179" s="25">
        <f>' первое чтение вед стр-ра'!G108</f>
        <v>89508.670499999993</v>
      </c>
      <c r="G179" s="25">
        <f>' первое чтение вед стр-ра'!H108</f>
        <v>67711.68806</v>
      </c>
      <c r="H179" s="25">
        <f>' первое чтение вед стр-ра'!I108</f>
        <v>0</v>
      </c>
    </row>
    <row r="180" spans="1:8" s="78" customFormat="1" ht="63.75" x14ac:dyDescent="0.2">
      <c r="A180" s="69" t="s">
        <v>747</v>
      </c>
      <c r="B180" s="71" t="s">
        <v>29</v>
      </c>
      <c r="C180" s="71" t="s">
        <v>10</v>
      </c>
      <c r="D180" s="19" t="s">
        <v>741</v>
      </c>
      <c r="E180" s="71"/>
      <c r="F180" s="72">
        <f>F181+F182</f>
        <v>4335.3439099999996</v>
      </c>
      <c r="G180" s="72">
        <f t="shared" ref="G180:H180" si="35">G181+G182</f>
        <v>26737.7536</v>
      </c>
      <c r="H180" s="72">
        <f t="shared" si="35"/>
        <v>83344.032000000007</v>
      </c>
    </row>
    <row r="181" spans="1:8" s="78" customFormat="1" ht="25.5" x14ac:dyDescent="0.2">
      <c r="A181" s="81" t="s">
        <v>80</v>
      </c>
      <c r="B181" s="76" t="s">
        <v>29</v>
      </c>
      <c r="C181" s="76" t="s">
        <v>10</v>
      </c>
      <c r="D181" s="24" t="s">
        <v>741</v>
      </c>
      <c r="E181" s="76" t="s">
        <v>69</v>
      </c>
      <c r="F181" s="72">
        <f>' первое чтение вед стр-ра'!G110</f>
        <v>2106.9</v>
      </c>
      <c r="G181" s="72">
        <f>' первое чтение вед стр-ра'!H110</f>
        <v>13576</v>
      </c>
      <c r="H181" s="72">
        <f>' первое чтение вед стр-ра'!I110</f>
        <v>41849.699999999997</v>
      </c>
    </row>
    <row r="182" spans="1:8" s="78" customFormat="1" x14ac:dyDescent="0.2">
      <c r="A182" s="28" t="s">
        <v>70</v>
      </c>
      <c r="B182" s="76" t="s">
        <v>29</v>
      </c>
      <c r="C182" s="76" t="s">
        <v>10</v>
      </c>
      <c r="D182" s="24" t="s">
        <v>741</v>
      </c>
      <c r="E182" s="76" t="s">
        <v>71</v>
      </c>
      <c r="F182" s="72">
        <f>' первое чтение вед стр-ра'!G111</f>
        <v>2228.44391</v>
      </c>
      <c r="G182" s="72">
        <f>' первое чтение вед стр-ра'!H111</f>
        <v>13161.7536</v>
      </c>
      <c r="H182" s="72">
        <f>' первое чтение вед стр-ра'!I111</f>
        <v>41494.332000000002</v>
      </c>
    </row>
    <row r="183" spans="1:8" s="73" customFormat="1" ht="52.5" customHeight="1" x14ac:dyDescent="0.2">
      <c r="A183" s="69" t="s">
        <v>747</v>
      </c>
      <c r="B183" s="71" t="s">
        <v>29</v>
      </c>
      <c r="C183" s="71" t="s">
        <v>10</v>
      </c>
      <c r="D183" s="71" t="s">
        <v>744</v>
      </c>
      <c r="E183" s="94"/>
      <c r="F183" s="72">
        <f>F184</f>
        <v>1277</v>
      </c>
      <c r="G183" s="56">
        <v>0</v>
      </c>
      <c r="H183" s="56">
        <v>0</v>
      </c>
    </row>
    <row r="184" spans="1:8" s="78" customFormat="1" ht="25.5" x14ac:dyDescent="0.2">
      <c r="A184" s="81" t="s">
        <v>80</v>
      </c>
      <c r="B184" s="76" t="s">
        <v>29</v>
      </c>
      <c r="C184" s="76" t="s">
        <v>10</v>
      </c>
      <c r="D184" s="71" t="s">
        <v>744</v>
      </c>
      <c r="E184" s="77" t="s">
        <v>69</v>
      </c>
      <c r="F184" s="56">
        <f>' первое чтение вед стр-ра'!G113</f>
        <v>1277</v>
      </c>
      <c r="G184" s="56">
        <f>' первое чтение вед стр-ра'!H113</f>
        <v>0</v>
      </c>
      <c r="H184" s="56">
        <f>' первое чтение вед стр-ра'!I113</f>
        <v>0</v>
      </c>
    </row>
    <row r="185" spans="1:8" ht="51" x14ac:dyDescent="0.2">
      <c r="A185" s="18" t="s">
        <v>765</v>
      </c>
      <c r="B185" s="19" t="s">
        <v>29</v>
      </c>
      <c r="C185" s="19" t="s">
        <v>10</v>
      </c>
      <c r="D185" s="19" t="s">
        <v>766</v>
      </c>
      <c r="E185" s="19"/>
      <c r="F185" s="20">
        <f>F186</f>
        <v>167.57162</v>
      </c>
      <c r="G185" s="20">
        <f t="shared" ref="G185:H185" si="36">G186</f>
        <v>0</v>
      </c>
      <c r="H185" s="20">
        <f t="shared" si="36"/>
        <v>0</v>
      </c>
    </row>
    <row r="186" spans="1:8" ht="25.5" x14ac:dyDescent="0.2">
      <c r="A186" s="28" t="s">
        <v>80</v>
      </c>
      <c r="B186" s="19" t="s">
        <v>29</v>
      </c>
      <c r="C186" s="19" t="s">
        <v>10</v>
      </c>
      <c r="D186" s="19" t="s">
        <v>766</v>
      </c>
      <c r="E186" s="19" t="s">
        <v>69</v>
      </c>
      <c r="F186" s="20">
        <f>' первое чтение вед стр-ра'!G115</f>
        <v>167.57162</v>
      </c>
      <c r="G186" s="20">
        <f>' первое чтение вед стр-ра'!H115</f>
        <v>0</v>
      </c>
      <c r="H186" s="20">
        <f>' первое чтение вед стр-ра'!I115</f>
        <v>0</v>
      </c>
    </row>
    <row r="187" spans="1:8" s="78" customFormat="1" ht="51" x14ac:dyDescent="0.2">
      <c r="A187" s="69" t="s">
        <v>765</v>
      </c>
      <c r="B187" s="71" t="s">
        <v>29</v>
      </c>
      <c r="C187" s="71" t="s">
        <v>10</v>
      </c>
      <c r="D187" s="71" t="s">
        <v>767</v>
      </c>
      <c r="E187" s="71"/>
      <c r="F187" s="72">
        <f>F188+F189</f>
        <v>1986.1383000000001</v>
      </c>
      <c r="G187" s="72">
        <f t="shared" ref="G187:H187" si="37">G188+G189</f>
        <v>0</v>
      </c>
      <c r="H187" s="72">
        <f t="shared" si="37"/>
        <v>0</v>
      </c>
    </row>
    <row r="188" spans="1:8" s="78" customFormat="1" ht="25.5" x14ac:dyDescent="0.2">
      <c r="A188" s="81" t="s">
        <v>80</v>
      </c>
      <c r="B188" s="76" t="s">
        <v>29</v>
      </c>
      <c r="C188" s="76" t="s">
        <v>10</v>
      </c>
      <c r="D188" s="76" t="s">
        <v>767</v>
      </c>
      <c r="E188" s="76" t="s">
        <v>69</v>
      </c>
      <c r="F188" s="72">
        <f>' первое чтение вед стр-ра'!G117</f>
        <v>262.81376</v>
      </c>
      <c r="G188" s="72">
        <f>' первое чтение вед стр-ра'!H117</f>
        <v>0</v>
      </c>
      <c r="H188" s="72">
        <f>' первое чтение вед стр-ра'!I117</f>
        <v>0</v>
      </c>
    </row>
    <row r="189" spans="1:8" s="78" customFormat="1" x14ac:dyDescent="0.2">
      <c r="A189" s="28" t="s">
        <v>70</v>
      </c>
      <c r="B189" s="76" t="s">
        <v>29</v>
      </c>
      <c r="C189" s="76" t="s">
        <v>10</v>
      </c>
      <c r="D189" s="76" t="s">
        <v>767</v>
      </c>
      <c r="E189" s="76" t="s">
        <v>71</v>
      </c>
      <c r="F189" s="72">
        <f>' первое чтение вед стр-ра'!G118</f>
        <v>1723.3245400000001</v>
      </c>
      <c r="G189" s="72">
        <f>' первое чтение вед стр-ра'!H118</f>
        <v>0</v>
      </c>
      <c r="H189" s="72">
        <f>' первое чтение вед стр-ра'!I118</f>
        <v>0</v>
      </c>
    </row>
    <row r="190" spans="1:8" s="26" customFormat="1" ht="25.5" x14ac:dyDescent="0.2">
      <c r="A190" s="28" t="s">
        <v>340</v>
      </c>
      <c r="B190" s="24" t="s">
        <v>29</v>
      </c>
      <c r="C190" s="24" t="s">
        <v>10</v>
      </c>
      <c r="D190" s="27" t="s">
        <v>341</v>
      </c>
      <c r="E190" s="25"/>
      <c r="F190" s="25">
        <f>F191</f>
        <v>1500</v>
      </c>
      <c r="G190" s="25">
        <f t="shared" ref="G190:H190" si="38">G191</f>
        <v>0</v>
      </c>
      <c r="H190" s="25">
        <f t="shared" si="38"/>
        <v>0</v>
      </c>
    </row>
    <row r="191" spans="1:8" s="26" customFormat="1" ht="25.5" x14ac:dyDescent="0.2">
      <c r="A191" s="28" t="s">
        <v>74</v>
      </c>
      <c r="B191" s="24" t="s">
        <v>29</v>
      </c>
      <c r="C191" s="24" t="s">
        <v>10</v>
      </c>
      <c r="D191" s="27" t="s">
        <v>341</v>
      </c>
      <c r="E191" s="25" t="s">
        <v>66</v>
      </c>
      <c r="F191" s="25">
        <f>' первое чтение вед стр-ра'!G633</f>
        <v>1500</v>
      </c>
      <c r="G191" s="25">
        <f>' первое чтение вед стр-ра'!H633</f>
        <v>0</v>
      </c>
      <c r="H191" s="25">
        <f>' первое чтение вед стр-ра'!I633</f>
        <v>0</v>
      </c>
    </row>
    <row r="192" spans="1:8" s="21" customFormat="1" x14ac:dyDescent="0.2">
      <c r="A192" s="18" t="s">
        <v>160</v>
      </c>
      <c r="B192" s="19" t="s">
        <v>29</v>
      </c>
      <c r="C192" s="19" t="s">
        <v>10</v>
      </c>
      <c r="D192" s="19" t="s">
        <v>159</v>
      </c>
      <c r="E192" s="19"/>
      <c r="F192" s="20">
        <f>F193</f>
        <v>194.5</v>
      </c>
      <c r="G192" s="20">
        <f t="shared" ref="G192:H192" si="39">G193</f>
        <v>0</v>
      </c>
      <c r="H192" s="20">
        <f t="shared" si="39"/>
        <v>0</v>
      </c>
    </row>
    <row r="193" spans="1:8" s="21" customFormat="1" ht="25.5" x14ac:dyDescent="0.2">
      <c r="A193" s="28" t="s">
        <v>80</v>
      </c>
      <c r="B193" s="24" t="s">
        <v>29</v>
      </c>
      <c r="C193" s="24" t="s">
        <v>10</v>
      </c>
      <c r="D193" s="19" t="s">
        <v>159</v>
      </c>
      <c r="E193" s="24" t="s">
        <v>69</v>
      </c>
      <c r="F193" s="56">
        <f>' первое чтение вед стр-ра'!G120</f>
        <v>194.5</v>
      </c>
      <c r="G193" s="56">
        <f>' первое чтение вед стр-ра'!H120</f>
        <v>0</v>
      </c>
      <c r="H193" s="56">
        <f>' первое чтение вед стр-ра'!I120</f>
        <v>0</v>
      </c>
    </row>
    <row r="194" spans="1:8" s="73" customFormat="1" x14ac:dyDescent="0.2">
      <c r="A194" s="69" t="s">
        <v>162</v>
      </c>
      <c r="B194" s="71" t="s">
        <v>29</v>
      </c>
      <c r="C194" s="71" t="s">
        <v>10</v>
      </c>
      <c r="D194" s="76" t="s">
        <v>161</v>
      </c>
      <c r="E194" s="71"/>
      <c r="F194" s="72">
        <f>+F195+F196</f>
        <v>8188.5000000000009</v>
      </c>
      <c r="G194" s="72">
        <f t="shared" ref="G194:H194" si="40">+G195+G196</f>
        <v>0</v>
      </c>
      <c r="H194" s="72">
        <f t="shared" si="40"/>
        <v>0</v>
      </c>
    </row>
    <row r="195" spans="1:8" s="21" customFormat="1" ht="25.5" x14ac:dyDescent="0.2">
      <c r="A195" s="28" t="s">
        <v>74</v>
      </c>
      <c r="B195" s="19" t="s">
        <v>29</v>
      </c>
      <c r="C195" s="19" t="s">
        <v>10</v>
      </c>
      <c r="D195" s="24" t="s">
        <v>161</v>
      </c>
      <c r="E195" s="24" t="s">
        <v>66</v>
      </c>
      <c r="F195" s="25">
        <f>' первое чтение вед стр-ра'!G122</f>
        <v>8188.5000000000009</v>
      </c>
      <c r="G195" s="25">
        <f>' первое чтение вед стр-ра'!H122</f>
        <v>0</v>
      </c>
      <c r="H195" s="25">
        <f>' первое чтение вед стр-ра'!I122</f>
        <v>0</v>
      </c>
    </row>
    <row r="196" spans="1:8" s="26" customFormat="1" ht="25.5" x14ac:dyDescent="0.2">
      <c r="A196" s="28" t="s">
        <v>80</v>
      </c>
      <c r="B196" s="19" t="s">
        <v>29</v>
      </c>
      <c r="C196" s="19" t="s">
        <v>10</v>
      </c>
      <c r="D196" s="24" t="s">
        <v>161</v>
      </c>
      <c r="E196" s="24" t="s">
        <v>69</v>
      </c>
      <c r="F196" s="25">
        <f>' первое чтение вед стр-ра'!G123</f>
        <v>0</v>
      </c>
      <c r="G196" s="25">
        <f>' первое чтение вед стр-ра'!H123</f>
        <v>0</v>
      </c>
      <c r="H196" s="25">
        <f>' первое чтение вед стр-ра'!I123</f>
        <v>0</v>
      </c>
    </row>
    <row r="197" spans="1:8" s="21" customFormat="1" ht="25.5" x14ac:dyDescent="0.2">
      <c r="A197" s="18" t="s">
        <v>202</v>
      </c>
      <c r="B197" s="19" t="s">
        <v>29</v>
      </c>
      <c r="C197" s="19" t="s">
        <v>10</v>
      </c>
      <c r="D197" s="19" t="s">
        <v>203</v>
      </c>
      <c r="E197" s="19"/>
      <c r="F197" s="20">
        <f>F198</f>
        <v>1201.0999999999999</v>
      </c>
      <c r="G197" s="20">
        <f>G198</f>
        <v>0</v>
      </c>
      <c r="H197" s="20">
        <f>H198</f>
        <v>0</v>
      </c>
    </row>
    <row r="198" spans="1:8" s="21" customFormat="1" ht="25.5" x14ac:dyDescent="0.2">
      <c r="A198" s="28" t="s">
        <v>74</v>
      </c>
      <c r="B198" s="24" t="s">
        <v>29</v>
      </c>
      <c r="C198" s="24" t="s">
        <v>10</v>
      </c>
      <c r="D198" s="24" t="s">
        <v>203</v>
      </c>
      <c r="E198" s="24" t="s">
        <v>66</v>
      </c>
      <c r="F198" s="25">
        <f>' первое чтение вед стр-ра'!G223</f>
        <v>1201.0999999999999</v>
      </c>
      <c r="G198" s="25">
        <f>' первое чтение вед стр-ра'!H223</f>
        <v>0</v>
      </c>
      <c r="H198" s="25">
        <f>' первое чтение вед стр-ра'!I223</f>
        <v>0</v>
      </c>
    </row>
    <row r="199" spans="1:8" s="21" customFormat="1" x14ac:dyDescent="0.2">
      <c r="A199" s="18" t="s">
        <v>367</v>
      </c>
      <c r="B199" s="19" t="s">
        <v>29</v>
      </c>
      <c r="C199" s="19" t="s">
        <v>10</v>
      </c>
      <c r="D199" s="19" t="s">
        <v>368</v>
      </c>
      <c r="E199" s="19"/>
      <c r="F199" s="20">
        <f>F200</f>
        <v>1708</v>
      </c>
      <c r="G199" s="20">
        <f>G200</f>
        <v>0</v>
      </c>
      <c r="H199" s="20">
        <f>H200</f>
        <v>0</v>
      </c>
    </row>
    <row r="200" spans="1:8" s="21" customFormat="1" ht="25.5" x14ac:dyDescent="0.2">
      <c r="A200" s="18" t="s">
        <v>74</v>
      </c>
      <c r="B200" s="24" t="s">
        <v>29</v>
      </c>
      <c r="C200" s="24" t="s">
        <v>10</v>
      </c>
      <c r="D200" s="24" t="s">
        <v>368</v>
      </c>
      <c r="E200" s="24" t="s">
        <v>66</v>
      </c>
      <c r="F200" s="25">
        <f>' первое чтение вед стр-ра'!G631</f>
        <v>1708</v>
      </c>
      <c r="G200" s="25">
        <f>' первое чтение вед стр-ра'!H631</f>
        <v>0</v>
      </c>
      <c r="H200" s="25">
        <f>' первое чтение вед стр-ра'!I631</f>
        <v>0</v>
      </c>
    </row>
    <row r="201" spans="1:8" s="73" customFormat="1" x14ac:dyDescent="0.2">
      <c r="A201" s="64" t="s">
        <v>31</v>
      </c>
      <c r="B201" s="66" t="s">
        <v>29</v>
      </c>
      <c r="C201" s="66" t="s">
        <v>12</v>
      </c>
      <c r="D201" s="66"/>
      <c r="E201" s="66"/>
      <c r="F201" s="67">
        <f>F208+F216+F218+F220+F212+F202+F206+F204+F222+F224+F210+F214</f>
        <v>249022.5</v>
      </c>
      <c r="G201" s="67">
        <f t="shared" ref="G201:H201" si="41">G208+G216+G218+G220+G212+G202+G206+G204+G222+G224+G210+G214</f>
        <v>0</v>
      </c>
      <c r="H201" s="67">
        <f t="shared" si="41"/>
        <v>0</v>
      </c>
    </row>
    <row r="202" spans="1:8" ht="25.5" x14ac:dyDescent="0.2">
      <c r="A202" s="18" t="s">
        <v>351</v>
      </c>
      <c r="B202" s="19" t="s">
        <v>29</v>
      </c>
      <c r="C202" s="19" t="s">
        <v>12</v>
      </c>
      <c r="D202" s="19" t="s">
        <v>352</v>
      </c>
      <c r="E202" s="20"/>
      <c r="F202" s="20">
        <f>F203</f>
        <v>0</v>
      </c>
      <c r="G202" s="20">
        <f t="shared" ref="G202:H202" si="42">G203</f>
        <v>0</v>
      </c>
      <c r="H202" s="20">
        <f t="shared" si="42"/>
        <v>0</v>
      </c>
    </row>
    <row r="203" spans="1:8" ht="25.5" x14ac:dyDescent="0.2">
      <c r="A203" s="18" t="s">
        <v>74</v>
      </c>
      <c r="B203" s="19" t="s">
        <v>29</v>
      </c>
      <c r="C203" s="19" t="s">
        <v>12</v>
      </c>
      <c r="D203" s="19" t="s">
        <v>352</v>
      </c>
      <c r="E203" s="20" t="s">
        <v>66</v>
      </c>
      <c r="F203" s="20">
        <f>' первое чтение вед стр-ра'!G636</f>
        <v>0</v>
      </c>
      <c r="G203" s="20">
        <f>' первое чтение вед стр-ра'!H636</f>
        <v>0</v>
      </c>
      <c r="H203" s="20">
        <v>0</v>
      </c>
    </row>
    <row r="204" spans="1:8" ht="25.5" x14ac:dyDescent="0.2">
      <c r="A204" s="17" t="s">
        <v>275</v>
      </c>
      <c r="B204" s="19" t="s">
        <v>29</v>
      </c>
      <c r="C204" s="19" t="s">
        <v>12</v>
      </c>
      <c r="D204" s="19" t="s">
        <v>353</v>
      </c>
      <c r="E204" s="19"/>
      <c r="F204" s="20">
        <f>F205</f>
        <v>0</v>
      </c>
      <c r="G204" s="20">
        <f t="shared" ref="G204:H204" si="43">G205</f>
        <v>0</v>
      </c>
      <c r="H204" s="20">
        <f t="shared" si="43"/>
        <v>0</v>
      </c>
    </row>
    <row r="205" spans="1:8" ht="25.5" x14ac:dyDescent="0.2">
      <c r="A205" s="28" t="s">
        <v>74</v>
      </c>
      <c r="B205" s="24" t="s">
        <v>29</v>
      </c>
      <c r="C205" s="24" t="s">
        <v>12</v>
      </c>
      <c r="D205" s="24" t="s">
        <v>353</v>
      </c>
      <c r="E205" s="24" t="s">
        <v>66</v>
      </c>
      <c r="F205" s="20">
        <f>' первое чтение вед стр-ра'!G638</f>
        <v>0</v>
      </c>
      <c r="G205" s="20">
        <f>' первое чтение вед стр-ра'!H638</f>
        <v>0</v>
      </c>
      <c r="H205" s="20">
        <f>' первое чтение вед стр-ра'!I638</f>
        <v>0</v>
      </c>
    </row>
    <row r="206" spans="1:8" ht="25.5" x14ac:dyDescent="0.2">
      <c r="A206" s="17" t="s">
        <v>606</v>
      </c>
      <c r="B206" s="19" t="s">
        <v>29</v>
      </c>
      <c r="C206" s="19" t="s">
        <v>12</v>
      </c>
      <c r="D206" s="19" t="s">
        <v>605</v>
      </c>
      <c r="E206" s="19"/>
      <c r="F206" s="20">
        <f>F207</f>
        <v>0</v>
      </c>
      <c r="G206" s="20">
        <f t="shared" ref="G206:H206" si="44">G207</f>
        <v>0</v>
      </c>
      <c r="H206" s="20">
        <f t="shared" si="44"/>
        <v>0</v>
      </c>
    </row>
    <row r="207" spans="1:8" ht="25.5" x14ac:dyDescent="0.2">
      <c r="A207" s="28" t="s">
        <v>74</v>
      </c>
      <c r="B207" s="24" t="s">
        <v>29</v>
      </c>
      <c r="C207" s="24" t="s">
        <v>12</v>
      </c>
      <c r="D207" s="24" t="s">
        <v>605</v>
      </c>
      <c r="E207" s="24" t="s">
        <v>66</v>
      </c>
      <c r="F207" s="25">
        <f>' первое чтение вед стр-ра'!G640</f>
        <v>0</v>
      </c>
      <c r="G207" s="25">
        <f>' первое чтение вед стр-ра'!H640</f>
        <v>0</v>
      </c>
      <c r="H207" s="25">
        <f>' первое чтение вед стр-ра'!I640</f>
        <v>0</v>
      </c>
    </row>
    <row r="208" spans="1:8" s="73" customFormat="1" ht="25.5" x14ac:dyDescent="0.2">
      <c r="A208" s="83" t="s">
        <v>275</v>
      </c>
      <c r="B208" s="71" t="s">
        <v>29</v>
      </c>
      <c r="C208" s="71" t="s">
        <v>12</v>
      </c>
      <c r="D208" s="71" t="s">
        <v>274</v>
      </c>
      <c r="E208" s="71"/>
      <c r="F208" s="72">
        <f>+F209</f>
        <v>1263.9000000000001</v>
      </c>
      <c r="G208" s="72">
        <f t="shared" ref="G208:H208" si="45">+G209</f>
        <v>0</v>
      </c>
      <c r="H208" s="72">
        <f t="shared" si="45"/>
        <v>0</v>
      </c>
    </row>
    <row r="209" spans="1:8" s="21" customFormat="1" ht="25.5" x14ac:dyDescent="0.2">
      <c r="A209" s="28" t="s">
        <v>74</v>
      </c>
      <c r="B209" s="24" t="s">
        <v>29</v>
      </c>
      <c r="C209" s="24" t="s">
        <v>12</v>
      </c>
      <c r="D209" s="24" t="s">
        <v>274</v>
      </c>
      <c r="E209" s="24" t="s">
        <v>66</v>
      </c>
      <c r="F209" s="25">
        <f>' первое чтение вед стр-ра'!G642</f>
        <v>1263.9000000000001</v>
      </c>
      <c r="G209" s="25">
        <f>' первое чтение вед стр-ра'!H642</f>
        <v>0</v>
      </c>
      <c r="H209" s="25">
        <f>' первое чтение вед стр-ра'!I642</f>
        <v>0</v>
      </c>
    </row>
    <row r="210" spans="1:8" ht="25.5" x14ac:dyDescent="0.2">
      <c r="A210" s="18" t="s">
        <v>690</v>
      </c>
      <c r="B210" s="19" t="s">
        <v>29</v>
      </c>
      <c r="C210" s="19" t="s">
        <v>12</v>
      </c>
      <c r="D210" s="19" t="s">
        <v>691</v>
      </c>
      <c r="E210" s="19"/>
      <c r="F210" s="25">
        <f>F211</f>
        <v>800</v>
      </c>
      <c r="G210" s="25">
        <f t="shared" ref="G210:H210" si="46">G211</f>
        <v>0</v>
      </c>
      <c r="H210" s="25">
        <f t="shared" si="46"/>
        <v>0</v>
      </c>
    </row>
    <row r="211" spans="1:8" ht="25.5" x14ac:dyDescent="0.2">
      <c r="A211" s="28" t="s">
        <v>74</v>
      </c>
      <c r="B211" s="24" t="s">
        <v>29</v>
      </c>
      <c r="C211" s="24" t="s">
        <v>12</v>
      </c>
      <c r="D211" s="24" t="s">
        <v>691</v>
      </c>
      <c r="E211" s="24" t="s">
        <v>66</v>
      </c>
      <c r="F211" s="25">
        <f>' первое чтение вед стр-ра'!G644</f>
        <v>800</v>
      </c>
      <c r="G211" s="25">
        <f>' первое чтение вед стр-ра'!H644</f>
        <v>0</v>
      </c>
      <c r="H211" s="25">
        <f>' первое чтение вед стр-ра'!I644</f>
        <v>0</v>
      </c>
    </row>
    <row r="212" spans="1:8" s="82" customFormat="1" ht="18" customHeight="1" x14ac:dyDescent="0.2">
      <c r="A212" s="83" t="s">
        <v>322</v>
      </c>
      <c r="B212" s="71" t="s">
        <v>29</v>
      </c>
      <c r="C212" s="71" t="s">
        <v>12</v>
      </c>
      <c r="D212" s="71" t="s">
        <v>321</v>
      </c>
      <c r="E212" s="71"/>
      <c r="F212" s="72">
        <f>F213</f>
        <v>14349.1</v>
      </c>
      <c r="G212" s="72">
        <f>G213</f>
        <v>0</v>
      </c>
      <c r="H212" s="72">
        <f>H213</f>
        <v>0</v>
      </c>
    </row>
    <row r="213" spans="1:8" s="82" customFormat="1" ht="25.5" x14ac:dyDescent="0.2">
      <c r="A213" s="81" t="s">
        <v>74</v>
      </c>
      <c r="B213" s="76" t="s">
        <v>29</v>
      </c>
      <c r="C213" s="76" t="s">
        <v>12</v>
      </c>
      <c r="D213" s="76" t="s">
        <v>321</v>
      </c>
      <c r="E213" s="76" t="s">
        <v>66</v>
      </c>
      <c r="F213" s="56">
        <f>' первое чтение вед стр-ра'!G646</f>
        <v>14349.1</v>
      </c>
      <c r="G213" s="56">
        <f>' первое чтение вед стр-ра'!H646</f>
        <v>0</v>
      </c>
      <c r="H213" s="56">
        <f>' первое чтение вед стр-ра'!I646</f>
        <v>0</v>
      </c>
    </row>
    <row r="214" spans="1:8" ht="25.5" x14ac:dyDescent="0.2">
      <c r="A214" s="17" t="s">
        <v>693</v>
      </c>
      <c r="B214" s="19" t="s">
        <v>29</v>
      </c>
      <c r="C214" s="19" t="s">
        <v>12</v>
      </c>
      <c r="D214" s="19" t="s">
        <v>694</v>
      </c>
      <c r="E214" s="19"/>
      <c r="F214" s="20">
        <f>F215</f>
        <v>0</v>
      </c>
      <c r="G214" s="20">
        <f t="shared" ref="G214:H214" si="47">G215</f>
        <v>0</v>
      </c>
      <c r="H214" s="20">
        <f t="shared" si="47"/>
        <v>0</v>
      </c>
    </row>
    <row r="215" spans="1:8" ht="25.5" x14ac:dyDescent="0.2">
      <c r="A215" s="28" t="s">
        <v>80</v>
      </c>
      <c r="B215" s="24" t="s">
        <v>29</v>
      </c>
      <c r="C215" s="24" t="s">
        <v>12</v>
      </c>
      <c r="D215" s="24" t="s">
        <v>694</v>
      </c>
      <c r="E215" s="24" t="s">
        <v>69</v>
      </c>
      <c r="F215" s="25">
        <f>' первое чтение вед стр-ра'!G648</f>
        <v>0</v>
      </c>
      <c r="G215" s="25"/>
      <c r="H215" s="25"/>
    </row>
    <row r="216" spans="1:8" s="21" customFormat="1" ht="54.75" customHeight="1" x14ac:dyDescent="0.2">
      <c r="A216" s="18" t="s">
        <v>451</v>
      </c>
      <c r="B216" s="19" t="s">
        <v>29</v>
      </c>
      <c r="C216" s="19" t="s">
        <v>12</v>
      </c>
      <c r="D216" s="19" t="s">
        <v>276</v>
      </c>
      <c r="E216" s="19"/>
      <c r="F216" s="20">
        <f>F217</f>
        <v>167691.79999999999</v>
      </c>
      <c r="G216" s="20">
        <f>G217</f>
        <v>0</v>
      </c>
      <c r="H216" s="20">
        <f>H217</f>
        <v>0</v>
      </c>
    </row>
    <row r="217" spans="1:8" s="73" customFormat="1" x14ac:dyDescent="0.2">
      <c r="A217" s="81" t="s">
        <v>70</v>
      </c>
      <c r="B217" s="76" t="s">
        <v>29</v>
      </c>
      <c r="C217" s="76" t="s">
        <v>12</v>
      </c>
      <c r="D217" s="76" t="s">
        <v>276</v>
      </c>
      <c r="E217" s="76" t="s">
        <v>71</v>
      </c>
      <c r="F217" s="56">
        <f>' первое чтение вед стр-ра'!G650</f>
        <v>167691.79999999999</v>
      </c>
      <c r="G217" s="56">
        <f>' первое чтение вед стр-ра'!H650</f>
        <v>0</v>
      </c>
      <c r="H217" s="56">
        <f>' первое чтение вед стр-ра'!I650</f>
        <v>0</v>
      </c>
    </row>
    <row r="218" spans="1:8" s="21" customFormat="1" ht="63.75" x14ac:dyDescent="0.2">
      <c r="A218" s="17" t="s">
        <v>449</v>
      </c>
      <c r="B218" s="19" t="s">
        <v>29</v>
      </c>
      <c r="C218" s="19" t="s">
        <v>12</v>
      </c>
      <c r="D218" s="19" t="s">
        <v>277</v>
      </c>
      <c r="E218" s="19"/>
      <c r="F218" s="20">
        <f>F219</f>
        <v>13355.2</v>
      </c>
      <c r="G218" s="20">
        <f>G219</f>
        <v>0</v>
      </c>
      <c r="H218" s="20">
        <f>H219</f>
        <v>0</v>
      </c>
    </row>
    <row r="219" spans="1:8" s="21" customFormat="1" x14ac:dyDescent="0.2">
      <c r="A219" s="28" t="s">
        <v>70</v>
      </c>
      <c r="B219" s="24" t="s">
        <v>29</v>
      </c>
      <c r="C219" s="24" t="s">
        <v>12</v>
      </c>
      <c r="D219" s="24" t="s">
        <v>277</v>
      </c>
      <c r="E219" s="24" t="s">
        <v>71</v>
      </c>
      <c r="F219" s="25">
        <f>' первое чтение вед стр-ра'!G652</f>
        <v>13355.2</v>
      </c>
      <c r="G219" s="25">
        <f>' первое чтение вед стр-ра'!H652</f>
        <v>0</v>
      </c>
      <c r="H219" s="25">
        <f>' первое чтение вед стр-ра'!I652</f>
        <v>0</v>
      </c>
    </row>
    <row r="220" spans="1:8" s="21" customFormat="1" ht="38.25" x14ac:dyDescent="0.2">
      <c r="A220" s="18" t="s">
        <v>279</v>
      </c>
      <c r="B220" s="19" t="s">
        <v>29</v>
      </c>
      <c r="C220" s="19" t="s">
        <v>12</v>
      </c>
      <c r="D220" s="19" t="s">
        <v>278</v>
      </c>
      <c r="E220" s="19"/>
      <c r="F220" s="20">
        <f>F221</f>
        <v>2590.5</v>
      </c>
      <c r="G220" s="20">
        <f>G221</f>
        <v>0</v>
      </c>
      <c r="H220" s="20">
        <f>H221</f>
        <v>0</v>
      </c>
    </row>
    <row r="221" spans="1:8" s="21" customFormat="1" x14ac:dyDescent="0.2">
      <c r="A221" s="28" t="s">
        <v>70</v>
      </c>
      <c r="B221" s="24" t="s">
        <v>29</v>
      </c>
      <c r="C221" s="24" t="s">
        <v>12</v>
      </c>
      <c r="D221" s="24" t="s">
        <v>278</v>
      </c>
      <c r="E221" s="24" t="s">
        <v>71</v>
      </c>
      <c r="F221" s="25">
        <f>' первое чтение вед стр-ра'!G654</f>
        <v>2590.5</v>
      </c>
      <c r="G221" s="25">
        <f>' первое чтение вед стр-ра'!H654</f>
        <v>0</v>
      </c>
      <c r="H221" s="25">
        <f>' первое чтение вед стр-ра'!I654</f>
        <v>0</v>
      </c>
    </row>
    <row r="222" spans="1:8" ht="63.75" x14ac:dyDescent="0.2">
      <c r="A222" s="18" t="s">
        <v>652</v>
      </c>
      <c r="B222" s="19" t="s">
        <v>29</v>
      </c>
      <c r="C222" s="19" t="s">
        <v>12</v>
      </c>
      <c r="D222" s="19" t="s">
        <v>645</v>
      </c>
      <c r="E222" s="19"/>
      <c r="F222" s="20">
        <f t="shared" ref="F222:H222" si="48">F223</f>
        <v>44670</v>
      </c>
      <c r="G222" s="20">
        <f t="shared" si="48"/>
        <v>0</v>
      </c>
      <c r="H222" s="20">
        <f t="shared" si="48"/>
        <v>0</v>
      </c>
    </row>
    <row r="223" spans="1:8" s="26" customFormat="1" x14ac:dyDescent="0.2">
      <c r="A223" s="28" t="s">
        <v>70</v>
      </c>
      <c r="B223" s="24" t="s">
        <v>29</v>
      </c>
      <c r="C223" s="24" t="s">
        <v>12</v>
      </c>
      <c r="D223" s="24" t="s">
        <v>645</v>
      </c>
      <c r="E223" s="24" t="s">
        <v>71</v>
      </c>
      <c r="F223" s="25">
        <f>' первое чтение вед стр-ра'!G656</f>
        <v>44670</v>
      </c>
      <c r="G223" s="25">
        <f>' первое чтение вед стр-ра'!H656</f>
        <v>0</v>
      </c>
      <c r="H223" s="25">
        <f>' первое чтение вед стр-ра'!I656</f>
        <v>0</v>
      </c>
    </row>
    <row r="224" spans="1:8" s="26" customFormat="1" ht="25.5" x14ac:dyDescent="0.2">
      <c r="A224" s="28" t="s">
        <v>650</v>
      </c>
      <c r="B224" s="24" t="s">
        <v>29</v>
      </c>
      <c r="C224" s="24" t="s">
        <v>12</v>
      </c>
      <c r="D224" s="24" t="s">
        <v>649</v>
      </c>
      <c r="E224" s="25"/>
      <c r="F224" s="25">
        <f>F225</f>
        <v>4302</v>
      </c>
      <c r="G224" s="25">
        <f t="shared" ref="G224:H224" si="49">G225</f>
        <v>0</v>
      </c>
      <c r="H224" s="25">
        <f t="shared" si="49"/>
        <v>0</v>
      </c>
    </row>
    <row r="225" spans="1:8" s="26" customFormat="1" x14ac:dyDescent="0.2">
      <c r="A225" s="28" t="s">
        <v>70</v>
      </c>
      <c r="B225" s="24" t="s">
        <v>29</v>
      </c>
      <c r="C225" s="24" t="s">
        <v>12</v>
      </c>
      <c r="D225" s="24" t="s">
        <v>649</v>
      </c>
      <c r="E225" s="25" t="s">
        <v>71</v>
      </c>
      <c r="F225" s="25">
        <f>' первое чтение вед стр-ра'!G658</f>
        <v>4302</v>
      </c>
      <c r="G225" s="25">
        <f>' первое чтение вед стр-ра'!H658</f>
        <v>0</v>
      </c>
      <c r="H225" s="25">
        <f>' первое чтение вед стр-ра'!I658</f>
        <v>0</v>
      </c>
    </row>
    <row r="226" spans="1:8" s="73" customFormat="1" x14ac:dyDescent="0.2">
      <c r="A226" s="64" t="s">
        <v>33</v>
      </c>
      <c r="B226" s="66" t="s">
        <v>29</v>
      </c>
      <c r="C226" s="66" t="s">
        <v>14</v>
      </c>
      <c r="D226" s="66"/>
      <c r="E226" s="66"/>
      <c r="F226" s="67">
        <f>F235+F237+F239+F241+F231+F227+F244+F233+F246+F229</f>
        <v>36189.587589999996</v>
      </c>
      <c r="G226" s="67">
        <f t="shared" ref="G226:H226" si="50">G235+G237+G239+G241+G231+G227+G244+G233+G246+G229</f>
        <v>21701.8</v>
      </c>
      <c r="H226" s="67">
        <f t="shared" si="50"/>
        <v>16598.8</v>
      </c>
    </row>
    <row r="227" spans="1:8" s="7" customFormat="1" ht="38.25" x14ac:dyDescent="0.2">
      <c r="A227" s="17" t="s">
        <v>758</v>
      </c>
      <c r="B227" s="19" t="s">
        <v>29</v>
      </c>
      <c r="C227" s="19" t="s">
        <v>14</v>
      </c>
      <c r="D227" s="71" t="s">
        <v>757</v>
      </c>
      <c r="E227" s="19"/>
      <c r="F227" s="20">
        <f>F228</f>
        <v>3772.0128500000001</v>
      </c>
      <c r="G227" s="20">
        <f t="shared" ref="G227:H227" si="51">G228</f>
        <v>2766</v>
      </c>
      <c r="H227" s="20">
        <f t="shared" si="51"/>
        <v>2916.1</v>
      </c>
    </row>
    <row r="228" spans="1:8" s="7" customFormat="1" ht="25.5" x14ac:dyDescent="0.2">
      <c r="A228" s="28" t="s">
        <v>74</v>
      </c>
      <c r="B228" s="24" t="s">
        <v>29</v>
      </c>
      <c r="C228" s="24" t="s">
        <v>14</v>
      </c>
      <c r="D228" s="71" t="s">
        <v>757</v>
      </c>
      <c r="E228" s="24" t="s">
        <v>66</v>
      </c>
      <c r="F228" s="56">
        <f>' первое чтение вед стр-ра'!G661</f>
        <v>3772.0128500000001</v>
      </c>
      <c r="G228" s="56">
        <f>' первое чтение вед стр-ра'!H661</f>
        <v>2766</v>
      </c>
      <c r="H228" s="56">
        <f>' первое чтение вед стр-ра'!I661</f>
        <v>2916.1</v>
      </c>
    </row>
    <row r="229" spans="1:8" s="7" customFormat="1" ht="38.25" x14ac:dyDescent="0.2">
      <c r="A229" s="17" t="s">
        <v>761</v>
      </c>
      <c r="B229" s="19" t="s">
        <v>29</v>
      </c>
      <c r="C229" s="19" t="s">
        <v>14</v>
      </c>
      <c r="D229" s="19" t="s">
        <v>760</v>
      </c>
      <c r="E229" s="19"/>
      <c r="F229" s="20">
        <f>F230</f>
        <v>13082.447749999999</v>
      </c>
      <c r="G229" s="20">
        <f t="shared" ref="G229:H229" si="52">G230</f>
        <v>6666.7</v>
      </c>
      <c r="H229" s="20">
        <f t="shared" si="52"/>
        <v>6666.7</v>
      </c>
    </row>
    <row r="230" spans="1:8" s="7" customFormat="1" ht="25.5" x14ac:dyDescent="0.2">
      <c r="A230" s="28" t="s">
        <v>130</v>
      </c>
      <c r="B230" s="24" t="s">
        <v>29</v>
      </c>
      <c r="C230" s="24" t="s">
        <v>14</v>
      </c>
      <c r="D230" s="19" t="s">
        <v>760</v>
      </c>
      <c r="E230" s="24" t="s">
        <v>63</v>
      </c>
      <c r="F230" s="25">
        <f>' первое чтение вед стр-ра'!G663</f>
        <v>13082.447749999999</v>
      </c>
      <c r="G230" s="25">
        <f>' первое чтение вед стр-ра'!H663</f>
        <v>6666.7</v>
      </c>
      <c r="H230" s="25">
        <f>' первое чтение вед стр-ра'!I663</f>
        <v>6666.7</v>
      </c>
    </row>
    <row r="231" spans="1:8" s="7" customFormat="1" ht="25.5" x14ac:dyDescent="0.2">
      <c r="A231" s="17" t="s">
        <v>334</v>
      </c>
      <c r="B231" s="19" t="s">
        <v>29</v>
      </c>
      <c r="C231" s="19" t="s">
        <v>14</v>
      </c>
      <c r="D231" s="19" t="s">
        <v>737</v>
      </c>
      <c r="E231" s="19"/>
      <c r="F231" s="20">
        <f>F232</f>
        <v>0</v>
      </c>
      <c r="G231" s="20">
        <f>G232</f>
        <v>250</v>
      </c>
      <c r="H231" s="20">
        <f>H232</f>
        <v>0</v>
      </c>
    </row>
    <row r="232" spans="1:8" s="7" customFormat="1" ht="25.5" x14ac:dyDescent="0.2">
      <c r="A232" s="28" t="s">
        <v>74</v>
      </c>
      <c r="B232" s="24" t="s">
        <v>29</v>
      </c>
      <c r="C232" s="24" t="s">
        <v>14</v>
      </c>
      <c r="D232" s="19" t="s">
        <v>739</v>
      </c>
      <c r="E232" s="24" t="s">
        <v>66</v>
      </c>
      <c r="F232" s="25">
        <f>' первое чтение вед стр-ра'!G665</f>
        <v>0</v>
      </c>
      <c r="G232" s="25">
        <f>' первое чтение вед стр-ра'!H665</f>
        <v>250</v>
      </c>
      <c r="H232" s="25">
        <f>' первое чтение вед стр-ра'!I665</f>
        <v>0</v>
      </c>
    </row>
    <row r="233" spans="1:8" s="7" customFormat="1" ht="25.5" x14ac:dyDescent="0.2">
      <c r="A233" s="17" t="s">
        <v>359</v>
      </c>
      <c r="B233" s="19" t="s">
        <v>29</v>
      </c>
      <c r="C233" s="19" t="s">
        <v>14</v>
      </c>
      <c r="D233" s="19" t="s">
        <v>357</v>
      </c>
      <c r="E233" s="19"/>
      <c r="F233" s="20">
        <f>F234</f>
        <v>198.52698999999998</v>
      </c>
      <c r="G233" s="20">
        <f t="shared" ref="G233:H233" si="53">G234</f>
        <v>145.5</v>
      </c>
      <c r="H233" s="20">
        <f t="shared" si="53"/>
        <v>153.5</v>
      </c>
    </row>
    <row r="234" spans="1:8" s="7" customFormat="1" ht="25.5" x14ac:dyDescent="0.2">
      <c r="A234" s="28" t="s">
        <v>74</v>
      </c>
      <c r="B234" s="24" t="s">
        <v>29</v>
      </c>
      <c r="C234" s="24" t="s">
        <v>14</v>
      </c>
      <c r="D234" s="24" t="s">
        <v>358</v>
      </c>
      <c r="E234" s="24" t="s">
        <v>66</v>
      </c>
      <c r="F234" s="25">
        <f>' первое чтение вед стр-ра'!G667</f>
        <v>198.52698999999998</v>
      </c>
      <c r="G234" s="25">
        <f>' первое чтение вед стр-ра'!H667</f>
        <v>145.5</v>
      </c>
      <c r="H234" s="25">
        <f>' первое чтение вед стр-ра'!I667</f>
        <v>153.5</v>
      </c>
    </row>
    <row r="235" spans="1:8" s="73" customFormat="1" x14ac:dyDescent="0.2">
      <c r="A235" s="69" t="s">
        <v>281</v>
      </c>
      <c r="B235" s="71" t="s">
        <v>29</v>
      </c>
      <c r="C235" s="71" t="s">
        <v>14</v>
      </c>
      <c r="D235" s="71" t="s">
        <v>280</v>
      </c>
      <c r="E235" s="71"/>
      <c r="F235" s="72">
        <f>F236</f>
        <v>650</v>
      </c>
      <c r="G235" s="72">
        <f>G236</f>
        <v>650</v>
      </c>
      <c r="H235" s="72">
        <f>H236</f>
        <v>650</v>
      </c>
    </row>
    <row r="236" spans="1:8" s="73" customFormat="1" ht="25.5" x14ac:dyDescent="0.2">
      <c r="A236" s="81" t="s">
        <v>130</v>
      </c>
      <c r="B236" s="76" t="s">
        <v>29</v>
      </c>
      <c r="C236" s="76" t="s">
        <v>14</v>
      </c>
      <c r="D236" s="76" t="s">
        <v>280</v>
      </c>
      <c r="E236" s="76" t="s">
        <v>63</v>
      </c>
      <c r="F236" s="56">
        <f>' первое чтение вед стр-ра'!G669</f>
        <v>650</v>
      </c>
      <c r="G236" s="56">
        <f>' первое чтение вед стр-ра'!H669</f>
        <v>650</v>
      </c>
      <c r="H236" s="56">
        <f>' первое чтение вед стр-ра'!I669</f>
        <v>650</v>
      </c>
    </row>
    <row r="237" spans="1:8" s="21" customFormat="1" ht="25.5" x14ac:dyDescent="0.2">
      <c r="A237" s="18" t="s">
        <v>282</v>
      </c>
      <c r="B237" s="19" t="s">
        <v>29</v>
      </c>
      <c r="C237" s="19" t="s">
        <v>14</v>
      </c>
      <c r="D237" s="19" t="s">
        <v>587</v>
      </c>
      <c r="E237" s="19"/>
      <c r="F237" s="20">
        <f>F238</f>
        <v>3500</v>
      </c>
      <c r="G237" s="20">
        <f>G238</f>
        <v>3500</v>
      </c>
      <c r="H237" s="20">
        <f>H238</f>
        <v>2000</v>
      </c>
    </row>
    <row r="238" spans="1:8" s="21" customFormat="1" ht="25.5" x14ac:dyDescent="0.2">
      <c r="A238" s="28" t="s">
        <v>130</v>
      </c>
      <c r="B238" s="24" t="s">
        <v>29</v>
      </c>
      <c r="C238" s="24" t="s">
        <v>14</v>
      </c>
      <c r="D238" s="24" t="s">
        <v>283</v>
      </c>
      <c r="E238" s="24" t="s">
        <v>63</v>
      </c>
      <c r="F238" s="25">
        <f>' первое чтение вед стр-ра'!G671</f>
        <v>3500</v>
      </c>
      <c r="G238" s="25">
        <f>' первое чтение вед стр-ра'!H671</f>
        <v>3500</v>
      </c>
      <c r="H238" s="25">
        <f>' первое чтение вед стр-ра'!I671</f>
        <v>2000</v>
      </c>
    </row>
    <row r="239" spans="1:8" s="21" customFormat="1" x14ac:dyDescent="0.2">
      <c r="A239" s="18" t="s">
        <v>285</v>
      </c>
      <c r="B239" s="24" t="s">
        <v>29</v>
      </c>
      <c r="C239" s="24" t="s">
        <v>14</v>
      </c>
      <c r="D239" s="19" t="s">
        <v>284</v>
      </c>
      <c r="E239" s="24"/>
      <c r="F239" s="25">
        <f>F240</f>
        <v>582.6</v>
      </c>
      <c r="G239" s="25">
        <f>G240</f>
        <v>500</v>
      </c>
      <c r="H239" s="25">
        <f>H240</f>
        <v>354.3</v>
      </c>
    </row>
    <row r="240" spans="1:8" s="21" customFormat="1" ht="25.5" x14ac:dyDescent="0.2">
      <c r="A240" s="28" t="s">
        <v>130</v>
      </c>
      <c r="B240" s="24" t="s">
        <v>29</v>
      </c>
      <c r="C240" s="24" t="s">
        <v>14</v>
      </c>
      <c r="D240" s="24" t="s">
        <v>284</v>
      </c>
      <c r="E240" s="24" t="s">
        <v>63</v>
      </c>
      <c r="F240" s="25">
        <f>' первое чтение вед стр-ра'!G673</f>
        <v>582.6</v>
      </c>
      <c r="G240" s="25">
        <f>' первое чтение вед стр-ра'!H673</f>
        <v>500</v>
      </c>
      <c r="H240" s="25">
        <f>' первое чтение вед стр-ра'!I673</f>
        <v>354.3</v>
      </c>
    </row>
    <row r="241" spans="1:8" s="73" customFormat="1" ht="25.5" x14ac:dyDescent="0.2">
      <c r="A241" s="69" t="s">
        <v>287</v>
      </c>
      <c r="B241" s="71" t="s">
        <v>29</v>
      </c>
      <c r="C241" s="71" t="s">
        <v>14</v>
      </c>
      <c r="D241" s="100" t="s">
        <v>286</v>
      </c>
      <c r="E241" s="71"/>
      <c r="F241" s="72">
        <f>F243+F242</f>
        <v>9336</v>
      </c>
      <c r="G241" s="72">
        <f t="shared" ref="G241:H241" si="54">G243+G242</f>
        <v>6155.6</v>
      </c>
      <c r="H241" s="72">
        <f t="shared" si="54"/>
        <v>2790.2</v>
      </c>
    </row>
    <row r="242" spans="1:8" s="73" customFormat="1" ht="25.5" x14ac:dyDescent="0.2">
      <c r="A242" s="28" t="s">
        <v>74</v>
      </c>
      <c r="B242" s="24" t="s">
        <v>29</v>
      </c>
      <c r="C242" s="24" t="s">
        <v>14</v>
      </c>
      <c r="D242" s="16" t="s">
        <v>286</v>
      </c>
      <c r="E242" s="71" t="s">
        <v>66</v>
      </c>
      <c r="F242" s="72">
        <f>' первое чтение вед стр-ра'!G675</f>
        <v>286</v>
      </c>
      <c r="G242" s="72">
        <f>' первое чтение вед стр-ра'!H675</f>
        <v>0</v>
      </c>
      <c r="H242" s="72">
        <f>' первое чтение вед стр-ра'!I675</f>
        <v>0</v>
      </c>
    </row>
    <row r="243" spans="1:8" s="21" customFormat="1" ht="25.5" x14ac:dyDescent="0.2">
      <c r="A243" s="28" t="s">
        <v>130</v>
      </c>
      <c r="B243" s="24" t="s">
        <v>29</v>
      </c>
      <c r="C243" s="24" t="s">
        <v>14</v>
      </c>
      <c r="D243" s="16" t="s">
        <v>286</v>
      </c>
      <c r="E243" s="24" t="s">
        <v>63</v>
      </c>
      <c r="F243" s="25">
        <f>' первое чтение вед стр-ра'!G676</f>
        <v>9050</v>
      </c>
      <c r="G243" s="25">
        <f>' первое чтение вед стр-ра'!H676</f>
        <v>6155.6</v>
      </c>
      <c r="H243" s="25">
        <f>' первое чтение вед стр-ра'!I676</f>
        <v>2790.2</v>
      </c>
    </row>
    <row r="244" spans="1:8" s="21" customFormat="1" x14ac:dyDescent="0.2">
      <c r="A244" s="18" t="s">
        <v>349</v>
      </c>
      <c r="B244" s="19" t="s">
        <v>29</v>
      </c>
      <c r="C244" s="19" t="s">
        <v>14</v>
      </c>
      <c r="D244" s="16" t="s">
        <v>350</v>
      </c>
      <c r="E244" s="19"/>
      <c r="F244" s="20">
        <f>F245</f>
        <v>4000</v>
      </c>
      <c r="G244" s="20">
        <f t="shared" ref="G244:H244" si="55">G245</f>
        <v>0</v>
      </c>
      <c r="H244" s="20">
        <f t="shared" si="55"/>
        <v>0</v>
      </c>
    </row>
    <row r="245" spans="1:8" s="21" customFormat="1" ht="25.5" x14ac:dyDescent="0.2">
      <c r="A245" s="28" t="s">
        <v>130</v>
      </c>
      <c r="B245" s="24" t="s">
        <v>29</v>
      </c>
      <c r="C245" s="24" t="s">
        <v>14</v>
      </c>
      <c r="D245" s="16" t="s">
        <v>350</v>
      </c>
      <c r="E245" s="24" t="s">
        <v>63</v>
      </c>
      <c r="F245" s="25">
        <f>' первое чтение вед стр-ра'!G678</f>
        <v>4000</v>
      </c>
      <c r="G245" s="25">
        <f>' первое чтение вед стр-ра'!H678</f>
        <v>0</v>
      </c>
      <c r="H245" s="25">
        <f>' первое чтение вед стр-ра'!I678</f>
        <v>0</v>
      </c>
    </row>
    <row r="246" spans="1:8" ht="25.5" x14ac:dyDescent="0.2">
      <c r="A246" s="28" t="s">
        <v>732</v>
      </c>
      <c r="B246" s="24" t="s">
        <v>29</v>
      </c>
      <c r="C246" s="16" t="s">
        <v>14</v>
      </c>
      <c r="D246" s="24" t="s">
        <v>733</v>
      </c>
      <c r="E246" s="25"/>
      <c r="F246" s="25">
        <f>F247</f>
        <v>1068</v>
      </c>
      <c r="G246" s="25">
        <f t="shared" ref="G246:H246" si="56">G247</f>
        <v>1068</v>
      </c>
      <c r="H246" s="25">
        <f t="shared" si="56"/>
        <v>1068</v>
      </c>
    </row>
    <row r="247" spans="1:8" ht="25.5" x14ac:dyDescent="0.2">
      <c r="A247" s="28" t="s">
        <v>74</v>
      </c>
      <c r="B247" s="24" t="s">
        <v>29</v>
      </c>
      <c r="C247" s="16" t="s">
        <v>14</v>
      </c>
      <c r="D247" s="24" t="s">
        <v>733</v>
      </c>
      <c r="E247" s="25" t="s">
        <v>66</v>
      </c>
      <c r="F247" s="25">
        <f>' первое чтение вед стр-ра'!G680</f>
        <v>1068</v>
      </c>
      <c r="G247" s="25">
        <f>' первое чтение вед стр-ра'!H680</f>
        <v>1068</v>
      </c>
      <c r="H247" s="25">
        <f>' первое чтение вед стр-ра'!I680</f>
        <v>1068</v>
      </c>
    </row>
    <row r="248" spans="1:8" s="73" customFormat="1" ht="15.75" customHeight="1" x14ac:dyDescent="0.2">
      <c r="A248" s="64" t="s">
        <v>34</v>
      </c>
      <c r="B248" s="66" t="s">
        <v>29</v>
      </c>
      <c r="C248" s="66" t="s">
        <v>29</v>
      </c>
      <c r="D248" s="66"/>
      <c r="E248" s="66"/>
      <c r="F248" s="67">
        <f>F249+F251+F254</f>
        <v>20724.099999999999</v>
      </c>
      <c r="G248" s="67">
        <f>G249+G251+G254</f>
        <v>19354.7</v>
      </c>
      <c r="H248" s="67">
        <f>H249+H251+H254</f>
        <v>19137.7</v>
      </c>
    </row>
    <row r="249" spans="1:8" s="21" customFormat="1" ht="38.25" x14ac:dyDescent="0.2">
      <c r="A249" s="18" t="s">
        <v>289</v>
      </c>
      <c r="B249" s="19" t="s">
        <v>29</v>
      </c>
      <c r="C249" s="19" t="s">
        <v>29</v>
      </c>
      <c r="D249" s="19" t="s">
        <v>288</v>
      </c>
      <c r="E249" s="19"/>
      <c r="F249" s="20">
        <f>F250</f>
        <v>0</v>
      </c>
      <c r="G249" s="20">
        <f>G250</f>
        <v>0</v>
      </c>
      <c r="H249" s="20">
        <f>H250</f>
        <v>0</v>
      </c>
    </row>
    <row r="250" spans="1:8" s="21" customFormat="1" ht="25.5" x14ac:dyDescent="0.2">
      <c r="A250" s="28" t="s">
        <v>130</v>
      </c>
      <c r="B250" s="24" t="s">
        <v>29</v>
      </c>
      <c r="C250" s="24" t="s">
        <v>29</v>
      </c>
      <c r="D250" s="24" t="s">
        <v>288</v>
      </c>
      <c r="E250" s="24" t="s">
        <v>63</v>
      </c>
      <c r="F250" s="25">
        <f>' первое чтение вед стр-ра'!G683</f>
        <v>0</v>
      </c>
      <c r="G250" s="25">
        <f>' первое чтение вед стр-ра'!H683</f>
        <v>0</v>
      </c>
      <c r="H250" s="25">
        <f>' первое чтение вед стр-ра'!I683</f>
        <v>0</v>
      </c>
    </row>
    <row r="251" spans="1:8" s="21" customFormat="1" ht="25.5" x14ac:dyDescent="0.2">
      <c r="A251" s="18" t="s">
        <v>291</v>
      </c>
      <c r="B251" s="19" t="s">
        <v>29</v>
      </c>
      <c r="C251" s="19" t="s">
        <v>29</v>
      </c>
      <c r="D251" s="19" t="s">
        <v>290</v>
      </c>
      <c r="E251" s="19"/>
      <c r="F251" s="20">
        <f>F252+F253</f>
        <v>5480.6</v>
      </c>
      <c r="G251" s="20">
        <f t="shared" ref="G251:H251" si="57">G252+G253</f>
        <v>4942.5</v>
      </c>
      <c r="H251" s="20">
        <f t="shared" si="57"/>
        <v>4942.5</v>
      </c>
    </row>
    <row r="252" spans="1:8" s="21" customFormat="1" ht="51" x14ac:dyDescent="0.2">
      <c r="A252" s="30" t="s">
        <v>64</v>
      </c>
      <c r="B252" s="24" t="s">
        <v>29</v>
      </c>
      <c r="C252" s="24" t="s">
        <v>29</v>
      </c>
      <c r="D252" s="24" t="s">
        <v>290</v>
      </c>
      <c r="E252" s="24" t="s">
        <v>65</v>
      </c>
      <c r="F252" s="25">
        <f>' первое чтение вед стр-ра'!G685</f>
        <v>5040.2000000000007</v>
      </c>
      <c r="G252" s="25">
        <f>' первое чтение вед стр-ра'!H685</f>
        <v>4896.1000000000004</v>
      </c>
      <c r="H252" s="25">
        <f>' первое чтение вед стр-ра'!I685</f>
        <v>4896.1000000000004</v>
      </c>
    </row>
    <row r="253" spans="1:8" s="21" customFormat="1" ht="25.5" x14ac:dyDescent="0.2">
      <c r="A253" s="28" t="s">
        <v>74</v>
      </c>
      <c r="B253" s="24" t="s">
        <v>29</v>
      </c>
      <c r="C253" s="24" t="s">
        <v>29</v>
      </c>
      <c r="D253" s="24" t="s">
        <v>290</v>
      </c>
      <c r="E253" s="24" t="s">
        <v>66</v>
      </c>
      <c r="F253" s="25">
        <f>' первое чтение вед стр-ра'!G686</f>
        <v>440.4</v>
      </c>
      <c r="G253" s="25">
        <f>' первое чтение вед стр-ра'!H686</f>
        <v>46.4</v>
      </c>
      <c r="H253" s="25">
        <f>' первое чтение вед стр-ра'!I686</f>
        <v>46.4</v>
      </c>
    </row>
    <row r="254" spans="1:8" s="21" customFormat="1" ht="38.25" x14ac:dyDescent="0.2">
      <c r="A254" s="18" t="s">
        <v>293</v>
      </c>
      <c r="B254" s="24" t="s">
        <v>29</v>
      </c>
      <c r="C254" s="24" t="s">
        <v>29</v>
      </c>
      <c r="D254" s="19" t="s">
        <v>292</v>
      </c>
      <c r="E254" s="5"/>
      <c r="F254" s="6">
        <f>F255</f>
        <v>15243.5</v>
      </c>
      <c r="G254" s="6">
        <f>G255</f>
        <v>14412.2</v>
      </c>
      <c r="H254" s="6">
        <f>H255</f>
        <v>14195.2</v>
      </c>
    </row>
    <row r="255" spans="1:8" s="21" customFormat="1" ht="25.5" x14ac:dyDescent="0.2">
      <c r="A255" s="28" t="s">
        <v>130</v>
      </c>
      <c r="B255" s="24" t="s">
        <v>29</v>
      </c>
      <c r="C255" s="24" t="s">
        <v>29</v>
      </c>
      <c r="D255" s="24" t="s">
        <v>292</v>
      </c>
      <c r="E255" s="24" t="s">
        <v>63</v>
      </c>
      <c r="F255" s="25">
        <f>' первое чтение вед стр-ра'!G688</f>
        <v>15243.5</v>
      </c>
      <c r="G255" s="25">
        <f>' первое чтение вед стр-ра'!H688</f>
        <v>14412.2</v>
      </c>
      <c r="H255" s="25">
        <f>' первое чтение вед стр-ра'!I688</f>
        <v>14195.2</v>
      </c>
    </row>
    <row r="256" spans="1:8" s="21" customFormat="1" ht="15.75" x14ac:dyDescent="0.25">
      <c r="A256" s="125" t="s">
        <v>35</v>
      </c>
      <c r="B256" s="124" t="s">
        <v>17</v>
      </c>
      <c r="C256" s="124" t="s">
        <v>397</v>
      </c>
      <c r="D256" s="124"/>
      <c r="E256" s="124"/>
      <c r="F256" s="179">
        <f>F257+F274+F340+F332+F320</f>
        <v>1286368.8999999997</v>
      </c>
      <c r="G256" s="179">
        <f>G257+G274+G340+G332+G320</f>
        <v>1203984.3999999999</v>
      </c>
      <c r="H256" s="179">
        <f>H257+H274+H340+H332+H320</f>
        <v>1178479</v>
      </c>
    </row>
    <row r="257" spans="1:8" s="73" customFormat="1" x14ac:dyDescent="0.2">
      <c r="A257" s="64" t="s">
        <v>36</v>
      </c>
      <c r="B257" s="66" t="s">
        <v>17</v>
      </c>
      <c r="C257" s="66" t="s">
        <v>10</v>
      </c>
      <c r="D257" s="66"/>
      <c r="E257" s="66"/>
      <c r="F257" s="67">
        <f>F261+F263+F267+F258+F272</f>
        <v>472272.49999999994</v>
      </c>
      <c r="G257" s="67">
        <f t="shared" ref="G257:H257" si="58">G261+G263+G267+G258+G272</f>
        <v>440739.5</v>
      </c>
      <c r="H257" s="67">
        <f t="shared" si="58"/>
        <v>431654</v>
      </c>
    </row>
    <row r="258" spans="1:8" s="73" customFormat="1" ht="25.5" x14ac:dyDescent="0.2">
      <c r="A258" s="83" t="s">
        <v>152</v>
      </c>
      <c r="B258" s="71" t="s">
        <v>17</v>
      </c>
      <c r="C258" s="71" t="s">
        <v>10</v>
      </c>
      <c r="D258" s="71" t="s">
        <v>151</v>
      </c>
      <c r="E258" s="84"/>
      <c r="F258" s="85">
        <f>F260+F259</f>
        <v>5264.8</v>
      </c>
      <c r="G258" s="85">
        <f t="shared" ref="G258:H258" si="59">G260+G259</f>
        <v>866</v>
      </c>
      <c r="H258" s="85">
        <f t="shared" si="59"/>
        <v>866</v>
      </c>
    </row>
    <row r="259" spans="1:8" s="73" customFormat="1" ht="25.5" x14ac:dyDescent="0.2">
      <c r="A259" s="28" t="s">
        <v>74</v>
      </c>
      <c r="B259" s="76" t="s">
        <v>17</v>
      </c>
      <c r="C259" s="76" t="s">
        <v>10</v>
      </c>
      <c r="D259" s="76" t="s">
        <v>151</v>
      </c>
      <c r="E259" s="76" t="s">
        <v>66</v>
      </c>
      <c r="F259" s="56">
        <f>' первое чтение вед стр-ра'!G261</f>
        <v>727.8</v>
      </c>
      <c r="G259" s="56">
        <f>' первое чтение вед стр-ра'!H261</f>
        <v>148.9</v>
      </c>
      <c r="H259" s="56">
        <f>' первое чтение вед стр-ра'!I261</f>
        <v>148.9</v>
      </c>
    </row>
    <row r="260" spans="1:8" s="73" customFormat="1" ht="25.5" x14ac:dyDescent="0.2">
      <c r="A260" s="81" t="s">
        <v>130</v>
      </c>
      <c r="B260" s="76" t="s">
        <v>17</v>
      </c>
      <c r="C260" s="76" t="s">
        <v>10</v>
      </c>
      <c r="D260" s="76" t="s">
        <v>151</v>
      </c>
      <c r="E260" s="76" t="s">
        <v>63</v>
      </c>
      <c r="F260" s="56">
        <f>' первое чтение вед стр-ра'!G262</f>
        <v>4537</v>
      </c>
      <c r="G260" s="56">
        <f>' первое чтение вед стр-ра'!H262</f>
        <v>717.1</v>
      </c>
      <c r="H260" s="56">
        <f>' первое чтение вед стр-ра'!I262</f>
        <v>717.1</v>
      </c>
    </row>
    <row r="261" spans="1:8" s="21" customFormat="1" x14ac:dyDescent="0.2">
      <c r="A261" s="18" t="s">
        <v>162</v>
      </c>
      <c r="B261" s="19" t="s">
        <v>17</v>
      </c>
      <c r="C261" s="19" t="s">
        <v>10</v>
      </c>
      <c r="D261" s="24" t="s">
        <v>161</v>
      </c>
      <c r="E261" s="19"/>
      <c r="F261" s="20">
        <f>F262</f>
        <v>0</v>
      </c>
      <c r="G261" s="20">
        <f>G262</f>
        <v>0</v>
      </c>
      <c r="H261" s="20">
        <f>H262</f>
        <v>0</v>
      </c>
    </row>
    <row r="262" spans="1:8" s="21" customFormat="1" ht="25.5" x14ac:dyDescent="0.2">
      <c r="A262" s="28" t="s">
        <v>80</v>
      </c>
      <c r="B262" s="19" t="s">
        <v>17</v>
      </c>
      <c r="C262" s="19" t="s">
        <v>10</v>
      </c>
      <c r="D262" s="24" t="s">
        <v>161</v>
      </c>
      <c r="E262" s="24" t="s">
        <v>69</v>
      </c>
      <c r="F262" s="25">
        <f>' первое чтение вед стр-ра'!G264</f>
        <v>0</v>
      </c>
      <c r="G262" s="25">
        <f>' первое чтение вед стр-ра'!H264</f>
        <v>0</v>
      </c>
      <c r="H262" s="25">
        <f>' первое чтение вед стр-ра'!I264</f>
        <v>0</v>
      </c>
    </row>
    <row r="263" spans="1:8" s="21" customFormat="1" ht="51" x14ac:dyDescent="0.2">
      <c r="A263" s="54" t="s">
        <v>326</v>
      </c>
      <c r="B263" s="19" t="s">
        <v>17</v>
      </c>
      <c r="C263" s="19" t="s">
        <v>10</v>
      </c>
      <c r="D263" s="19" t="s">
        <v>115</v>
      </c>
      <c r="E263" s="19"/>
      <c r="F263" s="20">
        <f>F266+F264+F265</f>
        <v>264200</v>
      </c>
      <c r="G263" s="20">
        <f t="shared" ref="G263:H263" si="60">G266+G264+G265</f>
        <v>264200</v>
      </c>
      <c r="H263" s="20">
        <f t="shared" si="60"/>
        <v>264200</v>
      </c>
    </row>
    <row r="264" spans="1:8" s="73" customFormat="1" ht="51" x14ac:dyDescent="0.2">
      <c r="A264" s="74" t="s">
        <v>64</v>
      </c>
      <c r="B264" s="76" t="s">
        <v>17</v>
      </c>
      <c r="C264" s="76" t="s">
        <v>10</v>
      </c>
      <c r="D264" s="76" t="s">
        <v>115</v>
      </c>
      <c r="E264" s="77" t="s">
        <v>65</v>
      </c>
      <c r="F264" s="56">
        <f>' первое чтение вед стр-ра'!G266</f>
        <v>47990</v>
      </c>
      <c r="G264" s="56">
        <f>' первое чтение вед стр-ра'!H266</f>
        <v>47990</v>
      </c>
      <c r="H264" s="56">
        <f>' первое чтение вед стр-ра'!I266</f>
        <v>47990</v>
      </c>
    </row>
    <row r="265" spans="1:8" s="21" customFormat="1" ht="25.5" x14ac:dyDescent="0.2">
      <c r="A265" s="28" t="s">
        <v>74</v>
      </c>
      <c r="B265" s="24" t="s">
        <v>17</v>
      </c>
      <c r="C265" s="24" t="s">
        <v>10</v>
      </c>
      <c r="D265" s="24" t="s">
        <v>115</v>
      </c>
      <c r="E265" s="27" t="s">
        <v>66</v>
      </c>
      <c r="F265" s="56">
        <f>' первое чтение вед стр-ра'!G267</f>
        <v>189.2</v>
      </c>
      <c r="G265" s="56">
        <f>' первое чтение вед стр-ра'!H267</f>
        <v>189.2</v>
      </c>
      <c r="H265" s="56">
        <f>' первое чтение вед стр-ра'!I267</f>
        <v>189.2</v>
      </c>
    </row>
    <row r="266" spans="1:8" s="73" customFormat="1" ht="25.5" x14ac:dyDescent="0.2">
      <c r="A266" s="81" t="s">
        <v>130</v>
      </c>
      <c r="B266" s="76" t="s">
        <v>17</v>
      </c>
      <c r="C266" s="76" t="s">
        <v>10</v>
      </c>
      <c r="D266" s="76" t="s">
        <v>115</v>
      </c>
      <c r="E266" s="76" t="s">
        <v>63</v>
      </c>
      <c r="F266" s="56">
        <f>' первое чтение вед стр-ра'!G268</f>
        <v>216020.8</v>
      </c>
      <c r="G266" s="56">
        <f>' первое чтение вед стр-ра'!H268</f>
        <v>216020.8</v>
      </c>
      <c r="H266" s="56">
        <f>' первое чтение вед стр-ра'!I268</f>
        <v>216020.8</v>
      </c>
    </row>
    <row r="267" spans="1:8" s="73" customFormat="1" ht="53.25" customHeight="1" x14ac:dyDescent="0.2">
      <c r="A267" s="69" t="s">
        <v>312</v>
      </c>
      <c r="B267" s="71" t="s">
        <v>17</v>
      </c>
      <c r="C267" s="71" t="s">
        <v>10</v>
      </c>
      <c r="D267" s="71" t="s">
        <v>223</v>
      </c>
      <c r="E267" s="71"/>
      <c r="F267" s="72">
        <f>F270+F269+F268+F271</f>
        <v>202807.69999999998</v>
      </c>
      <c r="G267" s="72">
        <f>G270+G269+G268+G271</f>
        <v>175673.49999999997</v>
      </c>
      <c r="H267" s="72">
        <f>H270+H269+H268+H271</f>
        <v>166587.99999999997</v>
      </c>
    </row>
    <row r="268" spans="1:8" s="73" customFormat="1" ht="39.75" customHeight="1" x14ac:dyDescent="0.2">
      <c r="A268" s="74" t="s">
        <v>64</v>
      </c>
      <c r="B268" s="76" t="s">
        <v>17</v>
      </c>
      <c r="C268" s="76" t="s">
        <v>10</v>
      </c>
      <c r="D268" s="76" t="s">
        <v>223</v>
      </c>
      <c r="E268" s="77" t="s">
        <v>65</v>
      </c>
      <c r="F268" s="72">
        <f>' первое чтение вед стр-ра'!G270</f>
        <v>29924.9</v>
      </c>
      <c r="G268" s="72">
        <f>' первое чтение вед стр-ра'!H270</f>
        <v>29923.3</v>
      </c>
      <c r="H268" s="72">
        <f>' первое чтение вед стр-ра'!I270</f>
        <v>29923.3</v>
      </c>
    </row>
    <row r="269" spans="1:8" s="21" customFormat="1" ht="25.5" x14ac:dyDescent="0.2">
      <c r="A269" s="28" t="s">
        <v>74</v>
      </c>
      <c r="B269" s="24" t="s">
        <v>17</v>
      </c>
      <c r="C269" s="24" t="s">
        <v>10</v>
      </c>
      <c r="D269" s="24" t="s">
        <v>223</v>
      </c>
      <c r="E269" s="27" t="s">
        <v>66</v>
      </c>
      <c r="F269" s="72">
        <f>' первое чтение вед стр-ра'!G271</f>
        <v>13808</v>
      </c>
      <c r="G269" s="72">
        <f>' первое чтение вед стр-ра'!H271</f>
        <v>10370.299999999999</v>
      </c>
      <c r="H269" s="72">
        <f>' первое чтение вед стр-ра'!I271</f>
        <v>9150</v>
      </c>
    </row>
    <row r="270" spans="1:8" s="21" customFormat="1" ht="25.5" x14ac:dyDescent="0.2">
      <c r="A270" s="28" t="s">
        <v>130</v>
      </c>
      <c r="B270" s="24" t="s">
        <v>17</v>
      </c>
      <c r="C270" s="24" t="s">
        <v>10</v>
      </c>
      <c r="D270" s="24" t="s">
        <v>223</v>
      </c>
      <c r="E270" s="24" t="s">
        <v>63</v>
      </c>
      <c r="F270" s="72">
        <f>' первое чтение вед стр-ра'!G272</f>
        <v>158865.5</v>
      </c>
      <c r="G270" s="72">
        <f>' первое чтение вед стр-ра'!H272</f>
        <v>135290.6</v>
      </c>
      <c r="H270" s="72">
        <f>' первое чтение вед стр-ра'!I272</f>
        <v>127425.4</v>
      </c>
    </row>
    <row r="271" spans="1:8" s="73" customFormat="1" x14ac:dyDescent="0.2">
      <c r="A271" s="81" t="s">
        <v>70</v>
      </c>
      <c r="B271" s="76" t="s">
        <v>17</v>
      </c>
      <c r="C271" s="76" t="s">
        <v>10</v>
      </c>
      <c r="D271" s="76" t="s">
        <v>223</v>
      </c>
      <c r="E271" s="76" t="s">
        <v>71</v>
      </c>
      <c r="F271" s="72">
        <f>' первое чтение вед стр-ра'!G273</f>
        <v>209.3</v>
      </c>
      <c r="G271" s="72">
        <f>' первое чтение вед стр-ра'!H273</f>
        <v>89.3</v>
      </c>
      <c r="H271" s="72">
        <f>' первое чтение вед стр-ра'!I273</f>
        <v>89.3</v>
      </c>
    </row>
    <row r="272" spans="1:8" s="73" customFormat="1" ht="25.5" x14ac:dyDescent="0.2">
      <c r="A272" s="18" t="s">
        <v>613</v>
      </c>
      <c r="B272" s="19" t="s">
        <v>17</v>
      </c>
      <c r="C272" s="19" t="s">
        <v>10</v>
      </c>
      <c r="D272" s="19" t="s">
        <v>629</v>
      </c>
      <c r="E272" s="19"/>
      <c r="F272" s="72">
        <f>F273</f>
        <v>0</v>
      </c>
      <c r="G272" s="72">
        <f t="shared" ref="G272:H272" si="61">G273</f>
        <v>0</v>
      </c>
      <c r="H272" s="72">
        <f t="shared" si="61"/>
        <v>0</v>
      </c>
    </row>
    <row r="273" spans="1:8" s="73" customFormat="1" ht="25.5" x14ac:dyDescent="0.2">
      <c r="A273" s="28" t="s">
        <v>130</v>
      </c>
      <c r="B273" s="24" t="s">
        <v>17</v>
      </c>
      <c r="C273" s="24" t="s">
        <v>10</v>
      </c>
      <c r="D273" s="24" t="s">
        <v>629</v>
      </c>
      <c r="E273" s="24" t="s">
        <v>63</v>
      </c>
      <c r="F273" s="72">
        <f>' первое чтение вед стр-ра'!G275</f>
        <v>0</v>
      </c>
      <c r="G273" s="72">
        <f>' первое чтение вед стр-ра'!H275</f>
        <v>0</v>
      </c>
      <c r="H273" s="72">
        <f>' первое чтение вед стр-ра'!I275</f>
        <v>0</v>
      </c>
    </row>
    <row r="274" spans="1:8" s="73" customFormat="1" x14ac:dyDescent="0.2">
      <c r="A274" s="64" t="s">
        <v>37</v>
      </c>
      <c r="B274" s="66" t="s">
        <v>17</v>
      </c>
      <c r="C274" s="66" t="s">
        <v>12</v>
      </c>
      <c r="D274" s="66"/>
      <c r="E274" s="66"/>
      <c r="F274" s="67">
        <f>F286+F290+F294+F296+F298+F302+F317+F314+F307+F275+F282+F278+F284+F280+F310+F312+F305</f>
        <v>575978.19999999984</v>
      </c>
      <c r="G274" s="67">
        <f t="shared" ref="G274:H274" si="62">G286+G290+G294+G296+G298+G302+G317+G314+G307+G275+G282+G278+G284+G280+G310+G312+G305</f>
        <v>530468.49999999988</v>
      </c>
      <c r="H274" s="67">
        <f t="shared" si="62"/>
        <v>518212.49999999994</v>
      </c>
    </row>
    <row r="275" spans="1:8" s="73" customFormat="1" ht="25.5" x14ac:dyDescent="0.2">
      <c r="A275" s="83" t="s">
        <v>152</v>
      </c>
      <c r="B275" s="71" t="s">
        <v>17</v>
      </c>
      <c r="C275" s="71" t="s">
        <v>12</v>
      </c>
      <c r="D275" s="71" t="s">
        <v>151</v>
      </c>
      <c r="E275" s="84"/>
      <c r="F275" s="85">
        <f>F277+F276</f>
        <v>8238.6</v>
      </c>
      <c r="G275" s="85">
        <f t="shared" ref="G275:H275" si="63">G277+G276</f>
        <v>1419.7</v>
      </c>
      <c r="H275" s="85">
        <f t="shared" si="63"/>
        <v>1419.7</v>
      </c>
    </row>
    <row r="276" spans="1:8" s="73" customFormat="1" ht="25.5" x14ac:dyDescent="0.2">
      <c r="A276" s="28" t="s">
        <v>74</v>
      </c>
      <c r="B276" s="76" t="s">
        <v>17</v>
      </c>
      <c r="C276" s="76" t="s">
        <v>12</v>
      </c>
      <c r="D276" s="76" t="s">
        <v>151</v>
      </c>
      <c r="E276" s="76" t="s">
        <v>66</v>
      </c>
      <c r="F276" s="56">
        <f>' первое чтение вед стр-ра'!G282</f>
        <v>1162.0999999999999</v>
      </c>
      <c r="G276" s="56">
        <f>' первое чтение вед стр-ра'!H282</f>
        <v>316.8</v>
      </c>
      <c r="H276" s="56">
        <f>' первое чтение вед стр-ра'!I282</f>
        <v>316.8</v>
      </c>
    </row>
    <row r="277" spans="1:8" s="73" customFormat="1" ht="25.5" x14ac:dyDescent="0.2">
      <c r="A277" s="81" t="s">
        <v>130</v>
      </c>
      <c r="B277" s="76" t="s">
        <v>17</v>
      </c>
      <c r="C277" s="76" t="s">
        <v>12</v>
      </c>
      <c r="D277" s="76" t="s">
        <v>151</v>
      </c>
      <c r="E277" s="76" t="s">
        <v>63</v>
      </c>
      <c r="F277" s="56">
        <f>' первое чтение вед стр-ра'!G283</f>
        <v>7076.5</v>
      </c>
      <c r="G277" s="56">
        <f>' первое чтение вед стр-ра'!H283</f>
        <v>1102.9000000000001</v>
      </c>
      <c r="H277" s="56">
        <f>' первое чтение вед стр-ра'!I283</f>
        <v>1102.9000000000001</v>
      </c>
    </row>
    <row r="278" spans="1:8" s="9" customFormat="1" ht="25.5" x14ac:dyDescent="0.2">
      <c r="A278" s="18" t="s">
        <v>382</v>
      </c>
      <c r="B278" s="19" t="s">
        <v>17</v>
      </c>
      <c r="C278" s="19" t="s">
        <v>12</v>
      </c>
      <c r="D278" s="19" t="s">
        <v>608</v>
      </c>
      <c r="E278" s="19"/>
      <c r="F278" s="20">
        <f>F279</f>
        <v>125</v>
      </c>
      <c r="G278" s="20">
        <f t="shared" ref="G278:H278" si="64">G279</f>
        <v>0</v>
      </c>
      <c r="H278" s="20">
        <f t="shared" si="64"/>
        <v>0</v>
      </c>
    </row>
    <row r="279" spans="1:8" s="9" customFormat="1" ht="25.5" x14ac:dyDescent="0.2">
      <c r="A279" s="28" t="s">
        <v>130</v>
      </c>
      <c r="B279" s="24" t="s">
        <v>17</v>
      </c>
      <c r="C279" s="24" t="s">
        <v>12</v>
      </c>
      <c r="D279" s="24" t="s">
        <v>608</v>
      </c>
      <c r="E279" s="24" t="s">
        <v>63</v>
      </c>
      <c r="F279" s="25">
        <f>' первое чтение вед стр-ра'!G278</f>
        <v>125</v>
      </c>
      <c r="G279" s="25">
        <f>' первое чтение вед стр-ра'!H278</f>
        <v>0</v>
      </c>
      <c r="H279" s="25">
        <f>' первое чтение вед стр-ра'!I278</f>
        <v>0</v>
      </c>
    </row>
    <row r="280" spans="1:8" s="9" customFormat="1" ht="25.5" x14ac:dyDescent="0.2">
      <c r="A280" s="18" t="s">
        <v>382</v>
      </c>
      <c r="B280" s="19" t="s">
        <v>17</v>
      </c>
      <c r="C280" s="19" t="s">
        <v>12</v>
      </c>
      <c r="D280" s="19" t="s">
        <v>630</v>
      </c>
      <c r="E280" s="19"/>
      <c r="F280" s="25">
        <f>F281</f>
        <v>1250</v>
      </c>
      <c r="G280" s="25">
        <f t="shared" ref="G280:H280" si="65">G281</f>
        <v>0</v>
      </c>
      <c r="H280" s="25">
        <f t="shared" si="65"/>
        <v>0</v>
      </c>
    </row>
    <row r="281" spans="1:8" s="9" customFormat="1" ht="25.5" x14ac:dyDescent="0.2">
      <c r="A281" s="28" t="s">
        <v>130</v>
      </c>
      <c r="B281" s="24" t="s">
        <v>17</v>
      </c>
      <c r="C281" s="24" t="s">
        <v>12</v>
      </c>
      <c r="D281" s="24" t="s">
        <v>630</v>
      </c>
      <c r="E281" s="24" t="s">
        <v>63</v>
      </c>
      <c r="F281" s="25">
        <f>' первое чтение вед стр-ра'!G280</f>
        <v>1250</v>
      </c>
      <c r="G281" s="25">
        <f>' первое чтение вед стр-ра'!H280</f>
        <v>0</v>
      </c>
      <c r="H281" s="25">
        <f>' первое чтение вед стр-ра'!I280</f>
        <v>0</v>
      </c>
    </row>
    <row r="282" spans="1:8" ht="38.25" x14ac:dyDescent="0.2">
      <c r="A282" s="18" t="s">
        <v>602</v>
      </c>
      <c r="B282" s="19" t="s">
        <v>17</v>
      </c>
      <c r="C282" s="19" t="s">
        <v>12</v>
      </c>
      <c r="D282" s="19" t="s">
        <v>603</v>
      </c>
      <c r="E282" s="20"/>
      <c r="F282" s="20">
        <f>F283</f>
        <v>0</v>
      </c>
      <c r="G282" s="20">
        <f t="shared" ref="G282:H282" si="66">G283</f>
        <v>0</v>
      </c>
      <c r="H282" s="20">
        <f t="shared" si="66"/>
        <v>0</v>
      </c>
    </row>
    <row r="283" spans="1:8" ht="25.5" x14ac:dyDescent="0.2">
      <c r="A283" s="28" t="s">
        <v>130</v>
      </c>
      <c r="B283" s="24" t="s">
        <v>17</v>
      </c>
      <c r="C283" s="24" t="s">
        <v>12</v>
      </c>
      <c r="D283" s="24" t="s">
        <v>603</v>
      </c>
      <c r="E283" s="25" t="s">
        <v>63</v>
      </c>
      <c r="F283" s="25">
        <f>' первое чтение вед стр-ра'!G285</f>
        <v>0</v>
      </c>
      <c r="G283" s="25">
        <f>' первое чтение вед стр-ра'!H285</f>
        <v>0</v>
      </c>
      <c r="H283" s="25">
        <f>' первое чтение вед стр-ра'!I285</f>
        <v>0</v>
      </c>
    </row>
    <row r="284" spans="1:8" s="26" customFormat="1" ht="38.25" x14ac:dyDescent="0.2">
      <c r="A284" s="18" t="s">
        <v>602</v>
      </c>
      <c r="B284" s="19" t="s">
        <v>17</v>
      </c>
      <c r="C284" s="19" t="s">
        <v>12</v>
      </c>
      <c r="D284" s="19" t="s">
        <v>609</v>
      </c>
      <c r="E284" s="19"/>
      <c r="F284" s="20">
        <f>F285</f>
        <v>0</v>
      </c>
      <c r="G284" s="20">
        <f t="shared" ref="G284:H284" si="67">G285</f>
        <v>0</v>
      </c>
      <c r="H284" s="20">
        <f t="shared" si="67"/>
        <v>0</v>
      </c>
    </row>
    <row r="285" spans="1:8" s="26" customFormat="1" ht="25.5" x14ac:dyDescent="0.2">
      <c r="A285" s="28" t="s">
        <v>130</v>
      </c>
      <c r="B285" s="24" t="s">
        <v>17</v>
      </c>
      <c r="C285" s="24" t="s">
        <v>12</v>
      </c>
      <c r="D285" s="24" t="s">
        <v>609</v>
      </c>
      <c r="E285" s="24" t="s">
        <v>63</v>
      </c>
      <c r="F285" s="25">
        <f>' первое чтение вед стр-ра'!G287</f>
        <v>0</v>
      </c>
      <c r="G285" s="25">
        <f>' первое чтение вед стр-ра'!H287</f>
        <v>0</v>
      </c>
      <c r="H285" s="25">
        <f>' первое чтение вед стр-ра'!I287</f>
        <v>0</v>
      </c>
    </row>
    <row r="286" spans="1:8" s="21" customFormat="1" ht="25.5" x14ac:dyDescent="0.2">
      <c r="A286" s="18" t="s">
        <v>215</v>
      </c>
      <c r="B286" s="19" t="s">
        <v>17</v>
      </c>
      <c r="C286" s="19" t="s">
        <v>12</v>
      </c>
      <c r="D286" s="19" t="s">
        <v>113</v>
      </c>
      <c r="E286" s="19"/>
      <c r="F286" s="20">
        <f>F287+F288+F289</f>
        <v>50552</v>
      </c>
      <c r="G286" s="20">
        <f>G287+G288+G289</f>
        <v>50552</v>
      </c>
      <c r="H286" s="20">
        <f>H287+H288+H289</f>
        <v>50552</v>
      </c>
    </row>
    <row r="287" spans="1:8" s="73" customFormat="1" ht="51" x14ac:dyDescent="0.2">
      <c r="A287" s="74" t="s">
        <v>64</v>
      </c>
      <c r="B287" s="76" t="s">
        <v>17</v>
      </c>
      <c r="C287" s="76" t="s">
        <v>12</v>
      </c>
      <c r="D287" s="76" t="s">
        <v>113</v>
      </c>
      <c r="E287" s="77" t="s">
        <v>65</v>
      </c>
      <c r="F287" s="56">
        <f>' первое чтение вед стр-ра'!G289</f>
        <v>35906.6</v>
      </c>
      <c r="G287" s="56">
        <f>' первое чтение вед стр-ра'!H289</f>
        <v>35906.6</v>
      </c>
      <c r="H287" s="56">
        <f>' первое чтение вед стр-ра'!I289</f>
        <v>35906.6</v>
      </c>
    </row>
    <row r="288" spans="1:8" s="73" customFormat="1" ht="25.5" x14ac:dyDescent="0.2">
      <c r="A288" s="81" t="s">
        <v>74</v>
      </c>
      <c r="B288" s="76" t="s">
        <v>17</v>
      </c>
      <c r="C288" s="76" t="s">
        <v>12</v>
      </c>
      <c r="D288" s="76" t="s">
        <v>113</v>
      </c>
      <c r="E288" s="77" t="s">
        <v>66</v>
      </c>
      <c r="F288" s="56">
        <f>' первое чтение вед стр-ра'!G290</f>
        <v>14203.5</v>
      </c>
      <c r="G288" s="56">
        <f>' первое чтение вед стр-ра'!H290</f>
        <v>14203.5</v>
      </c>
      <c r="H288" s="56">
        <f>' первое чтение вед стр-ра'!I290</f>
        <v>14203.5</v>
      </c>
    </row>
    <row r="289" spans="1:8" s="21" customFormat="1" x14ac:dyDescent="0.2">
      <c r="A289" s="28" t="s">
        <v>70</v>
      </c>
      <c r="B289" s="24" t="s">
        <v>17</v>
      </c>
      <c r="C289" s="24" t="s">
        <v>12</v>
      </c>
      <c r="D289" s="24" t="s">
        <v>113</v>
      </c>
      <c r="E289" s="24" t="s">
        <v>71</v>
      </c>
      <c r="F289" s="56">
        <f>' первое чтение вед стр-ра'!G291</f>
        <v>441.9</v>
      </c>
      <c r="G289" s="56">
        <f>' первое чтение вед стр-ра'!H291</f>
        <v>441.9</v>
      </c>
      <c r="H289" s="56">
        <f>' первое чтение вед стр-ра'!I291</f>
        <v>441.9</v>
      </c>
    </row>
    <row r="290" spans="1:8" s="21" customFormat="1" ht="63.75" x14ac:dyDescent="0.2">
      <c r="A290" s="18" t="s">
        <v>510</v>
      </c>
      <c r="B290" s="19" t="s">
        <v>17</v>
      </c>
      <c r="C290" s="19" t="s">
        <v>12</v>
      </c>
      <c r="D290" s="19" t="s">
        <v>111</v>
      </c>
      <c r="E290" s="19"/>
      <c r="F290" s="20">
        <f>F291+F292+F293</f>
        <v>425320</v>
      </c>
      <c r="G290" s="20">
        <f>G291+G292+G293</f>
        <v>425320</v>
      </c>
      <c r="H290" s="20">
        <f>H291+H292+H293</f>
        <v>425320</v>
      </c>
    </row>
    <row r="291" spans="1:8" s="73" customFormat="1" ht="51" x14ac:dyDescent="0.2">
      <c r="A291" s="74" t="s">
        <v>64</v>
      </c>
      <c r="B291" s="76" t="s">
        <v>17</v>
      </c>
      <c r="C291" s="76" t="s">
        <v>12</v>
      </c>
      <c r="D291" s="76" t="s">
        <v>111</v>
      </c>
      <c r="E291" s="77" t="s">
        <v>65</v>
      </c>
      <c r="F291" s="56">
        <f>' первое чтение вед стр-ра'!G293</f>
        <v>68800.900000000009</v>
      </c>
      <c r="G291" s="56">
        <f>' первое чтение вед стр-ра'!H293</f>
        <v>68800.900000000009</v>
      </c>
      <c r="H291" s="56">
        <f>' первое чтение вед стр-ра'!I293</f>
        <v>68800.900000000009</v>
      </c>
    </row>
    <row r="292" spans="1:8" s="73" customFormat="1" ht="25.5" x14ac:dyDescent="0.2">
      <c r="A292" s="81" t="s">
        <v>74</v>
      </c>
      <c r="B292" s="76" t="s">
        <v>17</v>
      </c>
      <c r="C292" s="76" t="s">
        <v>12</v>
      </c>
      <c r="D292" s="76" t="s">
        <v>111</v>
      </c>
      <c r="E292" s="77" t="s">
        <v>66</v>
      </c>
      <c r="F292" s="56">
        <f>' первое чтение вед стр-ра'!G294</f>
        <v>2061.1</v>
      </c>
      <c r="G292" s="56">
        <f>' первое чтение вед стр-ра'!H294</f>
        <v>2061.1</v>
      </c>
      <c r="H292" s="56">
        <f>' первое чтение вед стр-ра'!I294</f>
        <v>2061.1</v>
      </c>
    </row>
    <row r="293" spans="1:8" s="73" customFormat="1" ht="25.5" x14ac:dyDescent="0.2">
      <c r="A293" s="81" t="s">
        <v>130</v>
      </c>
      <c r="B293" s="76" t="s">
        <v>17</v>
      </c>
      <c r="C293" s="76" t="s">
        <v>12</v>
      </c>
      <c r="D293" s="76" t="s">
        <v>111</v>
      </c>
      <c r="E293" s="76" t="s">
        <v>63</v>
      </c>
      <c r="F293" s="56">
        <f>' первое чтение вед стр-ра'!G295</f>
        <v>354458</v>
      </c>
      <c r="G293" s="56">
        <f>' первое чтение вед стр-ра'!H295</f>
        <v>354458</v>
      </c>
      <c r="H293" s="56">
        <f>' первое чтение вед стр-ра'!I295</f>
        <v>354458</v>
      </c>
    </row>
    <row r="294" spans="1:8" s="21" customFormat="1" ht="38.25" x14ac:dyDescent="0.2">
      <c r="A294" s="18" t="s">
        <v>216</v>
      </c>
      <c r="B294" s="19" t="s">
        <v>17</v>
      </c>
      <c r="C294" s="19" t="s">
        <v>12</v>
      </c>
      <c r="D294" s="19" t="s">
        <v>112</v>
      </c>
      <c r="E294" s="19"/>
      <c r="F294" s="20">
        <f>F295</f>
        <v>3880.1</v>
      </c>
      <c r="G294" s="20">
        <f t="shared" ref="G294:H294" si="68">G295</f>
        <v>3880.1</v>
      </c>
      <c r="H294" s="20">
        <f t="shared" si="68"/>
        <v>3880.1</v>
      </c>
    </row>
    <row r="295" spans="1:8" s="21" customFormat="1" ht="25.5" x14ac:dyDescent="0.2">
      <c r="A295" s="28" t="s">
        <v>74</v>
      </c>
      <c r="B295" s="24" t="s">
        <v>17</v>
      </c>
      <c r="C295" s="24" t="s">
        <v>12</v>
      </c>
      <c r="D295" s="24" t="s">
        <v>112</v>
      </c>
      <c r="E295" s="27" t="s">
        <v>66</v>
      </c>
      <c r="F295" s="25">
        <f>' первое чтение вед стр-ра'!G297</f>
        <v>3880.1</v>
      </c>
      <c r="G295" s="25">
        <f>' первое чтение вед стр-ра'!H297</f>
        <v>3880.1</v>
      </c>
      <c r="H295" s="25">
        <f>' первое чтение вед стр-ра'!I297</f>
        <v>3880.1</v>
      </c>
    </row>
    <row r="296" spans="1:8" s="21" customFormat="1" ht="51" x14ac:dyDescent="0.2">
      <c r="A296" s="18" t="s">
        <v>312</v>
      </c>
      <c r="B296" s="19" t="s">
        <v>17</v>
      </c>
      <c r="C296" s="19" t="s">
        <v>12</v>
      </c>
      <c r="D296" s="19" t="s">
        <v>218</v>
      </c>
      <c r="E296" s="19"/>
      <c r="F296" s="20">
        <f>F297</f>
        <v>73655.799999999988</v>
      </c>
      <c r="G296" s="20">
        <f>G297</f>
        <v>39999.5</v>
      </c>
      <c r="H296" s="20">
        <f>H297</f>
        <v>28557.599999999999</v>
      </c>
    </row>
    <row r="297" spans="1:8" s="21" customFormat="1" ht="25.5" x14ac:dyDescent="0.2">
      <c r="A297" s="28" t="s">
        <v>130</v>
      </c>
      <c r="B297" s="24" t="s">
        <v>17</v>
      </c>
      <c r="C297" s="24" t="s">
        <v>12</v>
      </c>
      <c r="D297" s="24" t="s">
        <v>218</v>
      </c>
      <c r="E297" s="24" t="s">
        <v>63</v>
      </c>
      <c r="F297" s="25">
        <f>' первое чтение вед стр-ра'!G303</f>
        <v>73655.799999999988</v>
      </c>
      <c r="G297" s="25">
        <f>' первое чтение вед стр-ра'!H303</f>
        <v>39999.5</v>
      </c>
      <c r="H297" s="25">
        <f>' первое чтение вед стр-ра'!I303</f>
        <v>28557.599999999999</v>
      </c>
    </row>
    <row r="298" spans="1:8" s="73" customFormat="1" ht="51" x14ac:dyDescent="0.2">
      <c r="A298" s="69" t="s">
        <v>221</v>
      </c>
      <c r="B298" s="71" t="s">
        <v>17</v>
      </c>
      <c r="C298" s="71" t="s">
        <v>12</v>
      </c>
      <c r="D298" s="71" t="s">
        <v>220</v>
      </c>
      <c r="E298" s="71"/>
      <c r="F298" s="72">
        <f>F299+F300+F301</f>
        <v>7009.5000000000009</v>
      </c>
      <c r="G298" s="72">
        <f>G299+G300+G301</f>
        <v>3720.1</v>
      </c>
      <c r="H298" s="72">
        <f>H299+H300+H301</f>
        <v>2905.9999999999995</v>
      </c>
    </row>
    <row r="299" spans="1:8" s="73" customFormat="1" ht="51" x14ac:dyDescent="0.2">
      <c r="A299" s="74" t="s">
        <v>64</v>
      </c>
      <c r="B299" s="76" t="s">
        <v>17</v>
      </c>
      <c r="C299" s="76" t="s">
        <v>12</v>
      </c>
      <c r="D299" s="76" t="s">
        <v>220</v>
      </c>
      <c r="E299" s="77" t="s">
        <v>65</v>
      </c>
      <c r="F299" s="56">
        <f>' первое чтение вед стр-ра'!G305</f>
        <v>3.3</v>
      </c>
      <c r="G299" s="56">
        <f>' первое чтение вед стр-ра'!H305</f>
        <v>0</v>
      </c>
      <c r="H299" s="56">
        <f>' первое чтение вед стр-ра'!I305</f>
        <v>0</v>
      </c>
    </row>
    <row r="300" spans="1:8" s="21" customFormat="1" ht="25.5" x14ac:dyDescent="0.2">
      <c r="A300" s="28" t="s">
        <v>74</v>
      </c>
      <c r="B300" s="24" t="s">
        <v>17</v>
      </c>
      <c r="C300" s="24" t="s">
        <v>12</v>
      </c>
      <c r="D300" s="24" t="s">
        <v>220</v>
      </c>
      <c r="E300" s="27" t="s">
        <v>66</v>
      </c>
      <c r="F300" s="56">
        <f>' первое чтение вед стр-ра'!G306</f>
        <v>6561.4000000000005</v>
      </c>
      <c r="G300" s="56">
        <f>' первое чтение вед стр-ра'!H306</f>
        <v>3467</v>
      </c>
      <c r="H300" s="56">
        <f>' первое чтение вед стр-ра'!I306</f>
        <v>2652.8999999999996</v>
      </c>
    </row>
    <row r="301" spans="1:8" s="21" customFormat="1" x14ac:dyDescent="0.2">
      <c r="A301" s="28" t="s">
        <v>70</v>
      </c>
      <c r="B301" s="24" t="s">
        <v>17</v>
      </c>
      <c r="C301" s="24" t="s">
        <v>12</v>
      </c>
      <c r="D301" s="24" t="s">
        <v>220</v>
      </c>
      <c r="E301" s="24" t="s">
        <v>71</v>
      </c>
      <c r="F301" s="56">
        <f>' первое чтение вед стр-ра'!G307</f>
        <v>444.79999999999995</v>
      </c>
      <c r="G301" s="56">
        <f>' первое чтение вед стр-ра'!H307</f>
        <v>253.10000000000002</v>
      </c>
      <c r="H301" s="56">
        <f>' первое чтение вед стр-ра'!I307</f>
        <v>253.10000000000002</v>
      </c>
    </row>
    <row r="302" spans="1:8" s="21" customFormat="1" ht="51" x14ac:dyDescent="0.2">
      <c r="A302" s="18" t="s">
        <v>221</v>
      </c>
      <c r="B302" s="19" t="s">
        <v>17</v>
      </c>
      <c r="C302" s="19" t="s">
        <v>12</v>
      </c>
      <c r="D302" s="19" t="s">
        <v>224</v>
      </c>
      <c r="E302" s="19"/>
      <c r="F302" s="20">
        <f>F303+F304</f>
        <v>712.9</v>
      </c>
      <c r="G302" s="20">
        <f t="shared" ref="G302:H302" si="69">G303+G304</f>
        <v>592.79999999999995</v>
      </c>
      <c r="H302" s="20">
        <f t="shared" si="69"/>
        <v>592.79999999999995</v>
      </c>
    </row>
    <row r="303" spans="1:8" s="21" customFormat="1" ht="25.5" x14ac:dyDescent="0.2">
      <c r="A303" s="28" t="s">
        <v>74</v>
      </c>
      <c r="B303" s="24" t="s">
        <v>17</v>
      </c>
      <c r="C303" s="24" t="s">
        <v>12</v>
      </c>
      <c r="D303" s="24" t="s">
        <v>224</v>
      </c>
      <c r="E303" s="27" t="s">
        <v>66</v>
      </c>
      <c r="F303" s="25">
        <f>' первое чтение вед стр-ра'!G309</f>
        <v>661.8</v>
      </c>
      <c r="G303" s="25">
        <f>' первое чтение вед стр-ра'!H309</f>
        <v>540.79999999999995</v>
      </c>
      <c r="H303" s="25">
        <f>' первое чтение вед стр-ра'!I309</f>
        <v>540.79999999999995</v>
      </c>
    </row>
    <row r="304" spans="1:8" s="26" customFormat="1" ht="12" customHeight="1" x14ac:dyDescent="0.2">
      <c r="A304" s="28" t="s">
        <v>70</v>
      </c>
      <c r="B304" s="24" t="s">
        <v>17</v>
      </c>
      <c r="C304" s="24" t="s">
        <v>12</v>
      </c>
      <c r="D304" s="24" t="s">
        <v>224</v>
      </c>
      <c r="E304" s="27" t="s">
        <v>71</v>
      </c>
      <c r="F304" s="25">
        <f>' первое чтение вед стр-ра'!G310</f>
        <v>51.1</v>
      </c>
      <c r="G304" s="25">
        <f>' первое чтение вед стр-ра'!H310</f>
        <v>52</v>
      </c>
      <c r="H304" s="25">
        <f>' первое чтение вед стр-ра'!I310</f>
        <v>52</v>
      </c>
    </row>
    <row r="305" spans="1:8" ht="76.5" x14ac:dyDescent="0.2">
      <c r="A305" s="18" t="s">
        <v>699</v>
      </c>
      <c r="B305" s="19" t="s">
        <v>17</v>
      </c>
      <c r="C305" s="19" t="s">
        <v>12</v>
      </c>
      <c r="D305" s="19" t="s">
        <v>698</v>
      </c>
      <c r="E305" s="19"/>
      <c r="F305" s="20">
        <f>F306</f>
        <v>3525.6</v>
      </c>
      <c r="G305" s="20">
        <f t="shared" ref="G305:H305" si="70">G306</f>
        <v>3525.6</v>
      </c>
      <c r="H305" s="20">
        <f t="shared" si="70"/>
        <v>3525.6</v>
      </c>
    </row>
    <row r="306" spans="1:8" s="26" customFormat="1" ht="25.5" x14ac:dyDescent="0.2">
      <c r="A306" s="28" t="s">
        <v>74</v>
      </c>
      <c r="B306" s="24" t="s">
        <v>17</v>
      </c>
      <c r="C306" s="24" t="s">
        <v>12</v>
      </c>
      <c r="D306" s="24" t="s">
        <v>698</v>
      </c>
      <c r="E306" s="27" t="s">
        <v>63</v>
      </c>
      <c r="F306" s="25">
        <f>' первое чтение вед стр-ра'!G312</f>
        <v>3525.6</v>
      </c>
      <c r="G306" s="25">
        <f>' первое чтение вед стр-ра'!H312</f>
        <v>3525.6</v>
      </c>
      <c r="H306" s="25">
        <f>' первое чтение вед стр-ра'!I312</f>
        <v>3525.6</v>
      </c>
    </row>
    <row r="307" spans="1:8" s="21" customFormat="1" ht="25.5" x14ac:dyDescent="0.2">
      <c r="A307" s="18" t="s">
        <v>217</v>
      </c>
      <c r="B307" s="19" t="s">
        <v>17</v>
      </c>
      <c r="C307" s="19" t="s">
        <v>12</v>
      </c>
      <c r="D307" s="19" t="s">
        <v>127</v>
      </c>
      <c r="E307" s="19"/>
      <c r="F307" s="20">
        <f>F309+F308</f>
        <v>249.7</v>
      </c>
      <c r="G307" s="20">
        <f t="shared" ref="G307:H307" si="71">G309+G308</f>
        <v>249.7</v>
      </c>
      <c r="H307" s="20">
        <f t="shared" si="71"/>
        <v>249.7</v>
      </c>
    </row>
    <row r="308" spans="1:8" s="26" customFormat="1" ht="25.5" x14ac:dyDescent="0.2">
      <c r="A308" s="28" t="s">
        <v>74</v>
      </c>
      <c r="B308" s="24" t="s">
        <v>17</v>
      </c>
      <c r="C308" s="24" t="s">
        <v>12</v>
      </c>
      <c r="D308" s="24" t="s">
        <v>127</v>
      </c>
      <c r="E308" s="27" t="s">
        <v>66</v>
      </c>
      <c r="F308" s="25">
        <f>' первое чтение вед стр-ра'!G314</f>
        <v>57.7</v>
      </c>
      <c r="G308" s="25">
        <f>' первое чтение вед стр-ра'!H314</f>
        <v>57.7</v>
      </c>
      <c r="H308" s="25">
        <f>' первое чтение вед стр-ра'!I314</f>
        <v>57.7</v>
      </c>
    </row>
    <row r="309" spans="1:8" s="21" customFormat="1" ht="25.5" x14ac:dyDescent="0.2">
      <c r="A309" s="28" t="s">
        <v>130</v>
      </c>
      <c r="B309" s="24" t="s">
        <v>17</v>
      </c>
      <c r="C309" s="24" t="s">
        <v>12</v>
      </c>
      <c r="D309" s="24" t="s">
        <v>127</v>
      </c>
      <c r="E309" s="24" t="s">
        <v>63</v>
      </c>
      <c r="F309" s="25">
        <f>' первое чтение вед стр-ра'!G315</f>
        <v>192</v>
      </c>
      <c r="G309" s="25">
        <f>' первое чтение вед стр-ра'!H315</f>
        <v>192</v>
      </c>
      <c r="H309" s="25">
        <f>' первое чтение вед стр-ра'!I315</f>
        <v>192</v>
      </c>
    </row>
    <row r="310" spans="1:8" ht="38.25" x14ac:dyDescent="0.2">
      <c r="A310" s="28" t="s">
        <v>659</v>
      </c>
      <c r="B310" s="24" t="s">
        <v>17</v>
      </c>
      <c r="C310" s="24" t="s">
        <v>12</v>
      </c>
      <c r="D310" s="19" t="s">
        <v>654</v>
      </c>
      <c r="E310" s="24"/>
      <c r="F310" s="25">
        <f>F311</f>
        <v>0</v>
      </c>
      <c r="G310" s="25">
        <f t="shared" ref="G310:H310" si="72">G311</f>
        <v>0</v>
      </c>
      <c r="H310" s="25">
        <f t="shared" si="72"/>
        <v>0</v>
      </c>
    </row>
    <row r="311" spans="1:8" ht="25.5" x14ac:dyDescent="0.2">
      <c r="A311" s="28" t="s">
        <v>130</v>
      </c>
      <c r="B311" s="24" t="s">
        <v>17</v>
      </c>
      <c r="C311" s="24" t="s">
        <v>12</v>
      </c>
      <c r="D311" s="19" t="s">
        <v>654</v>
      </c>
      <c r="E311" s="24" t="s">
        <v>63</v>
      </c>
      <c r="F311" s="25">
        <f>' первое чтение вед стр-ра'!G299</f>
        <v>0</v>
      </c>
      <c r="G311" s="25">
        <f>' первое чтение вед стр-ра'!H299</f>
        <v>0</v>
      </c>
      <c r="H311" s="25">
        <f>' первое чтение вед стр-ра'!I299</f>
        <v>0</v>
      </c>
    </row>
    <row r="312" spans="1:8" ht="38.25" x14ac:dyDescent="0.2">
      <c r="A312" s="28" t="s">
        <v>659</v>
      </c>
      <c r="B312" s="24" t="s">
        <v>17</v>
      </c>
      <c r="C312" s="24" t="s">
        <v>12</v>
      </c>
      <c r="D312" s="19" t="s">
        <v>655</v>
      </c>
      <c r="E312" s="24"/>
      <c r="F312" s="25">
        <f>F313</f>
        <v>0</v>
      </c>
      <c r="G312" s="25">
        <f t="shared" ref="G312:H312" si="73">G313</f>
        <v>0</v>
      </c>
      <c r="H312" s="25">
        <f t="shared" si="73"/>
        <v>0</v>
      </c>
    </row>
    <row r="313" spans="1:8" ht="25.5" x14ac:dyDescent="0.2">
      <c r="A313" s="28" t="s">
        <v>130</v>
      </c>
      <c r="B313" s="24" t="s">
        <v>17</v>
      </c>
      <c r="C313" s="24" t="s">
        <v>12</v>
      </c>
      <c r="D313" s="19" t="s">
        <v>655</v>
      </c>
      <c r="E313" s="24" t="s">
        <v>63</v>
      </c>
      <c r="F313" s="25">
        <f>' первое чтение вед стр-ра'!G301</f>
        <v>0</v>
      </c>
      <c r="G313" s="25">
        <f>' первое чтение вед стр-ра'!H301</f>
        <v>0</v>
      </c>
      <c r="H313" s="25">
        <f>' первое чтение вед стр-ра'!I301</f>
        <v>0</v>
      </c>
    </row>
    <row r="314" spans="1:8" s="21" customFormat="1" ht="25.5" x14ac:dyDescent="0.2">
      <c r="A314" s="18" t="s">
        <v>222</v>
      </c>
      <c r="B314" s="19" t="s">
        <v>17</v>
      </c>
      <c r="C314" s="19" t="s">
        <v>12</v>
      </c>
      <c r="D314" s="19" t="s">
        <v>128</v>
      </c>
      <c r="E314" s="19"/>
      <c r="F314" s="20">
        <f>F316+F315</f>
        <v>1209</v>
      </c>
      <c r="G314" s="20">
        <f>G316+G315</f>
        <v>1209</v>
      </c>
      <c r="H314" s="20">
        <f>H316+H315</f>
        <v>1209</v>
      </c>
    </row>
    <row r="315" spans="1:8" s="9" customFormat="1" x14ac:dyDescent="0.2">
      <c r="A315" s="28" t="s">
        <v>67</v>
      </c>
      <c r="B315" s="24" t="s">
        <v>17</v>
      </c>
      <c r="C315" s="24" t="s">
        <v>12</v>
      </c>
      <c r="D315" s="19" t="s">
        <v>128</v>
      </c>
      <c r="E315" s="24" t="s">
        <v>68</v>
      </c>
      <c r="F315" s="25">
        <f>' первое чтение вед стр-ра'!G317</f>
        <v>31.1</v>
      </c>
      <c r="G315" s="25">
        <f>' первое чтение вед стр-ра'!H317</f>
        <v>31.1</v>
      </c>
      <c r="H315" s="25">
        <f>' первое чтение вед стр-ра'!I317</f>
        <v>31.1</v>
      </c>
    </row>
    <row r="316" spans="1:8" s="21" customFormat="1" ht="25.5" x14ac:dyDescent="0.2">
      <c r="A316" s="28" t="s">
        <v>130</v>
      </c>
      <c r="B316" s="24" t="s">
        <v>17</v>
      </c>
      <c r="C316" s="24" t="s">
        <v>12</v>
      </c>
      <c r="D316" s="19" t="s">
        <v>128</v>
      </c>
      <c r="E316" s="24" t="s">
        <v>63</v>
      </c>
      <c r="F316" s="25">
        <f>' первое чтение вед стр-ра'!G318</f>
        <v>1177.9000000000001</v>
      </c>
      <c r="G316" s="25">
        <f>' первое чтение вед стр-ра'!H318</f>
        <v>1177.9000000000001</v>
      </c>
      <c r="H316" s="25">
        <f>' первое чтение вед стр-ра'!I318</f>
        <v>1177.9000000000001</v>
      </c>
    </row>
    <row r="317" spans="1:8" s="73" customFormat="1" x14ac:dyDescent="0.2">
      <c r="A317" s="69" t="s">
        <v>315</v>
      </c>
      <c r="B317" s="71" t="s">
        <v>17</v>
      </c>
      <c r="C317" s="71" t="s">
        <v>12</v>
      </c>
      <c r="D317" s="71" t="s">
        <v>300</v>
      </c>
      <c r="E317" s="71"/>
      <c r="F317" s="72">
        <f>F319+F318</f>
        <v>250</v>
      </c>
      <c r="G317" s="72">
        <f>G319+G318</f>
        <v>0</v>
      </c>
      <c r="H317" s="72">
        <f>H319+H318</f>
        <v>0</v>
      </c>
    </row>
    <row r="318" spans="1:8" s="21" customFormat="1" x14ac:dyDescent="0.2">
      <c r="A318" s="28" t="s">
        <v>67</v>
      </c>
      <c r="B318" s="24" t="s">
        <v>17</v>
      </c>
      <c r="C318" s="24" t="s">
        <v>12</v>
      </c>
      <c r="D318" s="19" t="s">
        <v>300</v>
      </c>
      <c r="E318" s="24" t="s">
        <v>68</v>
      </c>
      <c r="F318" s="25">
        <f>' первое чтение вед стр-ра'!G320</f>
        <v>20</v>
      </c>
      <c r="G318" s="25">
        <f>' первое чтение вед стр-ра'!H320</f>
        <v>0</v>
      </c>
      <c r="H318" s="25">
        <f>' первое чтение вед стр-ра'!I320</f>
        <v>0</v>
      </c>
    </row>
    <row r="319" spans="1:8" s="73" customFormat="1" ht="25.5" x14ac:dyDescent="0.2">
      <c r="A319" s="81" t="s">
        <v>130</v>
      </c>
      <c r="B319" s="76" t="s">
        <v>17</v>
      </c>
      <c r="C319" s="76" t="s">
        <v>12</v>
      </c>
      <c r="D319" s="71" t="s">
        <v>300</v>
      </c>
      <c r="E319" s="76" t="s">
        <v>63</v>
      </c>
      <c r="F319" s="25">
        <f>' первое чтение вед стр-ра'!G321</f>
        <v>230</v>
      </c>
      <c r="G319" s="25">
        <f>' первое чтение вед стр-ра'!H321</f>
        <v>0</v>
      </c>
      <c r="H319" s="25">
        <f>' первое чтение вед стр-ра'!I321</f>
        <v>0</v>
      </c>
    </row>
    <row r="320" spans="1:8" s="21" customFormat="1" x14ac:dyDescent="0.2">
      <c r="A320" s="11" t="s">
        <v>301</v>
      </c>
      <c r="B320" s="8" t="s">
        <v>17</v>
      </c>
      <c r="C320" s="8" t="s">
        <v>14</v>
      </c>
      <c r="D320" s="8"/>
      <c r="E320" s="8"/>
      <c r="F320" s="4">
        <f>F327+F325+F323+F321+F330</f>
        <v>163746.5</v>
      </c>
      <c r="G320" s="4">
        <f t="shared" ref="G320:H320" si="74">G327+G325+G323+G321+G330</f>
        <v>167957.6</v>
      </c>
      <c r="H320" s="4">
        <f t="shared" si="74"/>
        <v>164493</v>
      </c>
    </row>
    <row r="321" spans="1:8" s="21" customFormat="1" ht="25.5" x14ac:dyDescent="0.2">
      <c r="A321" s="17" t="s">
        <v>152</v>
      </c>
      <c r="B321" s="19" t="s">
        <v>17</v>
      </c>
      <c r="C321" s="19" t="s">
        <v>14</v>
      </c>
      <c r="D321" s="19" t="s">
        <v>151</v>
      </c>
      <c r="E321" s="5"/>
      <c r="F321" s="6">
        <f>F322</f>
        <v>2108.1999999999998</v>
      </c>
      <c r="G321" s="6">
        <f t="shared" ref="G321:H321" si="75">G322</f>
        <v>335.4</v>
      </c>
      <c r="H321" s="6">
        <f t="shared" si="75"/>
        <v>335.4</v>
      </c>
    </row>
    <row r="322" spans="1:8" s="21" customFormat="1" ht="25.5" x14ac:dyDescent="0.2">
      <c r="A322" s="28" t="s">
        <v>130</v>
      </c>
      <c r="B322" s="24" t="s">
        <v>17</v>
      </c>
      <c r="C322" s="24" t="s">
        <v>14</v>
      </c>
      <c r="D322" s="24" t="s">
        <v>151</v>
      </c>
      <c r="E322" s="24" t="s">
        <v>63</v>
      </c>
      <c r="F322" s="25">
        <f>' первое чтение вед стр-ра'!G324+' первое чтение вед стр-ра'!G428</f>
        <v>2108.1999999999998</v>
      </c>
      <c r="G322" s="25">
        <f>' первое чтение вед стр-ра'!H324+' первое чтение вед стр-ра'!H428</f>
        <v>335.4</v>
      </c>
      <c r="H322" s="25">
        <f>' первое чтение вед стр-ра'!I324+' первое чтение вед стр-ра'!I428</f>
        <v>335.4</v>
      </c>
    </row>
    <row r="323" spans="1:8" s="21" customFormat="1" x14ac:dyDescent="0.2">
      <c r="A323" s="18" t="s">
        <v>160</v>
      </c>
      <c r="B323" s="19" t="s">
        <v>17</v>
      </c>
      <c r="C323" s="19" t="s">
        <v>14</v>
      </c>
      <c r="D323" s="19" t="s">
        <v>159</v>
      </c>
      <c r="E323" s="19"/>
      <c r="F323" s="20">
        <f>F324</f>
        <v>0</v>
      </c>
      <c r="G323" s="20">
        <f t="shared" ref="G323:H323" si="76">G324</f>
        <v>16812.599999999999</v>
      </c>
      <c r="H323" s="20">
        <f t="shared" si="76"/>
        <v>16812.599999999999</v>
      </c>
    </row>
    <row r="324" spans="1:8" s="26" customFormat="1" ht="23.25" customHeight="1" x14ac:dyDescent="0.2">
      <c r="A324" s="28" t="s">
        <v>80</v>
      </c>
      <c r="B324" s="24" t="s">
        <v>17</v>
      </c>
      <c r="C324" s="24" t="s">
        <v>14</v>
      </c>
      <c r="D324" s="24" t="s">
        <v>159</v>
      </c>
      <c r="E324" s="24" t="s">
        <v>69</v>
      </c>
      <c r="F324" s="25">
        <f>' первое чтение вед стр-ра'!G430</f>
        <v>0</v>
      </c>
      <c r="G324" s="25">
        <f>' первое чтение вед стр-ра'!H430</f>
        <v>16812.599999999999</v>
      </c>
      <c r="H324" s="25">
        <f>' первое чтение вед стр-ра'!I430</f>
        <v>16812.599999999999</v>
      </c>
    </row>
    <row r="325" spans="1:8" s="21" customFormat="1" ht="25.5" x14ac:dyDescent="0.2">
      <c r="A325" s="18" t="s">
        <v>217</v>
      </c>
      <c r="B325" s="19" t="s">
        <v>17</v>
      </c>
      <c r="C325" s="19" t="s">
        <v>14</v>
      </c>
      <c r="D325" s="19" t="s">
        <v>127</v>
      </c>
      <c r="E325" s="19"/>
      <c r="F325" s="20">
        <f>F326</f>
        <v>115.3</v>
      </c>
      <c r="G325" s="20">
        <f t="shared" ref="G325:H325" si="77">G326</f>
        <v>115.3</v>
      </c>
      <c r="H325" s="20">
        <f t="shared" si="77"/>
        <v>115.3</v>
      </c>
    </row>
    <row r="326" spans="1:8" s="21" customFormat="1" ht="25.5" x14ac:dyDescent="0.2">
      <c r="A326" s="28" t="s">
        <v>130</v>
      </c>
      <c r="B326" s="24" t="s">
        <v>17</v>
      </c>
      <c r="C326" s="24" t="s">
        <v>14</v>
      </c>
      <c r="D326" s="24" t="s">
        <v>127</v>
      </c>
      <c r="E326" s="24" t="s">
        <v>63</v>
      </c>
      <c r="F326" s="25">
        <f>' первое чтение вед стр-ра'!G326</f>
        <v>115.3</v>
      </c>
      <c r="G326" s="25">
        <f>' первое чтение вед стр-ра'!H326</f>
        <v>115.3</v>
      </c>
      <c r="H326" s="25">
        <f>' первое чтение вед стр-ра'!I326</f>
        <v>115.3</v>
      </c>
    </row>
    <row r="327" spans="1:8" s="21" customFormat="1" ht="52.5" customHeight="1" x14ac:dyDescent="0.2">
      <c r="A327" s="18" t="s">
        <v>312</v>
      </c>
      <c r="B327" s="19" t="s">
        <v>17</v>
      </c>
      <c r="C327" s="19" t="s">
        <v>14</v>
      </c>
      <c r="D327" s="19" t="s">
        <v>219</v>
      </c>
      <c r="E327" s="19"/>
      <c r="F327" s="20">
        <f>F329+F328</f>
        <v>146318.29999999999</v>
      </c>
      <c r="G327" s="20">
        <f t="shared" ref="G327:H327" si="78">G329+G328</f>
        <v>136088.70000000001</v>
      </c>
      <c r="H327" s="20">
        <f t="shared" si="78"/>
        <v>132624.1</v>
      </c>
    </row>
    <row r="328" spans="1:8" s="26" customFormat="1" x14ac:dyDescent="0.2">
      <c r="A328" s="28" t="s">
        <v>67</v>
      </c>
      <c r="B328" s="24" t="s">
        <v>17</v>
      </c>
      <c r="C328" s="24" t="s">
        <v>14</v>
      </c>
      <c r="D328" s="24" t="s">
        <v>219</v>
      </c>
      <c r="E328" s="27" t="s">
        <v>68</v>
      </c>
      <c r="F328" s="25">
        <f>' первое чтение вед стр-ра'!G432</f>
        <v>30</v>
      </c>
      <c r="G328" s="25">
        <f>' первое чтение вед стр-ра'!H432</f>
        <v>0</v>
      </c>
      <c r="H328" s="25">
        <f>' первое чтение вед стр-ра'!I432</f>
        <v>0</v>
      </c>
    </row>
    <row r="329" spans="1:8" s="21" customFormat="1" ht="25.5" x14ac:dyDescent="0.2">
      <c r="A329" s="28" t="s">
        <v>130</v>
      </c>
      <c r="B329" s="24" t="s">
        <v>17</v>
      </c>
      <c r="C329" s="24" t="s">
        <v>14</v>
      </c>
      <c r="D329" s="24" t="s">
        <v>219</v>
      </c>
      <c r="E329" s="24" t="s">
        <v>63</v>
      </c>
      <c r="F329" s="56">
        <f>' первое чтение вед стр-ра'!G433+' первое чтение вед стр-ра'!G328</f>
        <v>146288.29999999999</v>
      </c>
      <c r="G329" s="56">
        <f>' первое чтение вед стр-ра'!H433+' первое чтение вед стр-ра'!H328</f>
        <v>136088.70000000001</v>
      </c>
      <c r="H329" s="56">
        <f>' первое чтение вед стр-ра'!I433+' первое чтение вед стр-ра'!I328</f>
        <v>132624.1</v>
      </c>
    </row>
    <row r="330" spans="1:8" ht="25.5" x14ac:dyDescent="0.2">
      <c r="A330" s="18" t="s">
        <v>615</v>
      </c>
      <c r="B330" s="19" t="s">
        <v>17</v>
      </c>
      <c r="C330" s="19" t="s">
        <v>14</v>
      </c>
      <c r="D330" s="19" t="s">
        <v>616</v>
      </c>
      <c r="E330" s="19"/>
      <c r="F330" s="56">
        <f>F331</f>
        <v>15204.7</v>
      </c>
      <c r="G330" s="56">
        <f t="shared" ref="G330:H330" si="79">G331</f>
        <v>14605.6</v>
      </c>
      <c r="H330" s="56">
        <f t="shared" si="79"/>
        <v>14605.6</v>
      </c>
    </row>
    <row r="331" spans="1:8" ht="25.5" x14ac:dyDescent="0.2">
      <c r="A331" s="28" t="s">
        <v>130</v>
      </c>
      <c r="B331" s="24" t="s">
        <v>17</v>
      </c>
      <c r="C331" s="24" t="s">
        <v>14</v>
      </c>
      <c r="D331" s="24" t="s">
        <v>616</v>
      </c>
      <c r="E331" s="24" t="s">
        <v>63</v>
      </c>
      <c r="F331" s="56">
        <f>' первое чтение вед стр-ра'!G330</f>
        <v>15204.7</v>
      </c>
      <c r="G331" s="56">
        <f>' первое чтение вед стр-ра'!H330</f>
        <v>14605.6</v>
      </c>
      <c r="H331" s="56">
        <f>' первое чтение вед стр-ра'!I330</f>
        <v>14605.6</v>
      </c>
    </row>
    <row r="332" spans="1:8" s="21" customFormat="1" x14ac:dyDescent="0.2">
      <c r="A332" s="11" t="s">
        <v>764</v>
      </c>
      <c r="B332" s="8" t="s">
        <v>17</v>
      </c>
      <c r="C332" s="8" t="s">
        <v>17</v>
      </c>
      <c r="D332" s="8"/>
      <c r="E332" s="8"/>
      <c r="F332" s="4">
        <f>F335+F333+F337</f>
        <v>372.7</v>
      </c>
      <c r="G332" s="4">
        <f t="shared" ref="G332:H332" si="80">G335+G333+G337</f>
        <v>340.7</v>
      </c>
      <c r="H332" s="4">
        <f t="shared" si="80"/>
        <v>340.7</v>
      </c>
    </row>
    <row r="333" spans="1:8" s="21" customFormat="1" x14ac:dyDescent="0.2">
      <c r="A333" s="18" t="s">
        <v>245</v>
      </c>
      <c r="B333" s="19" t="s">
        <v>17</v>
      </c>
      <c r="C333" s="19" t="s">
        <v>17</v>
      </c>
      <c r="D333" s="19" t="s">
        <v>129</v>
      </c>
      <c r="E333" s="19"/>
      <c r="F333" s="20">
        <f t="shared" ref="F333:H333" si="81">F334</f>
        <v>219.6</v>
      </c>
      <c r="G333" s="20">
        <f t="shared" si="81"/>
        <v>219.6</v>
      </c>
      <c r="H333" s="20">
        <f t="shared" si="81"/>
        <v>219.6</v>
      </c>
    </row>
    <row r="334" spans="1:8" s="21" customFormat="1" ht="51" x14ac:dyDescent="0.2">
      <c r="A334" s="23" t="s">
        <v>64</v>
      </c>
      <c r="B334" s="24" t="s">
        <v>17</v>
      </c>
      <c r="C334" s="24" t="s">
        <v>17</v>
      </c>
      <c r="D334" s="24" t="s">
        <v>129</v>
      </c>
      <c r="E334" s="27" t="s">
        <v>65</v>
      </c>
      <c r="F334" s="25">
        <f>' первое чтение вед стр-ра'!G483</f>
        <v>219.6</v>
      </c>
      <c r="G334" s="25">
        <f>' первое чтение вед стр-ра'!H483</f>
        <v>219.6</v>
      </c>
      <c r="H334" s="25">
        <f>' первое чтение вед стр-ра'!I483</f>
        <v>219.6</v>
      </c>
    </row>
    <row r="335" spans="1:8" s="21" customFormat="1" ht="25.5" x14ac:dyDescent="0.2">
      <c r="A335" s="18" t="s">
        <v>164</v>
      </c>
      <c r="B335" s="19" t="s">
        <v>17</v>
      </c>
      <c r="C335" s="19" t="s">
        <v>17</v>
      </c>
      <c r="D335" s="19" t="s">
        <v>163</v>
      </c>
      <c r="E335" s="19"/>
      <c r="F335" s="20">
        <f>F336</f>
        <v>121.1</v>
      </c>
      <c r="G335" s="20">
        <f>G336</f>
        <v>121.1</v>
      </c>
      <c r="H335" s="20">
        <f>H336</f>
        <v>121.1</v>
      </c>
    </row>
    <row r="336" spans="1:8" s="21" customFormat="1" ht="25.5" x14ac:dyDescent="0.2">
      <c r="A336" s="28" t="s">
        <v>74</v>
      </c>
      <c r="B336" s="24" t="s">
        <v>17</v>
      </c>
      <c r="C336" s="24" t="s">
        <v>17</v>
      </c>
      <c r="D336" s="24" t="s">
        <v>163</v>
      </c>
      <c r="E336" s="27" t="s">
        <v>66</v>
      </c>
      <c r="F336" s="25">
        <f>' первое чтение вед стр-ра'!G127</f>
        <v>121.1</v>
      </c>
      <c r="G336" s="25">
        <f>' первое чтение вед стр-ра'!H127</f>
        <v>121.1</v>
      </c>
      <c r="H336" s="25">
        <f>' первое чтение вед стр-ра'!I127</f>
        <v>121.1</v>
      </c>
    </row>
    <row r="337" spans="1:8" ht="25.5" x14ac:dyDescent="0.2">
      <c r="A337" s="18" t="s">
        <v>643</v>
      </c>
      <c r="B337" s="19" t="s">
        <v>17</v>
      </c>
      <c r="C337" s="19" t="s">
        <v>17</v>
      </c>
      <c r="D337" s="19" t="s">
        <v>642</v>
      </c>
      <c r="E337" s="19"/>
      <c r="F337" s="20">
        <f>F339+F338</f>
        <v>32</v>
      </c>
      <c r="G337" s="20">
        <f>G339+G338</f>
        <v>0</v>
      </c>
      <c r="H337" s="20">
        <f>H339+H338</f>
        <v>0</v>
      </c>
    </row>
    <row r="338" spans="1:8" ht="51" x14ac:dyDescent="0.2">
      <c r="A338" s="23" t="s">
        <v>64</v>
      </c>
      <c r="B338" s="24" t="s">
        <v>17</v>
      </c>
      <c r="C338" s="24" t="s">
        <v>17</v>
      </c>
      <c r="D338" s="24" t="s">
        <v>642</v>
      </c>
      <c r="E338" s="27" t="s">
        <v>65</v>
      </c>
      <c r="F338" s="25">
        <f>' первое чтение вед стр-ра'!G480</f>
        <v>19.33426</v>
      </c>
      <c r="G338" s="25">
        <f>' первое чтение вед стр-ра'!H480</f>
        <v>0</v>
      </c>
      <c r="H338" s="25">
        <f>' первое чтение вед стр-ра'!I480</f>
        <v>0</v>
      </c>
    </row>
    <row r="339" spans="1:8" ht="25.5" x14ac:dyDescent="0.2">
      <c r="A339" s="28" t="s">
        <v>74</v>
      </c>
      <c r="B339" s="24" t="s">
        <v>17</v>
      </c>
      <c r="C339" s="24" t="s">
        <v>17</v>
      </c>
      <c r="D339" s="24" t="s">
        <v>642</v>
      </c>
      <c r="E339" s="27" t="s">
        <v>66</v>
      </c>
      <c r="F339" s="25">
        <f>' первое чтение вед стр-ра'!G481</f>
        <v>12.66574</v>
      </c>
      <c r="G339" s="25">
        <f>' первое чтение вед стр-ра'!H481</f>
        <v>0</v>
      </c>
      <c r="H339" s="25">
        <f>' первое чтение вед стр-ра'!I481</f>
        <v>0</v>
      </c>
    </row>
    <row r="340" spans="1:8" s="73" customFormat="1" x14ac:dyDescent="0.2">
      <c r="A340" s="64" t="s">
        <v>39</v>
      </c>
      <c r="B340" s="66" t="s">
        <v>17</v>
      </c>
      <c r="C340" s="66" t="s">
        <v>24</v>
      </c>
      <c r="D340" s="66"/>
      <c r="E340" s="66"/>
      <c r="F340" s="67">
        <f>F349+F356+F358+F361+F364+F368+F371+F373+F346+F341+F344+F352+F354</f>
        <v>73999</v>
      </c>
      <c r="G340" s="67">
        <f t="shared" ref="G340:H340" si="82">G349+G356+G358+G361+G364+G368+G371+G373+G346+G341+G344+G352+G354</f>
        <v>64478.100000000006</v>
      </c>
      <c r="H340" s="67">
        <f t="shared" si="82"/>
        <v>63778.799999999996</v>
      </c>
    </row>
    <row r="341" spans="1:8" s="73" customFormat="1" ht="25.5" x14ac:dyDescent="0.2">
      <c r="A341" s="83" t="s">
        <v>152</v>
      </c>
      <c r="B341" s="71" t="s">
        <v>17</v>
      </c>
      <c r="C341" s="71" t="s">
        <v>24</v>
      </c>
      <c r="D341" s="71" t="s">
        <v>151</v>
      </c>
      <c r="E341" s="84"/>
      <c r="F341" s="85">
        <f>F343+F342</f>
        <v>129.1</v>
      </c>
      <c r="G341" s="85">
        <f t="shared" ref="G341:H341" si="83">G343+G342</f>
        <v>26</v>
      </c>
      <c r="H341" s="85">
        <f t="shared" si="83"/>
        <v>26</v>
      </c>
    </row>
    <row r="342" spans="1:8" s="73" customFormat="1" ht="25.5" x14ac:dyDescent="0.2">
      <c r="A342" s="28" t="s">
        <v>74</v>
      </c>
      <c r="B342" s="76" t="s">
        <v>17</v>
      </c>
      <c r="C342" s="76" t="s">
        <v>24</v>
      </c>
      <c r="D342" s="76" t="s">
        <v>151</v>
      </c>
      <c r="E342" s="76" t="s">
        <v>66</v>
      </c>
      <c r="F342" s="56">
        <f>' первое чтение вед стр-ра'!G333</f>
        <v>0</v>
      </c>
      <c r="G342" s="56">
        <f>' первое чтение вед стр-ра'!H333</f>
        <v>0</v>
      </c>
      <c r="H342" s="56">
        <f>' первое чтение вед стр-ра'!I333</f>
        <v>0</v>
      </c>
    </row>
    <row r="343" spans="1:8" s="73" customFormat="1" ht="25.5" x14ac:dyDescent="0.2">
      <c r="A343" s="81" t="s">
        <v>130</v>
      </c>
      <c r="B343" s="76" t="s">
        <v>17</v>
      </c>
      <c r="C343" s="76" t="s">
        <v>24</v>
      </c>
      <c r="D343" s="76" t="s">
        <v>151</v>
      </c>
      <c r="E343" s="76" t="s">
        <v>63</v>
      </c>
      <c r="F343" s="56">
        <f>' первое чтение вед стр-ра'!G334</f>
        <v>129.1</v>
      </c>
      <c r="G343" s="56">
        <f>' первое чтение вед стр-ра'!H334</f>
        <v>26</v>
      </c>
      <c r="H343" s="56">
        <f>' первое чтение вед стр-ра'!I334</f>
        <v>26</v>
      </c>
    </row>
    <row r="344" spans="1:8" ht="25.5" x14ac:dyDescent="0.2">
      <c r="A344" s="18" t="s">
        <v>217</v>
      </c>
      <c r="B344" s="19" t="s">
        <v>17</v>
      </c>
      <c r="C344" s="19" t="s">
        <v>24</v>
      </c>
      <c r="D344" s="19" t="s">
        <v>127</v>
      </c>
      <c r="E344" s="19"/>
      <c r="F344" s="20">
        <f>F345</f>
        <v>0</v>
      </c>
      <c r="G344" s="20">
        <f t="shared" ref="G344:H344" si="84">G345</f>
        <v>0</v>
      </c>
      <c r="H344" s="20">
        <f t="shared" si="84"/>
        <v>0</v>
      </c>
    </row>
    <row r="345" spans="1:8" ht="25.5" x14ac:dyDescent="0.2">
      <c r="A345" s="28" t="s">
        <v>130</v>
      </c>
      <c r="B345" s="24" t="s">
        <v>17</v>
      </c>
      <c r="C345" s="24" t="s">
        <v>24</v>
      </c>
      <c r="D345" s="24" t="s">
        <v>127</v>
      </c>
      <c r="E345" s="24" t="s">
        <v>63</v>
      </c>
      <c r="F345" s="25">
        <f>' первое чтение вед стр-ра'!G336</f>
        <v>0</v>
      </c>
      <c r="G345" s="25">
        <f>' первое чтение вед стр-ра'!H336</f>
        <v>0</v>
      </c>
      <c r="H345" s="25">
        <f>' первое чтение вед стр-ра'!I336</f>
        <v>0</v>
      </c>
    </row>
    <row r="346" spans="1:8" s="21" customFormat="1" ht="25.5" x14ac:dyDescent="0.2">
      <c r="A346" s="18" t="s">
        <v>175</v>
      </c>
      <c r="B346" s="19" t="s">
        <v>17</v>
      </c>
      <c r="C346" s="19" t="s">
        <v>24</v>
      </c>
      <c r="D346" s="19" t="s">
        <v>126</v>
      </c>
      <c r="E346" s="19"/>
      <c r="F346" s="20">
        <f>F348+F347</f>
        <v>4445</v>
      </c>
      <c r="G346" s="20">
        <f t="shared" ref="G346:H346" si="85">G348+G347</f>
        <v>4445</v>
      </c>
      <c r="H346" s="20">
        <f t="shared" si="85"/>
        <v>4445</v>
      </c>
    </row>
    <row r="347" spans="1:8" s="21" customFormat="1" ht="25.5" x14ac:dyDescent="0.2">
      <c r="A347" s="28" t="s">
        <v>74</v>
      </c>
      <c r="B347" s="24" t="s">
        <v>17</v>
      </c>
      <c r="C347" s="24" t="s">
        <v>24</v>
      </c>
      <c r="D347" s="24" t="s">
        <v>126</v>
      </c>
      <c r="E347" s="24" t="s">
        <v>66</v>
      </c>
      <c r="F347" s="25">
        <f>' первое чтение вед стр-ра'!G340</f>
        <v>101.25</v>
      </c>
      <c r="G347" s="25">
        <f>' первое чтение вед стр-ра'!H340</f>
        <v>101.25</v>
      </c>
      <c r="H347" s="25">
        <f>' первое чтение вед стр-ра'!I340</f>
        <v>101.25</v>
      </c>
    </row>
    <row r="348" spans="1:8" s="73" customFormat="1" ht="25.5" x14ac:dyDescent="0.2">
      <c r="A348" s="81" t="s">
        <v>130</v>
      </c>
      <c r="B348" s="76" t="s">
        <v>17</v>
      </c>
      <c r="C348" s="76" t="s">
        <v>24</v>
      </c>
      <c r="D348" s="76" t="s">
        <v>126</v>
      </c>
      <c r="E348" s="76" t="s">
        <v>63</v>
      </c>
      <c r="F348" s="56">
        <f>' первое чтение вед стр-ра'!G341+' первое чтение вед стр-ра'!G436</f>
        <v>4343.75</v>
      </c>
      <c r="G348" s="56">
        <f>' первое чтение вед стр-ра'!H341+' первое чтение вед стр-ра'!H436</f>
        <v>4343.75</v>
      </c>
      <c r="H348" s="56">
        <f>' первое чтение вед стр-ра'!I341+' первое чтение вед стр-ра'!I436</f>
        <v>4343.75</v>
      </c>
    </row>
    <row r="349" spans="1:8" s="21" customFormat="1" ht="102" x14ac:dyDescent="0.2">
      <c r="A349" s="18" t="s">
        <v>380</v>
      </c>
      <c r="B349" s="5" t="s">
        <v>17</v>
      </c>
      <c r="C349" s="5" t="s">
        <v>24</v>
      </c>
      <c r="D349" s="5" t="s">
        <v>114</v>
      </c>
      <c r="E349" s="19"/>
      <c r="F349" s="20">
        <f>F350+F351</f>
        <v>3245.9</v>
      </c>
      <c r="G349" s="20">
        <f>G350+G351</f>
        <v>3245.9</v>
      </c>
      <c r="H349" s="20">
        <f>H350+H351</f>
        <v>3245.9</v>
      </c>
    </row>
    <row r="350" spans="1:8" s="21" customFormat="1" ht="51" x14ac:dyDescent="0.2">
      <c r="A350" s="23" t="s">
        <v>64</v>
      </c>
      <c r="B350" s="24" t="s">
        <v>17</v>
      </c>
      <c r="C350" s="24" t="s">
        <v>24</v>
      </c>
      <c r="D350" s="24" t="s">
        <v>114</v>
      </c>
      <c r="E350" s="27" t="s">
        <v>65</v>
      </c>
      <c r="F350" s="25">
        <f>' первое чтение вед стр-ра'!G357</f>
        <v>2869.4</v>
      </c>
      <c r="G350" s="25">
        <f>' первое чтение вед стр-ра'!H357</f>
        <v>2869.4</v>
      </c>
      <c r="H350" s="25">
        <f>' первое чтение вед стр-ра'!I357</f>
        <v>2869.4</v>
      </c>
    </row>
    <row r="351" spans="1:8" s="21" customFormat="1" ht="25.5" x14ac:dyDescent="0.2">
      <c r="A351" s="28" t="s">
        <v>74</v>
      </c>
      <c r="B351" s="24" t="s">
        <v>17</v>
      </c>
      <c r="C351" s="24" t="s">
        <v>24</v>
      </c>
      <c r="D351" s="24" t="s">
        <v>114</v>
      </c>
      <c r="E351" s="27" t="s">
        <v>66</v>
      </c>
      <c r="F351" s="25">
        <f>' первое чтение вед стр-ра'!G358</f>
        <v>376.5</v>
      </c>
      <c r="G351" s="25">
        <f>' первое чтение вед стр-ра'!H358</f>
        <v>376.5</v>
      </c>
      <c r="H351" s="25">
        <f>' первое чтение вед стр-ра'!I358</f>
        <v>376.5</v>
      </c>
    </row>
    <row r="352" spans="1:8" ht="25.5" x14ac:dyDescent="0.2">
      <c r="A352" s="18" t="s">
        <v>666</v>
      </c>
      <c r="B352" s="19" t="s">
        <v>17</v>
      </c>
      <c r="C352" s="19" t="s">
        <v>24</v>
      </c>
      <c r="D352" s="19" t="s">
        <v>667</v>
      </c>
      <c r="E352" s="19"/>
      <c r="F352" s="20">
        <f>F353</f>
        <v>0</v>
      </c>
      <c r="G352" s="20">
        <f t="shared" ref="G352:H352" si="86">G353</f>
        <v>0</v>
      </c>
      <c r="H352" s="20">
        <f t="shared" si="86"/>
        <v>0</v>
      </c>
    </row>
    <row r="353" spans="1:8" ht="25.5" x14ac:dyDescent="0.2">
      <c r="A353" s="28" t="s">
        <v>130</v>
      </c>
      <c r="B353" s="24" t="s">
        <v>17</v>
      </c>
      <c r="C353" s="24" t="s">
        <v>24</v>
      </c>
      <c r="D353" s="24" t="s">
        <v>667</v>
      </c>
      <c r="E353" s="24" t="s">
        <v>63</v>
      </c>
      <c r="F353" s="25">
        <f>' первое чтение вед стр-ра'!G343</f>
        <v>0</v>
      </c>
      <c r="G353" s="25">
        <f>' первое чтение вед стр-ра'!H343</f>
        <v>0</v>
      </c>
      <c r="H353" s="25">
        <f>' первое чтение вед стр-ра'!I343</f>
        <v>0</v>
      </c>
    </row>
    <row r="354" spans="1:8" ht="25.5" x14ac:dyDescent="0.2">
      <c r="A354" s="18" t="s">
        <v>666</v>
      </c>
      <c r="B354" s="19" t="s">
        <v>17</v>
      </c>
      <c r="C354" s="19" t="s">
        <v>24</v>
      </c>
      <c r="D354" s="19" t="s">
        <v>679</v>
      </c>
      <c r="E354" s="19"/>
      <c r="F354" s="25">
        <f>F355</f>
        <v>0</v>
      </c>
      <c r="G354" s="25">
        <f t="shared" ref="G354:H354" si="87">G355</f>
        <v>0</v>
      </c>
      <c r="H354" s="25">
        <f t="shared" si="87"/>
        <v>0</v>
      </c>
    </row>
    <row r="355" spans="1:8" ht="25.5" x14ac:dyDescent="0.2">
      <c r="A355" s="28" t="s">
        <v>130</v>
      </c>
      <c r="B355" s="24" t="s">
        <v>17</v>
      </c>
      <c r="C355" s="24" t="s">
        <v>24</v>
      </c>
      <c r="D355" s="24" t="s">
        <v>679</v>
      </c>
      <c r="E355" s="24" t="s">
        <v>63</v>
      </c>
      <c r="F355" s="25">
        <f>' первое чтение вед стр-ра'!G338</f>
        <v>0</v>
      </c>
      <c r="G355" s="25">
        <f>' первое чтение вед стр-ра'!H338</f>
        <v>0</v>
      </c>
      <c r="H355" s="25">
        <f>' первое чтение вед стр-ра'!I338</f>
        <v>0</v>
      </c>
    </row>
    <row r="356" spans="1:8" s="21" customFormat="1" ht="25.5" x14ac:dyDescent="0.2">
      <c r="A356" s="18" t="s">
        <v>313</v>
      </c>
      <c r="B356" s="19" t="s">
        <v>17</v>
      </c>
      <c r="C356" s="19" t="s">
        <v>24</v>
      </c>
      <c r="D356" s="19" t="s">
        <v>225</v>
      </c>
      <c r="E356" s="19"/>
      <c r="F356" s="20">
        <f>F357</f>
        <v>140</v>
      </c>
      <c r="G356" s="20">
        <f t="shared" ref="G356:H356" si="88">G357</f>
        <v>0</v>
      </c>
      <c r="H356" s="20">
        <f t="shared" si="88"/>
        <v>0</v>
      </c>
    </row>
    <row r="357" spans="1:8" s="26" customFormat="1" ht="25.5" x14ac:dyDescent="0.2">
      <c r="A357" s="28" t="s">
        <v>130</v>
      </c>
      <c r="B357" s="24" t="s">
        <v>17</v>
      </c>
      <c r="C357" s="24" t="s">
        <v>24</v>
      </c>
      <c r="D357" s="24" t="s">
        <v>225</v>
      </c>
      <c r="E357" s="24" t="s">
        <v>63</v>
      </c>
      <c r="F357" s="25">
        <f>' первое чтение вед стр-ра'!G345</f>
        <v>140</v>
      </c>
      <c r="G357" s="25">
        <f>' первое чтение вед стр-ра'!H345</f>
        <v>0</v>
      </c>
      <c r="H357" s="25">
        <f>' первое чтение вед стр-ра'!I345</f>
        <v>0</v>
      </c>
    </row>
    <row r="358" spans="1:8" s="73" customFormat="1" ht="25.5" x14ac:dyDescent="0.2">
      <c r="A358" s="69" t="s">
        <v>313</v>
      </c>
      <c r="B358" s="71" t="s">
        <v>17</v>
      </c>
      <c r="C358" s="71" t="s">
        <v>24</v>
      </c>
      <c r="D358" s="71" t="s">
        <v>176</v>
      </c>
      <c r="E358" s="71"/>
      <c r="F358" s="72">
        <f>F360+F359</f>
        <v>326.3</v>
      </c>
      <c r="G358" s="72">
        <f t="shared" ref="G358:H358" si="89">G360+G359</f>
        <v>59.4</v>
      </c>
      <c r="H358" s="72">
        <f t="shared" si="89"/>
        <v>59.4</v>
      </c>
    </row>
    <row r="359" spans="1:8" s="21" customFormat="1" ht="25.5" x14ac:dyDescent="0.2">
      <c r="A359" s="28" t="s">
        <v>74</v>
      </c>
      <c r="B359" s="24" t="s">
        <v>17</v>
      </c>
      <c r="C359" s="24" t="s">
        <v>24</v>
      </c>
      <c r="D359" s="24" t="s">
        <v>176</v>
      </c>
      <c r="E359" s="24" t="s">
        <v>66</v>
      </c>
      <c r="F359" s="25">
        <f>' первое чтение вед стр-ра'!G347</f>
        <v>4.5</v>
      </c>
      <c r="G359" s="25">
        <f>' первое чтение вед стр-ра'!H347</f>
        <v>0</v>
      </c>
      <c r="H359" s="25">
        <f>' первое чтение вед стр-ра'!I347</f>
        <v>0</v>
      </c>
    </row>
    <row r="360" spans="1:8" s="73" customFormat="1" ht="25.5" x14ac:dyDescent="0.2">
      <c r="A360" s="81" t="s">
        <v>130</v>
      </c>
      <c r="B360" s="76" t="s">
        <v>17</v>
      </c>
      <c r="C360" s="76" t="s">
        <v>24</v>
      </c>
      <c r="D360" s="76" t="s">
        <v>176</v>
      </c>
      <c r="E360" s="76" t="s">
        <v>63</v>
      </c>
      <c r="F360" s="56">
        <f>' первое чтение вед стр-ра'!G348+' первое чтение вед стр-ра'!G438</f>
        <v>321.8</v>
      </c>
      <c r="G360" s="56">
        <f>' первое чтение вед стр-ра'!H348+' первое чтение вед стр-ра'!H438</f>
        <v>59.4</v>
      </c>
      <c r="H360" s="56">
        <f>' первое чтение вед стр-ра'!I348+' первое чтение вед стр-ра'!I438</f>
        <v>59.4</v>
      </c>
    </row>
    <row r="361" spans="1:8" s="21" customFormat="1" ht="38.25" x14ac:dyDescent="0.2">
      <c r="A361" s="18" t="s">
        <v>314</v>
      </c>
      <c r="B361" s="19" t="s">
        <v>17</v>
      </c>
      <c r="C361" s="19" t="s">
        <v>24</v>
      </c>
      <c r="D361" s="19" t="s">
        <v>226</v>
      </c>
      <c r="E361" s="19"/>
      <c r="F361" s="20">
        <f>F362+F363</f>
        <v>783.30000000000007</v>
      </c>
      <c r="G361" s="20">
        <f>G362+G363</f>
        <v>0</v>
      </c>
      <c r="H361" s="20">
        <f>H362+H363</f>
        <v>0</v>
      </c>
    </row>
    <row r="362" spans="1:8" s="21" customFormat="1" ht="51" x14ac:dyDescent="0.2">
      <c r="A362" s="30" t="s">
        <v>64</v>
      </c>
      <c r="B362" s="24" t="s">
        <v>17</v>
      </c>
      <c r="C362" s="24" t="s">
        <v>24</v>
      </c>
      <c r="D362" s="24" t="s">
        <v>226</v>
      </c>
      <c r="E362" s="27" t="s">
        <v>65</v>
      </c>
      <c r="F362" s="25">
        <f>' первое чтение вед стр-ра'!G350</f>
        <v>43.1</v>
      </c>
      <c r="G362" s="25">
        <f>' первое чтение вед стр-ра'!H350</f>
        <v>0</v>
      </c>
      <c r="H362" s="25">
        <f>' первое чтение вед стр-ра'!I350</f>
        <v>0</v>
      </c>
    </row>
    <row r="363" spans="1:8" s="21" customFormat="1" ht="25.5" x14ac:dyDescent="0.2">
      <c r="A363" s="28" t="s">
        <v>130</v>
      </c>
      <c r="B363" s="24" t="s">
        <v>17</v>
      </c>
      <c r="C363" s="24" t="s">
        <v>24</v>
      </c>
      <c r="D363" s="24" t="s">
        <v>226</v>
      </c>
      <c r="E363" s="24" t="s">
        <v>63</v>
      </c>
      <c r="F363" s="25">
        <f>' первое чтение вед стр-ра'!G351</f>
        <v>740.2</v>
      </c>
      <c r="G363" s="25">
        <f>' первое чтение вед стр-ра'!H351</f>
        <v>0</v>
      </c>
      <c r="H363" s="25">
        <f>' первое чтение вед стр-ра'!I351</f>
        <v>0</v>
      </c>
    </row>
    <row r="364" spans="1:8" s="73" customFormat="1" ht="25.5" x14ac:dyDescent="0.2">
      <c r="A364" s="69" t="s">
        <v>228</v>
      </c>
      <c r="B364" s="71" t="s">
        <v>17</v>
      </c>
      <c r="C364" s="71" t="s">
        <v>24</v>
      </c>
      <c r="D364" s="71" t="s">
        <v>227</v>
      </c>
      <c r="E364" s="71"/>
      <c r="F364" s="72">
        <f>F367+F366+F365</f>
        <v>567.70000000000005</v>
      </c>
      <c r="G364" s="72">
        <f t="shared" ref="G364:H364" si="90">G367+G366+G365</f>
        <v>516.1</v>
      </c>
      <c r="H364" s="72">
        <f t="shared" si="90"/>
        <v>516.1</v>
      </c>
    </row>
    <row r="365" spans="1:8" s="26" customFormat="1" ht="51" x14ac:dyDescent="0.2">
      <c r="A365" s="30" t="s">
        <v>64</v>
      </c>
      <c r="B365" s="24" t="s">
        <v>17</v>
      </c>
      <c r="C365" s="24" t="s">
        <v>24</v>
      </c>
      <c r="D365" s="24" t="s">
        <v>227</v>
      </c>
      <c r="E365" s="24" t="s">
        <v>65</v>
      </c>
      <c r="F365" s="25">
        <f>' первое чтение вед стр-ра'!G353</f>
        <v>20.6</v>
      </c>
      <c r="G365" s="25">
        <f>' первое чтение вед стр-ра'!H353</f>
        <v>20.6</v>
      </c>
      <c r="H365" s="25">
        <f>' первое чтение вед стр-ра'!I353</f>
        <v>20.6</v>
      </c>
    </row>
    <row r="366" spans="1:8" s="78" customFormat="1" ht="25.5" x14ac:dyDescent="0.2">
      <c r="A366" s="81" t="s">
        <v>74</v>
      </c>
      <c r="B366" s="76" t="s">
        <v>17</v>
      </c>
      <c r="C366" s="76" t="s">
        <v>24</v>
      </c>
      <c r="D366" s="76" t="s">
        <v>227</v>
      </c>
      <c r="E366" s="76" t="s">
        <v>66</v>
      </c>
      <c r="F366" s="25">
        <f>' первое чтение вед стр-ра'!G354</f>
        <v>51.6</v>
      </c>
      <c r="G366" s="25">
        <f>' первое чтение вед стр-ра'!H354</f>
        <v>0</v>
      </c>
      <c r="H366" s="25">
        <f>' первое чтение вед стр-ра'!I354</f>
        <v>0</v>
      </c>
    </row>
    <row r="367" spans="1:8" s="21" customFormat="1" ht="25.5" x14ac:dyDescent="0.2">
      <c r="A367" s="28" t="s">
        <v>130</v>
      </c>
      <c r="B367" s="24" t="s">
        <v>17</v>
      </c>
      <c r="C367" s="24" t="s">
        <v>24</v>
      </c>
      <c r="D367" s="24" t="s">
        <v>227</v>
      </c>
      <c r="E367" s="24" t="s">
        <v>63</v>
      </c>
      <c r="F367" s="25">
        <f>' первое чтение вед стр-ра'!G355</f>
        <v>495.5</v>
      </c>
      <c r="G367" s="25">
        <f>' первое чтение вед стр-ра'!H355</f>
        <v>495.5</v>
      </c>
      <c r="H367" s="25">
        <f>' первое чтение вед стр-ра'!I355</f>
        <v>495.5</v>
      </c>
    </row>
    <row r="368" spans="1:8" s="73" customFormat="1" ht="25.5" x14ac:dyDescent="0.2">
      <c r="A368" s="69" t="s">
        <v>316</v>
      </c>
      <c r="B368" s="71" t="s">
        <v>17</v>
      </c>
      <c r="C368" s="71" t="s">
        <v>24</v>
      </c>
      <c r="D368" s="71" t="s">
        <v>229</v>
      </c>
      <c r="E368" s="71"/>
      <c r="F368" s="72">
        <f>F369+F370</f>
        <v>4467.2</v>
      </c>
      <c r="G368" s="72">
        <f>G369+G370</f>
        <v>4407.2</v>
      </c>
      <c r="H368" s="72">
        <f>H369+H370</f>
        <v>4407.2</v>
      </c>
    </row>
    <row r="369" spans="1:8" s="21" customFormat="1" ht="51" x14ac:dyDescent="0.2">
      <c r="A369" s="30" t="s">
        <v>64</v>
      </c>
      <c r="B369" s="24" t="s">
        <v>17</v>
      </c>
      <c r="C369" s="24" t="s">
        <v>24</v>
      </c>
      <c r="D369" s="24" t="s">
        <v>229</v>
      </c>
      <c r="E369" s="27" t="s">
        <v>65</v>
      </c>
      <c r="F369" s="25">
        <f>' первое чтение вед стр-ра'!G360</f>
        <v>4427.2</v>
      </c>
      <c r="G369" s="25">
        <f>' первое чтение вед стр-ра'!H360</f>
        <v>4407.2</v>
      </c>
      <c r="H369" s="25">
        <f>' первое чтение вед стр-ра'!I360</f>
        <v>4407.2</v>
      </c>
    </row>
    <row r="370" spans="1:8" s="73" customFormat="1" ht="25.5" x14ac:dyDescent="0.2">
      <c r="A370" s="81" t="s">
        <v>74</v>
      </c>
      <c r="B370" s="76" t="s">
        <v>17</v>
      </c>
      <c r="C370" s="76" t="s">
        <v>24</v>
      </c>
      <c r="D370" s="76" t="s">
        <v>229</v>
      </c>
      <c r="E370" s="77" t="s">
        <v>66</v>
      </c>
      <c r="F370" s="25">
        <f>' первое чтение вед стр-ра'!G361</f>
        <v>40</v>
      </c>
      <c r="G370" s="25">
        <f>' первое чтение вед стр-ра'!H361</f>
        <v>0</v>
      </c>
      <c r="H370" s="25">
        <f>' первое чтение вед стр-ра'!I361</f>
        <v>0</v>
      </c>
    </row>
    <row r="371" spans="1:8" s="73" customFormat="1" ht="25.5" x14ac:dyDescent="0.2">
      <c r="A371" s="69" t="s">
        <v>316</v>
      </c>
      <c r="B371" s="71" t="s">
        <v>17</v>
      </c>
      <c r="C371" s="71" t="s">
        <v>24</v>
      </c>
      <c r="D371" s="71" t="s">
        <v>230</v>
      </c>
      <c r="E371" s="71"/>
      <c r="F371" s="72">
        <f>F372</f>
        <v>22701.300000000003</v>
      </c>
      <c r="G371" s="72">
        <f>G372</f>
        <v>21478.7</v>
      </c>
      <c r="H371" s="72">
        <f>H372</f>
        <v>21108.5</v>
      </c>
    </row>
    <row r="372" spans="1:8" s="21" customFormat="1" ht="25.5" x14ac:dyDescent="0.2">
      <c r="A372" s="28" t="s">
        <v>130</v>
      </c>
      <c r="B372" s="24" t="s">
        <v>17</v>
      </c>
      <c r="C372" s="24" t="s">
        <v>24</v>
      </c>
      <c r="D372" s="24" t="s">
        <v>230</v>
      </c>
      <c r="E372" s="24" t="s">
        <v>63</v>
      </c>
      <c r="F372" s="25">
        <f>' первое чтение вед стр-ра'!G363</f>
        <v>22701.300000000003</v>
      </c>
      <c r="G372" s="25">
        <f>' первое чтение вед стр-ра'!H363</f>
        <v>21478.7</v>
      </c>
      <c r="H372" s="25">
        <f>' первое чтение вед стр-ра'!I363</f>
        <v>21108.5</v>
      </c>
    </row>
    <row r="373" spans="1:8" s="73" customFormat="1" ht="25.5" x14ac:dyDescent="0.2">
      <c r="A373" s="69" t="s">
        <v>316</v>
      </c>
      <c r="B373" s="71" t="s">
        <v>17</v>
      </c>
      <c r="C373" s="71" t="s">
        <v>24</v>
      </c>
      <c r="D373" s="71" t="s">
        <v>231</v>
      </c>
      <c r="E373" s="71"/>
      <c r="F373" s="72">
        <f>F374+F375+F376+F377</f>
        <v>37193.199999999997</v>
      </c>
      <c r="G373" s="72">
        <f>G374+G375+G376+G377</f>
        <v>30299.8</v>
      </c>
      <c r="H373" s="72">
        <f>H374+H375+H376+H377</f>
        <v>29970.699999999997</v>
      </c>
    </row>
    <row r="374" spans="1:8" s="21" customFormat="1" ht="51" x14ac:dyDescent="0.2">
      <c r="A374" s="30" t="s">
        <v>64</v>
      </c>
      <c r="B374" s="24" t="s">
        <v>17</v>
      </c>
      <c r="C374" s="24" t="s">
        <v>24</v>
      </c>
      <c r="D374" s="24" t="s">
        <v>231</v>
      </c>
      <c r="E374" s="27" t="s">
        <v>65</v>
      </c>
      <c r="F374" s="25">
        <f>' первое чтение вед стр-ра'!G365</f>
        <v>15015.2</v>
      </c>
      <c r="G374" s="25">
        <f>' первое чтение вед стр-ра'!H365</f>
        <v>12092.899999999998</v>
      </c>
      <c r="H374" s="25">
        <f>' первое чтение вед стр-ра'!I365</f>
        <v>12092.899999999998</v>
      </c>
    </row>
    <row r="375" spans="1:8" s="73" customFormat="1" ht="25.5" x14ac:dyDescent="0.2">
      <c r="A375" s="81" t="s">
        <v>74</v>
      </c>
      <c r="B375" s="76" t="s">
        <v>17</v>
      </c>
      <c r="C375" s="76" t="s">
        <v>24</v>
      </c>
      <c r="D375" s="76" t="s">
        <v>231</v>
      </c>
      <c r="E375" s="77" t="s">
        <v>66</v>
      </c>
      <c r="F375" s="25">
        <f>' первое чтение вед стр-ра'!G366</f>
        <v>2636.3999999999996</v>
      </c>
      <c r="G375" s="25">
        <f>' первое чтение вед стр-ра'!H366</f>
        <v>0</v>
      </c>
      <c r="H375" s="25">
        <f>' первое чтение вед стр-ра'!I366</f>
        <v>0</v>
      </c>
    </row>
    <row r="376" spans="1:8" s="73" customFormat="1" ht="25.5" x14ac:dyDescent="0.2">
      <c r="A376" s="81" t="s">
        <v>130</v>
      </c>
      <c r="B376" s="76" t="s">
        <v>17</v>
      </c>
      <c r="C376" s="76" t="s">
        <v>24</v>
      </c>
      <c r="D376" s="76" t="s">
        <v>231</v>
      </c>
      <c r="E376" s="76" t="s">
        <v>63</v>
      </c>
      <c r="F376" s="25">
        <f>' первое чтение вед стр-ра'!G367</f>
        <v>19500.5</v>
      </c>
      <c r="G376" s="25">
        <f>' первое чтение вед стр-ра'!H367</f>
        <v>18206.900000000001</v>
      </c>
      <c r="H376" s="25">
        <f>' первое чтение вед стр-ра'!I367</f>
        <v>17877.8</v>
      </c>
    </row>
    <row r="377" spans="1:8" s="73" customFormat="1" x14ac:dyDescent="0.2">
      <c r="A377" s="81" t="s">
        <v>70</v>
      </c>
      <c r="B377" s="76" t="s">
        <v>17</v>
      </c>
      <c r="C377" s="76" t="s">
        <v>24</v>
      </c>
      <c r="D377" s="76" t="s">
        <v>231</v>
      </c>
      <c r="E377" s="76" t="s">
        <v>71</v>
      </c>
      <c r="F377" s="25">
        <f>' первое чтение вед стр-ра'!G368</f>
        <v>41.099999999999994</v>
      </c>
      <c r="G377" s="25">
        <f>' первое чтение вед стр-ра'!H368</f>
        <v>0</v>
      </c>
      <c r="H377" s="25">
        <f>' первое чтение вед стр-ра'!I368</f>
        <v>0</v>
      </c>
    </row>
    <row r="378" spans="1:8" s="21" customFormat="1" ht="15.75" x14ac:dyDescent="0.25">
      <c r="A378" s="125" t="s">
        <v>588</v>
      </c>
      <c r="B378" s="124" t="s">
        <v>41</v>
      </c>
      <c r="C378" s="124" t="s">
        <v>397</v>
      </c>
      <c r="D378" s="124"/>
      <c r="E378" s="124"/>
      <c r="F378" s="179">
        <f>F379+F398</f>
        <v>113169.5</v>
      </c>
      <c r="G378" s="179">
        <f>G379+G398</f>
        <v>101652.7</v>
      </c>
      <c r="H378" s="179">
        <f>H379+H398</f>
        <v>99644.5</v>
      </c>
    </row>
    <row r="379" spans="1:8" s="68" customFormat="1" x14ac:dyDescent="0.2">
      <c r="A379" s="64" t="s">
        <v>42</v>
      </c>
      <c r="B379" s="66" t="s">
        <v>41</v>
      </c>
      <c r="C379" s="66" t="s">
        <v>10</v>
      </c>
      <c r="D379" s="66"/>
      <c r="E379" s="66"/>
      <c r="F379" s="67">
        <f>F390+F393+F395+F382+F386+F380+F388+F384</f>
        <v>91631.3</v>
      </c>
      <c r="G379" s="67">
        <f t="shared" ref="G379:H379" si="91">G390+G393+G395+G382+G386+G380+G388+G384</f>
        <v>80676.399999999994</v>
      </c>
      <c r="H379" s="67">
        <f t="shared" si="91"/>
        <v>78668.2</v>
      </c>
    </row>
    <row r="380" spans="1:8" s="12" customFormat="1" ht="25.5" x14ac:dyDescent="0.2">
      <c r="A380" s="17" t="s">
        <v>152</v>
      </c>
      <c r="B380" s="19" t="s">
        <v>41</v>
      </c>
      <c r="C380" s="19" t="s">
        <v>10</v>
      </c>
      <c r="D380" s="19" t="s">
        <v>151</v>
      </c>
      <c r="E380" s="5"/>
      <c r="F380" s="6">
        <f>F381</f>
        <v>2442.6</v>
      </c>
      <c r="G380" s="6">
        <f>G381</f>
        <v>520.20000000000005</v>
      </c>
      <c r="H380" s="6">
        <f>H381</f>
        <v>520.20000000000005</v>
      </c>
    </row>
    <row r="381" spans="1:8" s="26" customFormat="1" ht="25.5" x14ac:dyDescent="0.2">
      <c r="A381" s="28" t="s">
        <v>130</v>
      </c>
      <c r="B381" s="24" t="s">
        <v>41</v>
      </c>
      <c r="C381" s="24" t="s">
        <v>10</v>
      </c>
      <c r="D381" s="24" t="s">
        <v>151</v>
      </c>
      <c r="E381" s="24" t="s">
        <v>63</v>
      </c>
      <c r="F381" s="25">
        <f>' первое чтение вед стр-ра'!G442</f>
        <v>2442.6</v>
      </c>
      <c r="G381" s="25">
        <f>' первое чтение вед стр-ра'!H442</f>
        <v>520.20000000000005</v>
      </c>
      <c r="H381" s="25">
        <f>' первое чтение вед стр-ра'!I442</f>
        <v>520.20000000000005</v>
      </c>
    </row>
    <row r="382" spans="1:8" s="73" customFormat="1" x14ac:dyDescent="0.2">
      <c r="A382" s="69" t="s">
        <v>162</v>
      </c>
      <c r="B382" s="71" t="s">
        <v>41</v>
      </c>
      <c r="C382" s="71" t="s">
        <v>10</v>
      </c>
      <c r="D382" s="76" t="s">
        <v>161</v>
      </c>
      <c r="E382" s="71"/>
      <c r="F382" s="72">
        <f>F383</f>
        <v>4598</v>
      </c>
      <c r="G382" s="72">
        <f t="shared" ref="G382:H382" si="92">G383</f>
        <v>0</v>
      </c>
      <c r="H382" s="72">
        <f t="shared" si="92"/>
        <v>0</v>
      </c>
    </row>
    <row r="383" spans="1:8" s="78" customFormat="1" ht="25.5" x14ac:dyDescent="0.2">
      <c r="A383" s="81" t="s">
        <v>74</v>
      </c>
      <c r="B383" s="76" t="s">
        <v>41</v>
      </c>
      <c r="C383" s="76" t="s">
        <v>10</v>
      </c>
      <c r="D383" s="76" t="s">
        <v>161</v>
      </c>
      <c r="E383" s="76" t="s">
        <v>66</v>
      </c>
      <c r="F383" s="56">
        <f>' первое чтение вед стр-ра'!G444</f>
        <v>4598</v>
      </c>
      <c r="G383" s="56">
        <f>' первое чтение вед стр-ра'!H444</f>
        <v>0</v>
      </c>
      <c r="H383" s="56">
        <f>' первое чтение вед стр-ра'!I444</f>
        <v>0</v>
      </c>
    </row>
    <row r="384" spans="1:8" x14ac:dyDescent="0.2">
      <c r="A384" s="18" t="s">
        <v>632</v>
      </c>
      <c r="B384" s="19" t="s">
        <v>41</v>
      </c>
      <c r="C384" s="19" t="s">
        <v>10</v>
      </c>
      <c r="D384" s="19" t="s">
        <v>633</v>
      </c>
      <c r="E384" s="19"/>
      <c r="F384" s="20">
        <f>F385</f>
        <v>0</v>
      </c>
      <c r="G384" s="20">
        <f t="shared" ref="G384:H384" si="93">G385</f>
        <v>0</v>
      </c>
      <c r="H384" s="20">
        <f t="shared" si="93"/>
        <v>0</v>
      </c>
    </row>
    <row r="385" spans="1:8" ht="25.5" x14ac:dyDescent="0.2">
      <c r="A385" s="28" t="s">
        <v>130</v>
      </c>
      <c r="B385" s="24" t="s">
        <v>41</v>
      </c>
      <c r="C385" s="24" t="s">
        <v>10</v>
      </c>
      <c r="D385" s="24" t="s">
        <v>633</v>
      </c>
      <c r="E385" s="24" t="s">
        <v>63</v>
      </c>
      <c r="F385" s="25">
        <f>' первое чтение вед стр-ра'!G446</f>
        <v>0</v>
      </c>
      <c r="G385" s="25">
        <f>' первое чтение вед стр-ра'!H446</f>
        <v>0</v>
      </c>
      <c r="H385" s="25">
        <f>' первое чтение вед стр-ра'!I446</f>
        <v>0</v>
      </c>
    </row>
    <row r="386" spans="1:8" s="21" customFormat="1" ht="38.25" x14ac:dyDescent="0.2">
      <c r="A386" s="18" t="s">
        <v>335</v>
      </c>
      <c r="B386" s="19" t="s">
        <v>41</v>
      </c>
      <c r="C386" s="19" t="s">
        <v>10</v>
      </c>
      <c r="D386" s="19" t="s">
        <v>336</v>
      </c>
      <c r="E386" s="19"/>
      <c r="F386" s="20">
        <f>F387</f>
        <v>4425</v>
      </c>
      <c r="G386" s="20">
        <f>G387</f>
        <v>4425</v>
      </c>
      <c r="H386" s="20">
        <f>H387</f>
        <v>4425</v>
      </c>
    </row>
    <row r="387" spans="1:8" s="21" customFormat="1" ht="25.5" x14ac:dyDescent="0.2">
      <c r="A387" s="28" t="s">
        <v>130</v>
      </c>
      <c r="B387" s="24" t="s">
        <v>41</v>
      </c>
      <c r="C387" s="24" t="s">
        <v>10</v>
      </c>
      <c r="D387" s="24" t="s">
        <v>336</v>
      </c>
      <c r="E387" s="24" t="s">
        <v>63</v>
      </c>
      <c r="F387" s="25">
        <f>' первое чтение вед стр-ра'!G448</f>
        <v>4425</v>
      </c>
      <c r="G387" s="25">
        <f>' первое чтение вед стр-ра'!H448</f>
        <v>4425</v>
      </c>
      <c r="H387" s="25">
        <f>' первое чтение вед стр-ра'!I448</f>
        <v>4425</v>
      </c>
    </row>
    <row r="388" spans="1:8" s="21" customFormat="1" ht="25.5" x14ac:dyDescent="0.2">
      <c r="A388" s="28" t="s">
        <v>343</v>
      </c>
      <c r="B388" s="24" t="s">
        <v>41</v>
      </c>
      <c r="C388" s="24" t="s">
        <v>10</v>
      </c>
      <c r="D388" s="24" t="s">
        <v>342</v>
      </c>
      <c r="E388" s="25"/>
      <c r="F388" s="25">
        <f>F389</f>
        <v>0</v>
      </c>
      <c r="G388" s="25">
        <f t="shared" ref="G388:H388" si="94">G389</f>
        <v>0</v>
      </c>
      <c r="H388" s="25">
        <f t="shared" si="94"/>
        <v>0</v>
      </c>
    </row>
    <row r="389" spans="1:8" s="21" customFormat="1" ht="25.5" x14ac:dyDescent="0.2">
      <c r="A389" s="28" t="s">
        <v>130</v>
      </c>
      <c r="B389" s="24" t="s">
        <v>41</v>
      </c>
      <c r="C389" s="24" t="s">
        <v>10</v>
      </c>
      <c r="D389" s="24" t="s">
        <v>342</v>
      </c>
      <c r="E389" s="25" t="s">
        <v>63</v>
      </c>
      <c r="F389" s="25">
        <f>' первое чтение вед стр-ра'!G450</f>
        <v>0</v>
      </c>
      <c r="G389" s="25">
        <f>' первое чтение вед стр-ра'!H450</f>
        <v>0</v>
      </c>
      <c r="H389" s="25">
        <f>' первое чтение вед стр-ра'!I450</f>
        <v>0</v>
      </c>
    </row>
    <row r="390" spans="1:8" s="21" customFormat="1" x14ac:dyDescent="0.2">
      <c r="A390" s="18" t="s">
        <v>239</v>
      </c>
      <c r="B390" s="19" t="s">
        <v>41</v>
      </c>
      <c r="C390" s="19" t="s">
        <v>10</v>
      </c>
      <c r="D390" s="19" t="s">
        <v>238</v>
      </c>
      <c r="E390" s="19"/>
      <c r="F390" s="20">
        <f>F392+F391</f>
        <v>56806.5</v>
      </c>
      <c r="G390" s="20">
        <f>G392+G391</f>
        <v>53505</v>
      </c>
      <c r="H390" s="20">
        <f>H392+H391</f>
        <v>51942.3</v>
      </c>
    </row>
    <row r="391" spans="1:8" s="26" customFormat="1" x14ac:dyDescent="0.2">
      <c r="A391" s="28" t="s">
        <v>67</v>
      </c>
      <c r="B391" s="24" t="s">
        <v>41</v>
      </c>
      <c r="C391" s="24" t="s">
        <v>10</v>
      </c>
      <c r="D391" s="24" t="s">
        <v>238</v>
      </c>
      <c r="E391" s="27" t="s">
        <v>68</v>
      </c>
      <c r="F391" s="25">
        <f>' первое чтение вед стр-ра'!G452</f>
        <v>15</v>
      </c>
      <c r="G391" s="25">
        <f>' первое чтение вед стр-ра'!H452</f>
        <v>0</v>
      </c>
      <c r="H391" s="25">
        <f>' первое чтение вед стр-ра'!I452</f>
        <v>0</v>
      </c>
    </row>
    <row r="392" spans="1:8" s="26" customFormat="1" ht="25.5" x14ac:dyDescent="0.2">
      <c r="A392" s="28" t="s">
        <v>130</v>
      </c>
      <c r="B392" s="24" t="s">
        <v>41</v>
      </c>
      <c r="C392" s="24" t="s">
        <v>10</v>
      </c>
      <c r="D392" s="24" t="s">
        <v>238</v>
      </c>
      <c r="E392" s="24" t="s">
        <v>63</v>
      </c>
      <c r="F392" s="25">
        <f>' первое чтение вед стр-ра'!G453</f>
        <v>56791.5</v>
      </c>
      <c r="G392" s="25">
        <f>' первое чтение вед стр-ра'!H453</f>
        <v>53505</v>
      </c>
      <c r="H392" s="25">
        <f>' первое чтение вед стр-ра'!I453</f>
        <v>51942.3</v>
      </c>
    </row>
    <row r="393" spans="1:8" s="21" customFormat="1" x14ac:dyDescent="0.2">
      <c r="A393" s="18" t="s">
        <v>241</v>
      </c>
      <c r="B393" s="19" t="s">
        <v>41</v>
      </c>
      <c r="C393" s="19" t="s">
        <v>10</v>
      </c>
      <c r="D393" s="19" t="s">
        <v>240</v>
      </c>
      <c r="E393" s="19"/>
      <c r="F393" s="20">
        <f>F394</f>
        <v>4159</v>
      </c>
      <c r="G393" s="20">
        <f>G394</f>
        <v>4059.4</v>
      </c>
      <c r="H393" s="20">
        <f>H394</f>
        <v>3992.5</v>
      </c>
    </row>
    <row r="394" spans="1:8" s="26" customFormat="1" ht="25.5" x14ac:dyDescent="0.2">
      <c r="A394" s="28" t="s">
        <v>130</v>
      </c>
      <c r="B394" s="24" t="s">
        <v>41</v>
      </c>
      <c r="C394" s="24" t="s">
        <v>10</v>
      </c>
      <c r="D394" s="24" t="s">
        <v>240</v>
      </c>
      <c r="E394" s="24" t="s">
        <v>63</v>
      </c>
      <c r="F394" s="25">
        <f>' первое чтение вед стр-ра'!G455</f>
        <v>4159</v>
      </c>
      <c r="G394" s="25">
        <f>' первое чтение вед стр-ра'!H455</f>
        <v>4059.4</v>
      </c>
      <c r="H394" s="25">
        <f>' первое чтение вед стр-ра'!I455</f>
        <v>3992.5</v>
      </c>
    </row>
    <row r="395" spans="1:8" s="21" customFormat="1" x14ac:dyDescent="0.2">
      <c r="A395" s="18" t="s">
        <v>243</v>
      </c>
      <c r="B395" s="19" t="s">
        <v>41</v>
      </c>
      <c r="C395" s="19" t="s">
        <v>10</v>
      </c>
      <c r="D395" s="19" t="s">
        <v>242</v>
      </c>
      <c r="E395" s="19"/>
      <c r="F395" s="20">
        <f>F397+F396</f>
        <v>19200.2</v>
      </c>
      <c r="G395" s="20">
        <f>G397+G396</f>
        <v>18166.8</v>
      </c>
      <c r="H395" s="20">
        <f>H397+H396</f>
        <v>17788.2</v>
      </c>
    </row>
    <row r="396" spans="1:8" s="26" customFormat="1" x14ac:dyDescent="0.2">
      <c r="A396" s="28" t="s">
        <v>67</v>
      </c>
      <c r="B396" s="24" t="s">
        <v>41</v>
      </c>
      <c r="C396" s="24" t="s">
        <v>10</v>
      </c>
      <c r="D396" s="24" t="s">
        <v>242</v>
      </c>
      <c r="E396" s="27" t="s">
        <v>68</v>
      </c>
      <c r="F396" s="25">
        <f>' первое чтение вед стр-ра'!G457</f>
        <v>15</v>
      </c>
      <c r="G396" s="25">
        <f>' первое чтение вед стр-ра'!H457</f>
        <v>0</v>
      </c>
      <c r="H396" s="25">
        <f>' первое чтение вед стр-ра'!I457</f>
        <v>0</v>
      </c>
    </row>
    <row r="397" spans="1:8" s="26" customFormat="1" ht="25.5" x14ac:dyDescent="0.2">
      <c r="A397" s="28" t="s">
        <v>130</v>
      </c>
      <c r="B397" s="24" t="s">
        <v>41</v>
      </c>
      <c r="C397" s="24" t="s">
        <v>10</v>
      </c>
      <c r="D397" s="24" t="s">
        <v>242</v>
      </c>
      <c r="E397" s="24" t="s">
        <v>63</v>
      </c>
      <c r="F397" s="25">
        <f>' первое чтение вед стр-ра'!G458</f>
        <v>19185.2</v>
      </c>
      <c r="G397" s="25">
        <f>' первое чтение вед стр-ра'!H458</f>
        <v>18166.8</v>
      </c>
      <c r="H397" s="25">
        <f>' первое чтение вед стр-ра'!I458</f>
        <v>17788.2</v>
      </c>
    </row>
    <row r="398" spans="1:8" s="68" customFormat="1" ht="16.5" customHeight="1" x14ac:dyDescent="0.2">
      <c r="A398" s="64" t="s">
        <v>23</v>
      </c>
      <c r="B398" s="66" t="s">
        <v>41</v>
      </c>
      <c r="C398" s="66" t="s">
        <v>16</v>
      </c>
      <c r="D398" s="66"/>
      <c r="E398" s="66"/>
      <c r="F398" s="67">
        <f>F399+F403</f>
        <v>21538.200000000004</v>
      </c>
      <c r="G398" s="67">
        <f>G399+G403</f>
        <v>20976.3</v>
      </c>
      <c r="H398" s="67">
        <f>H399+H403</f>
        <v>20976.3</v>
      </c>
    </row>
    <row r="399" spans="1:8" s="73" customFormat="1" x14ac:dyDescent="0.2">
      <c r="A399" s="69" t="s">
        <v>317</v>
      </c>
      <c r="B399" s="71" t="s">
        <v>41</v>
      </c>
      <c r="C399" s="71" t="s">
        <v>16</v>
      </c>
      <c r="D399" s="71" t="s">
        <v>244</v>
      </c>
      <c r="E399" s="71"/>
      <c r="F399" s="72">
        <f>F400+F401+F402</f>
        <v>1290.9000000000001</v>
      </c>
      <c r="G399" s="72">
        <f>G400+G401+G402</f>
        <v>1222.5</v>
      </c>
      <c r="H399" s="72">
        <f>H400+H401+H402</f>
        <v>1222.5</v>
      </c>
    </row>
    <row r="400" spans="1:8" s="78" customFormat="1" ht="51.75" customHeight="1" x14ac:dyDescent="0.2">
      <c r="A400" s="79" t="s">
        <v>64</v>
      </c>
      <c r="B400" s="76" t="s">
        <v>41</v>
      </c>
      <c r="C400" s="76" t="s">
        <v>16</v>
      </c>
      <c r="D400" s="76" t="s">
        <v>244</v>
      </c>
      <c r="E400" s="77" t="s">
        <v>65</v>
      </c>
      <c r="F400" s="56">
        <f>' первое чтение вед стр-ра'!G461</f>
        <v>1190.2</v>
      </c>
      <c r="G400" s="56">
        <f>' первое чтение вед стр-ра'!H461</f>
        <v>1186.8</v>
      </c>
      <c r="H400" s="56">
        <f>' первое чтение вед стр-ра'!I461</f>
        <v>1186.8</v>
      </c>
    </row>
    <row r="401" spans="1:8" s="78" customFormat="1" ht="25.5" x14ac:dyDescent="0.2">
      <c r="A401" s="81" t="s">
        <v>74</v>
      </c>
      <c r="B401" s="76" t="s">
        <v>41</v>
      </c>
      <c r="C401" s="76" t="s">
        <v>16</v>
      </c>
      <c r="D401" s="76" t="s">
        <v>244</v>
      </c>
      <c r="E401" s="77" t="s">
        <v>66</v>
      </c>
      <c r="F401" s="56">
        <f>' первое чтение вед стр-ра'!G462</f>
        <v>95.5</v>
      </c>
      <c r="G401" s="56">
        <f>' первое чтение вед стр-ра'!H462</f>
        <v>35.700000000000003</v>
      </c>
      <c r="H401" s="56">
        <f>' первое чтение вед стр-ра'!I462</f>
        <v>35.700000000000003</v>
      </c>
    </row>
    <row r="402" spans="1:8" s="26" customFormat="1" x14ac:dyDescent="0.2">
      <c r="A402" s="28" t="s">
        <v>70</v>
      </c>
      <c r="B402" s="24" t="s">
        <v>41</v>
      </c>
      <c r="C402" s="24" t="s">
        <v>16</v>
      </c>
      <c r="D402" s="24" t="s">
        <v>244</v>
      </c>
      <c r="E402" s="24" t="s">
        <v>71</v>
      </c>
      <c r="F402" s="56">
        <f>' первое чтение вед стр-ра'!G463</f>
        <v>5.2</v>
      </c>
      <c r="G402" s="56">
        <f>' первое чтение вед стр-ра'!H463</f>
        <v>0</v>
      </c>
      <c r="H402" s="56">
        <f>' первое чтение вед стр-ра'!I463</f>
        <v>0</v>
      </c>
    </row>
    <row r="403" spans="1:8" s="73" customFormat="1" x14ac:dyDescent="0.2">
      <c r="A403" s="69" t="s">
        <v>317</v>
      </c>
      <c r="B403" s="71" t="s">
        <v>41</v>
      </c>
      <c r="C403" s="71" t="s">
        <v>16</v>
      </c>
      <c r="D403" s="71" t="s">
        <v>373</v>
      </c>
      <c r="E403" s="71"/>
      <c r="F403" s="72">
        <f>F404+F405+F406</f>
        <v>20247.300000000003</v>
      </c>
      <c r="G403" s="72">
        <f t="shared" ref="G403:H403" si="95">G404+G405</f>
        <v>19753.8</v>
      </c>
      <c r="H403" s="72">
        <f t="shared" si="95"/>
        <v>19753.8</v>
      </c>
    </row>
    <row r="404" spans="1:8" s="78" customFormat="1" ht="52.5" customHeight="1" x14ac:dyDescent="0.2">
      <c r="A404" s="79" t="s">
        <v>64</v>
      </c>
      <c r="B404" s="76" t="s">
        <v>41</v>
      </c>
      <c r="C404" s="76" t="s">
        <v>16</v>
      </c>
      <c r="D404" s="76" t="s">
        <v>373</v>
      </c>
      <c r="E404" s="77" t="s">
        <v>65</v>
      </c>
      <c r="F404" s="56">
        <f>' первое чтение вед стр-ра'!G465</f>
        <v>19696.100000000002</v>
      </c>
      <c r="G404" s="56">
        <f>' первое чтение вед стр-ра'!H465</f>
        <v>19692.7</v>
      </c>
      <c r="H404" s="56">
        <f>' первое чтение вед стр-ра'!I465</f>
        <v>19692.7</v>
      </c>
    </row>
    <row r="405" spans="1:8" s="78" customFormat="1" ht="25.5" x14ac:dyDescent="0.2">
      <c r="A405" s="81" t="s">
        <v>74</v>
      </c>
      <c r="B405" s="76" t="s">
        <v>41</v>
      </c>
      <c r="C405" s="76" t="s">
        <v>16</v>
      </c>
      <c r="D405" s="76" t="s">
        <v>373</v>
      </c>
      <c r="E405" s="77" t="s">
        <v>66</v>
      </c>
      <c r="F405" s="56">
        <f>' первое чтение вед стр-ра'!G466</f>
        <v>551.20000000000005</v>
      </c>
      <c r="G405" s="56">
        <f>' первое чтение вед стр-ра'!H466</f>
        <v>61.1</v>
      </c>
      <c r="H405" s="56">
        <f>' первое чтение вед стр-ра'!I466</f>
        <v>61.1</v>
      </c>
    </row>
    <row r="406" spans="1:8" s="78" customFormat="1" x14ac:dyDescent="0.2">
      <c r="A406" s="81" t="s">
        <v>70</v>
      </c>
      <c r="B406" s="76" t="s">
        <v>41</v>
      </c>
      <c r="C406" s="76" t="s">
        <v>16</v>
      </c>
      <c r="D406" s="76" t="s">
        <v>653</v>
      </c>
      <c r="E406" s="77" t="s">
        <v>71</v>
      </c>
      <c r="F406" s="56">
        <f>' первое чтение вед стр-ра'!G467</f>
        <v>0</v>
      </c>
      <c r="G406" s="56">
        <f>' первое чтение вед стр-ра'!H467</f>
        <v>0</v>
      </c>
      <c r="H406" s="56">
        <f>' первое чтение вед стр-ра'!I467</f>
        <v>0</v>
      </c>
    </row>
    <row r="407" spans="1:8" s="21" customFormat="1" ht="15.75" x14ac:dyDescent="0.25">
      <c r="A407" s="125" t="s">
        <v>50</v>
      </c>
      <c r="B407" s="124" t="s">
        <v>49</v>
      </c>
      <c r="C407" s="124" t="s">
        <v>397</v>
      </c>
      <c r="D407" s="124"/>
      <c r="E407" s="124"/>
      <c r="F407" s="179">
        <f>F408+F412+F424+F512+F549</f>
        <v>876639.51834000007</v>
      </c>
      <c r="G407" s="179">
        <f>G408+G412+G424+G512+G549</f>
        <v>798905.18599999999</v>
      </c>
      <c r="H407" s="179">
        <f>H408+H412+H424+H512+H549</f>
        <v>1146842.6000000001</v>
      </c>
    </row>
    <row r="408" spans="1:8" s="73" customFormat="1" x14ac:dyDescent="0.2">
      <c r="A408" s="64" t="s">
        <v>51</v>
      </c>
      <c r="B408" s="66" t="s">
        <v>49</v>
      </c>
      <c r="C408" s="66" t="s">
        <v>10</v>
      </c>
      <c r="D408" s="66"/>
      <c r="E408" s="66"/>
      <c r="F408" s="67">
        <f>F409</f>
        <v>9482</v>
      </c>
      <c r="G408" s="67">
        <f>G409</f>
        <v>9482</v>
      </c>
      <c r="H408" s="67">
        <f>H409</f>
        <v>9482</v>
      </c>
    </row>
    <row r="409" spans="1:8" s="73" customFormat="1" ht="76.5" x14ac:dyDescent="0.2">
      <c r="A409" s="69" t="s">
        <v>246</v>
      </c>
      <c r="B409" s="71" t="s">
        <v>49</v>
      </c>
      <c r="C409" s="71" t="s">
        <v>10</v>
      </c>
      <c r="D409" s="71" t="s">
        <v>247</v>
      </c>
      <c r="E409" s="71"/>
      <c r="F409" s="72">
        <f>F411+F410</f>
        <v>9482</v>
      </c>
      <c r="G409" s="72">
        <f>G411+G410</f>
        <v>9482</v>
      </c>
      <c r="H409" s="72">
        <f>H411+H410</f>
        <v>9482</v>
      </c>
    </row>
    <row r="410" spans="1:8" s="73" customFormat="1" ht="25.5" x14ac:dyDescent="0.2">
      <c r="A410" s="81" t="s">
        <v>74</v>
      </c>
      <c r="B410" s="76" t="s">
        <v>49</v>
      </c>
      <c r="C410" s="76" t="s">
        <v>10</v>
      </c>
      <c r="D410" s="76" t="s">
        <v>247</v>
      </c>
      <c r="E410" s="77" t="s">
        <v>66</v>
      </c>
      <c r="F410" s="56">
        <f>' первое чтение вед стр-ра'!G487</f>
        <v>47.2</v>
      </c>
      <c r="G410" s="56">
        <f>' первое чтение вед стр-ра'!H487</f>
        <v>47.2</v>
      </c>
      <c r="H410" s="56">
        <f>' первое чтение вед стр-ра'!I487</f>
        <v>47.2</v>
      </c>
    </row>
    <row r="411" spans="1:8" s="73" customFormat="1" x14ac:dyDescent="0.2">
      <c r="A411" s="81" t="s">
        <v>67</v>
      </c>
      <c r="B411" s="76" t="s">
        <v>49</v>
      </c>
      <c r="C411" s="76" t="s">
        <v>10</v>
      </c>
      <c r="D411" s="76" t="s">
        <v>247</v>
      </c>
      <c r="E411" s="76" t="s">
        <v>68</v>
      </c>
      <c r="F411" s="56">
        <f>' первое чтение вед стр-ра'!G488</f>
        <v>9434.7999999999993</v>
      </c>
      <c r="G411" s="56">
        <f>' первое чтение вед стр-ра'!H488</f>
        <v>9434.7999999999993</v>
      </c>
      <c r="H411" s="56">
        <f>' первое чтение вед стр-ра'!I488</f>
        <v>9434.7999999999993</v>
      </c>
    </row>
    <row r="412" spans="1:8" s="73" customFormat="1" x14ac:dyDescent="0.2">
      <c r="A412" s="64" t="s">
        <v>52</v>
      </c>
      <c r="B412" s="66" t="s">
        <v>49</v>
      </c>
      <c r="C412" s="66" t="s">
        <v>12</v>
      </c>
      <c r="D412" s="66"/>
      <c r="E412" s="66"/>
      <c r="F412" s="67">
        <f>F413+F415+F422+F419</f>
        <v>186101.03399999999</v>
      </c>
      <c r="G412" s="67">
        <f t="shared" ref="G412:H412" si="96">G413+G415+G422+G419</f>
        <v>185470.08599999998</v>
      </c>
      <c r="H412" s="67">
        <f t="shared" si="96"/>
        <v>185030.39999999999</v>
      </c>
    </row>
    <row r="413" spans="1:8" s="73" customFormat="1" ht="76.5" x14ac:dyDescent="0.2">
      <c r="A413" s="69" t="s">
        <v>728</v>
      </c>
      <c r="B413" s="71" t="s">
        <v>49</v>
      </c>
      <c r="C413" s="71" t="s">
        <v>12</v>
      </c>
      <c r="D413" s="71" t="s">
        <v>727</v>
      </c>
      <c r="E413" s="71"/>
      <c r="F413" s="72">
        <f>F414</f>
        <v>133452.79999999999</v>
      </c>
      <c r="G413" s="72">
        <f>G414</f>
        <v>133452.79999999999</v>
      </c>
      <c r="H413" s="72">
        <f>H414</f>
        <v>133452.79999999999</v>
      </c>
    </row>
    <row r="414" spans="1:8" s="73" customFormat="1" ht="25.5" x14ac:dyDescent="0.2">
      <c r="A414" s="81" t="s">
        <v>130</v>
      </c>
      <c r="B414" s="76" t="s">
        <v>49</v>
      </c>
      <c r="C414" s="76" t="s">
        <v>12</v>
      </c>
      <c r="D414" s="76" t="s">
        <v>727</v>
      </c>
      <c r="E414" s="76" t="s">
        <v>63</v>
      </c>
      <c r="F414" s="56">
        <f>' первое чтение вед стр-ра'!G491</f>
        <v>133452.79999999999</v>
      </c>
      <c r="G414" s="56">
        <f>' первое чтение вед стр-ра'!H491</f>
        <v>133452.79999999999</v>
      </c>
      <c r="H414" s="56">
        <f>' первое чтение вед стр-ра'!I491</f>
        <v>133452.79999999999</v>
      </c>
    </row>
    <row r="415" spans="1:8" s="73" customFormat="1" ht="63.75" x14ac:dyDescent="0.2">
      <c r="A415" s="69" t="s">
        <v>248</v>
      </c>
      <c r="B415" s="71" t="s">
        <v>49</v>
      </c>
      <c r="C415" s="71" t="s">
        <v>12</v>
      </c>
      <c r="D415" s="71" t="s">
        <v>95</v>
      </c>
      <c r="E415" s="71"/>
      <c r="F415" s="72">
        <f>F416+F417+F418</f>
        <v>51567.600000000006</v>
      </c>
      <c r="G415" s="72">
        <f t="shared" ref="G415:H415" si="97">G416+G417+G418</f>
        <v>51567.600000000006</v>
      </c>
      <c r="H415" s="72">
        <f t="shared" si="97"/>
        <v>51567.600000000006</v>
      </c>
    </row>
    <row r="416" spans="1:8" s="73" customFormat="1" ht="51" x14ac:dyDescent="0.2">
      <c r="A416" s="74" t="s">
        <v>64</v>
      </c>
      <c r="B416" s="76" t="s">
        <v>49</v>
      </c>
      <c r="C416" s="76" t="s">
        <v>12</v>
      </c>
      <c r="D416" s="76" t="s">
        <v>95</v>
      </c>
      <c r="E416" s="77" t="s">
        <v>65</v>
      </c>
      <c r="F416" s="56">
        <f>' первое чтение вед стр-ра'!G493</f>
        <v>44444.3</v>
      </c>
      <c r="G416" s="56">
        <f>' первое чтение вед стр-ра'!H493</f>
        <v>44444.3</v>
      </c>
      <c r="H416" s="56">
        <f>' первое чтение вед стр-ра'!I493</f>
        <v>44444.3</v>
      </c>
    </row>
    <row r="417" spans="1:8" s="73" customFormat="1" ht="25.5" x14ac:dyDescent="0.2">
      <c r="A417" s="81" t="s">
        <v>74</v>
      </c>
      <c r="B417" s="76" t="s">
        <v>49</v>
      </c>
      <c r="C417" s="76" t="s">
        <v>12</v>
      </c>
      <c r="D417" s="76" t="s">
        <v>95</v>
      </c>
      <c r="E417" s="77" t="s">
        <v>66</v>
      </c>
      <c r="F417" s="56">
        <f>' первое чтение вед стр-ра'!G494</f>
        <v>6828.3</v>
      </c>
      <c r="G417" s="56">
        <f>' первое чтение вед стр-ра'!H494</f>
        <v>6828.3</v>
      </c>
      <c r="H417" s="56">
        <f>' первое чтение вед стр-ра'!I494</f>
        <v>6828.3</v>
      </c>
    </row>
    <row r="418" spans="1:8" s="73" customFormat="1" x14ac:dyDescent="0.2">
      <c r="A418" s="81" t="s">
        <v>70</v>
      </c>
      <c r="B418" s="76" t="s">
        <v>49</v>
      </c>
      <c r="C418" s="76" t="s">
        <v>12</v>
      </c>
      <c r="D418" s="76" t="s">
        <v>95</v>
      </c>
      <c r="E418" s="76" t="s">
        <v>71</v>
      </c>
      <c r="F418" s="56">
        <f>' первое чтение вед стр-ра'!G495</f>
        <v>295</v>
      </c>
      <c r="G418" s="56">
        <f>' первое чтение вед стр-ра'!H495</f>
        <v>295</v>
      </c>
      <c r="H418" s="56">
        <f>' первое чтение вед стр-ра'!I495</f>
        <v>295</v>
      </c>
    </row>
    <row r="419" spans="1:8" s="73" customFormat="1" ht="25.5" x14ac:dyDescent="0.2">
      <c r="A419" s="18" t="s">
        <v>249</v>
      </c>
      <c r="B419" s="19" t="s">
        <v>49</v>
      </c>
      <c r="C419" s="19" t="s">
        <v>12</v>
      </c>
      <c r="D419" s="19" t="s">
        <v>308</v>
      </c>
      <c r="E419" s="19"/>
      <c r="F419" s="25">
        <f>F421+F420</f>
        <v>1070.634</v>
      </c>
      <c r="G419" s="25">
        <f t="shared" ref="G419:H419" si="98">G421+G420</f>
        <v>439.68599999999998</v>
      </c>
      <c r="H419" s="25">
        <f t="shared" si="98"/>
        <v>0</v>
      </c>
    </row>
    <row r="420" spans="1:8" s="73" customFormat="1" ht="51" x14ac:dyDescent="0.2">
      <c r="A420" s="74" t="s">
        <v>64</v>
      </c>
      <c r="B420" s="24" t="s">
        <v>49</v>
      </c>
      <c r="C420" s="24" t="s">
        <v>12</v>
      </c>
      <c r="D420" s="24" t="s">
        <v>308</v>
      </c>
      <c r="E420" s="19" t="s">
        <v>65</v>
      </c>
      <c r="F420" s="25">
        <f>' первое чтение вед стр-ра'!G497</f>
        <v>20.399999999999999</v>
      </c>
      <c r="G420" s="25">
        <f>' первое чтение вед стр-ра'!H497</f>
        <v>0</v>
      </c>
      <c r="H420" s="25">
        <f>' первое чтение вед стр-ра'!I497</f>
        <v>0</v>
      </c>
    </row>
    <row r="421" spans="1:8" s="73" customFormat="1" ht="25.5" x14ac:dyDescent="0.2">
      <c r="A421" s="28" t="s">
        <v>74</v>
      </c>
      <c r="B421" s="24" t="s">
        <v>49</v>
      </c>
      <c r="C421" s="24" t="s">
        <v>12</v>
      </c>
      <c r="D421" s="24" t="s">
        <v>308</v>
      </c>
      <c r="E421" s="27" t="s">
        <v>66</v>
      </c>
      <c r="F421" s="25">
        <f>' первое чтение вед стр-ра'!G498</f>
        <v>1050.2339999999999</v>
      </c>
      <c r="G421" s="25">
        <f>' первое чтение вед стр-ра'!H498</f>
        <v>439.68599999999998</v>
      </c>
      <c r="H421" s="25">
        <f>' первое чтение вед стр-ра'!I498</f>
        <v>0</v>
      </c>
    </row>
    <row r="422" spans="1:8" s="21" customFormat="1" ht="75" customHeight="1" x14ac:dyDescent="0.2">
      <c r="A422" s="18" t="s">
        <v>254</v>
      </c>
      <c r="B422" s="19" t="s">
        <v>49</v>
      </c>
      <c r="C422" s="19" t="s">
        <v>12</v>
      </c>
      <c r="D422" s="19" t="s">
        <v>110</v>
      </c>
      <c r="E422" s="19"/>
      <c r="F422" s="20">
        <f>F423</f>
        <v>10</v>
      </c>
      <c r="G422" s="20">
        <f t="shared" ref="G422:H422" si="99">G423</f>
        <v>10</v>
      </c>
      <c r="H422" s="20">
        <f t="shared" si="99"/>
        <v>10</v>
      </c>
    </row>
    <row r="423" spans="1:8" s="78" customFormat="1" ht="51.75" customHeight="1" x14ac:dyDescent="0.2">
      <c r="A423" s="74" t="s">
        <v>64</v>
      </c>
      <c r="B423" s="76" t="s">
        <v>49</v>
      </c>
      <c r="C423" s="76" t="s">
        <v>12</v>
      </c>
      <c r="D423" s="76" t="s">
        <v>110</v>
      </c>
      <c r="E423" s="76" t="s">
        <v>65</v>
      </c>
      <c r="F423" s="56">
        <f>' первое чтение вед стр-ра'!G500</f>
        <v>10</v>
      </c>
      <c r="G423" s="56">
        <f>' первое чтение вед стр-ра'!H500</f>
        <v>10</v>
      </c>
      <c r="H423" s="56">
        <f>' первое чтение вед стр-ра'!I500</f>
        <v>10</v>
      </c>
    </row>
    <row r="424" spans="1:8" s="73" customFormat="1" x14ac:dyDescent="0.2">
      <c r="A424" s="64" t="s">
        <v>53</v>
      </c>
      <c r="B424" s="66" t="s">
        <v>49</v>
      </c>
      <c r="C424" s="66" t="s">
        <v>14</v>
      </c>
      <c r="D424" s="66"/>
      <c r="E424" s="66"/>
      <c r="F424" s="67">
        <f>F436+F446+F451+F449+F456+F461+F464+F467+F470+F473+F476+F425+F429+F479+F482+F485+F488+F491+F493+F496+F499+F502+F505+F508+F458+F453+F432+F440+F444+F438+F442+F434</f>
        <v>389012.08434000006</v>
      </c>
      <c r="G424" s="67">
        <f t="shared" ref="G424:H424" si="100">G436+G446+G451+G449+G456+G461+G464+G467+G470+G473+G476+G425+G429+G479+G482+G485+G488+G491+G493+G496+G499+G502+G505+G508+G458+G453+G432+G440+G444+G438+G442+G434</f>
        <v>313584.7</v>
      </c>
      <c r="H424" s="67">
        <f t="shared" si="100"/>
        <v>659072.80000000005</v>
      </c>
    </row>
    <row r="425" spans="1:8" s="21" customFormat="1" ht="51" x14ac:dyDescent="0.2">
      <c r="A425" s="18" t="s">
        <v>235</v>
      </c>
      <c r="B425" s="19" t="s">
        <v>49</v>
      </c>
      <c r="C425" s="19" t="s">
        <v>14</v>
      </c>
      <c r="D425" s="19" t="s">
        <v>389</v>
      </c>
      <c r="E425" s="19"/>
      <c r="F425" s="20">
        <f>F427+F428+F426</f>
        <v>6903</v>
      </c>
      <c r="G425" s="20">
        <f>G427+G428+G426</f>
        <v>6903</v>
      </c>
      <c r="H425" s="20">
        <f>H427+H428+H426</f>
        <v>6903</v>
      </c>
    </row>
    <row r="426" spans="1:8" s="21" customFormat="1" ht="25.5" x14ac:dyDescent="0.2">
      <c r="A426" s="28" t="s">
        <v>74</v>
      </c>
      <c r="B426" s="24" t="s">
        <v>49</v>
      </c>
      <c r="C426" s="24" t="s">
        <v>14</v>
      </c>
      <c r="D426" s="24" t="s">
        <v>389</v>
      </c>
      <c r="E426" s="27" t="s">
        <v>66</v>
      </c>
      <c r="F426" s="25">
        <f>' первое чтение вед стр-ра'!G503</f>
        <v>0</v>
      </c>
      <c r="G426" s="25">
        <f>' первое чтение вед стр-ра'!H503</f>
        <v>0</v>
      </c>
      <c r="H426" s="25">
        <f>' первое чтение вед стр-ра'!I503</f>
        <v>0</v>
      </c>
    </row>
    <row r="427" spans="1:8" s="21" customFormat="1" x14ac:dyDescent="0.2">
      <c r="A427" s="28" t="s">
        <v>67</v>
      </c>
      <c r="B427" s="24" t="s">
        <v>49</v>
      </c>
      <c r="C427" s="24" t="s">
        <v>14</v>
      </c>
      <c r="D427" s="24" t="s">
        <v>389</v>
      </c>
      <c r="E427" s="24" t="s">
        <v>68</v>
      </c>
      <c r="F427" s="25">
        <f>' первое чтение вед стр-ра'!G504</f>
        <v>42.5</v>
      </c>
      <c r="G427" s="25">
        <f>' первое чтение вед стр-ра'!H504</f>
        <v>42.5</v>
      </c>
      <c r="H427" s="25">
        <f>' первое чтение вед стр-ра'!I504</f>
        <v>42.5</v>
      </c>
    </row>
    <row r="428" spans="1:8" s="21" customFormat="1" ht="25.5" x14ac:dyDescent="0.2">
      <c r="A428" s="28" t="s">
        <v>130</v>
      </c>
      <c r="B428" s="24" t="s">
        <v>49</v>
      </c>
      <c r="C428" s="24" t="s">
        <v>14</v>
      </c>
      <c r="D428" s="24" t="s">
        <v>389</v>
      </c>
      <c r="E428" s="24" t="s">
        <v>63</v>
      </c>
      <c r="F428" s="25">
        <f>' первое чтение вед стр-ра'!G384</f>
        <v>6860.5</v>
      </c>
      <c r="G428" s="25">
        <f>' первое чтение вед стр-ра'!H384</f>
        <v>6860.5</v>
      </c>
      <c r="H428" s="25">
        <f>' первое чтение вед стр-ра'!I384</f>
        <v>6860.5</v>
      </c>
    </row>
    <row r="429" spans="1:8" s="73" customFormat="1" ht="51" x14ac:dyDescent="0.2">
      <c r="A429" s="69" t="s">
        <v>255</v>
      </c>
      <c r="B429" s="71" t="s">
        <v>49</v>
      </c>
      <c r="C429" s="71" t="s">
        <v>14</v>
      </c>
      <c r="D429" s="71" t="s">
        <v>390</v>
      </c>
      <c r="E429" s="71"/>
      <c r="F429" s="72">
        <f>F431+F430</f>
        <v>0</v>
      </c>
      <c r="G429" s="72">
        <f>G431+G430</f>
        <v>0</v>
      </c>
      <c r="H429" s="72">
        <f>H431+H430</f>
        <v>0</v>
      </c>
    </row>
    <row r="430" spans="1:8" s="73" customFormat="1" ht="25.5" x14ac:dyDescent="0.2">
      <c r="A430" s="81" t="s">
        <v>74</v>
      </c>
      <c r="B430" s="76" t="s">
        <v>49</v>
      </c>
      <c r="C430" s="76" t="s">
        <v>14</v>
      </c>
      <c r="D430" s="76" t="s">
        <v>390</v>
      </c>
      <c r="E430" s="77" t="s">
        <v>66</v>
      </c>
      <c r="F430" s="56">
        <f>' первое чтение вед стр-ра'!G506</f>
        <v>0</v>
      </c>
      <c r="G430" s="56">
        <f>' первое чтение вед стр-ра'!H506</f>
        <v>0</v>
      </c>
      <c r="H430" s="56">
        <f>' первое чтение вед стр-ра'!I506</f>
        <v>0</v>
      </c>
    </row>
    <row r="431" spans="1:8" s="73" customFormat="1" x14ac:dyDescent="0.2">
      <c r="A431" s="81" t="s">
        <v>67</v>
      </c>
      <c r="B431" s="76" t="s">
        <v>49</v>
      </c>
      <c r="C431" s="76" t="s">
        <v>14</v>
      </c>
      <c r="D431" s="76" t="s">
        <v>390</v>
      </c>
      <c r="E431" s="76" t="s">
        <v>68</v>
      </c>
      <c r="F431" s="56">
        <f>' первое чтение вед стр-ра'!G507</f>
        <v>0</v>
      </c>
      <c r="G431" s="56">
        <f>' первое чтение вед стр-ра'!H507</f>
        <v>0</v>
      </c>
      <c r="H431" s="56">
        <f>' первое чтение вед стр-ра'!I507</f>
        <v>0</v>
      </c>
    </row>
    <row r="432" spans="1:8" s="21" customFormat="1" ht="51" x14ac:dyDescent="0.2">
      <c r="A432" s="18" t="s">
        <v>338</v>
      </c>
      <c r="B432" s="19" t="s">
        <v>49</v>
      </c>
      <c r="C432" s="19" t="s">
        <v>14</v>
      </c>
      <c r="D432" s="19" t="s">
        <v>337</v>
      </c>
      <c r="E432" s="19"/>
      <c r="F432" s="20">
        <f>F433</f>
        <v>654.70000000000005</v>
      </c>
      <c r="G432" s="20">
        <f>G433</f>
        <v>0</v>
      </c>
      <c r="H432" s="20">
        <f>H433</f>
        <v>654.70000000000005</v>
      </c>
    </row>
    <row r="433" spans="1:8" s="21" customFormat="1" ht="25.5" x14ac:dyDescent="0.2">
      <c r="A433" s="28" t="s">
        <v>80</v>
      </c>
      <c r="B433" s="24" t="s">
        <v>49</v>
      </c>
      <c r="C433" s="24" t="s">
        <v>14</v>
      </c>
      <c r="D433" s="24" t="s">
        <v>337</v>
      </c>
      <c r="E433" s="24" t="s">
        <v>69</v>
      </c>
      <c r="F433" s="25">
        <f>' первое чтение вед стр-ра'!G131</f>
        <v>654.70000000000005</v>
      </c>
      <c r="G433" s="25">
        <f>' первое чтение вед стр-ра'!H131</f>
        <v>0</v>
      </c>
      <c r="H433" s="25">
        <f>' первое чтение вед стр-ра'!I131</f>
        <v>654.70000000000005</v>
      </c>
    </row>
    <row r="434" spans="1:8" s="21" customFormat="1" ht="76.5" x14ac:dyDescent="0.2">
      <c r="A434" s="18" t="s">
        <v>362</v>
      </c>
      <c r="B434" s="19" t="s">
        <v>49</v>
      </c>
      <c r="C434" s="19" t="s">
        <v>14</v>
      </c>
      <c r="D434" s="19" t="s">
        <v>361</v>
      </c>
      <c r="E434" s="19"/>
      <c r="F434" s="20">
        <f>F435</f>
        <v>0</v>
      </c>
      <c r="G434" s="20">
        <f t="shared" ref="G434:H434" si="101">G435</f>
        <v>0</v>
      </c>
      <c r="H434" s="20">
        <f t="shared" si="101"/>
        <v>0</v>
      </c>
    </row>
    <row r="435" spans="1:8" s="21" customFormat="1" x14ac:dyDescent="0.2">
      <c r="A435" s="53" t="s">
        <v>67</v>
      </c>
      <c r="B435" s="24" t="s">
        <v>49</v>
      </c>
      <c r="C435" s="24" t="s">
        <v>14</v>
      </c>
      <c r="D435" s="24" t="s">
        <v>361</v>
      </c>
      <c r="E435" s="24" t="s">
        <v>68</v>
      </c>
      <c r="F435" s="20">
        <f>' первое чтение вед стр-ра'!G133</f>
        <v>0</v>
      </c>
      <c r="G435" s="20">
        <f>' первое чтение вед стр-ра'!H133</f>
        <v>0</v>
      </c>
      <c r="H435" s="20">
        <f>' первое чтение вед стр-ра'!I133</f>
        <v>0</v>
      </c>
    </row>
    <row r="436" spans="1:8" s="21" customFormat="1" ht="63.75" x14ac:dyDescent="0.2">
      <c r="A436" s="18" t="s">
        <v>536</v>
      </c>
      <c r="B436" s="19" t="s">
        <v>49</v>
      </c>
      <c r="C436" s="19" t="s">
        <v>14</v>
      </c>
      <c r="D436" s="19" t="s">
        <v>86</v>
      </c>
      <c r="E436" s="19"/>
      <c r="F436" s="20">
        <f>F437</f>
        <v>2618.5</v>
      </c>
      <c r="G436" s="20">
        <f t="shared" ref="G436:H436" si="102">G437</f>
        <v>0</v>
      </c>
      <c r="H436" s="20">
        <f t="shared" si="102"/>
        <v>1309.3</v>
      </c>
    </row>
    <row r="437" spans="1:8" s="21" customFormat="1" x14ac:dyDescent="0.2">
      <c r="A437" s="28" t="s">
        <v>67</v>
      </c>
      <c r="B437" s="19" t="s">
        <v>49</v>
      </c>
      <c r="C437" s="19" t="s">
        <v>14</v>
      </c>
      <c r="D437" s="19" t="s">
        <v>86</v>
      </c>
      <c r="E437" s="19" t="s">
        <v>68</v>
      </c>
      <c r="F437" s="20">
        <f>' первое чтение вед стр-ра'!G135</f>
        <v>2618.5</v>
      </c>
      <c r="G437" s="20">
        <f>' первое чтение вед стр-ра'!H135</f>
        <v>0</v>
      </c>
      <c r="H437" s="20">
        <f>' первое чтение вед стр-ра'!I135</f>
        <v>1309.3</v>
      </c>
    </row>
    <row r="438" spans="1:8" s="21" customFormat="1" ht="25.5" x14ac:dyDescent="0.2">
      <c r="A438" s="18" t="s">
        <v>319</v>
      </c>
      <c r="B438" s="19" t="s">
        <v>49</v>
      </c>
      <c r="C438" s="19" t="s">
        <v>14</v>
      </c>
      <c r="D438" s="19" t="s">
        <v>318</v>
      </c>
      <c r="E438" s="19"/>
      <c r="F438" s="20">
        <f>F439</f>
        <v>19433.5</v>
      </c>
      <c r="G438" s="20">
        <f>G439</f>
        <v>19433.5</v>
      </c>
      <c r="H438" s="20">
        <f>H439</f>
        <v>19433.5</v>
      </c>
    </row>
    <row r="439" spans="1:8" s="26" customFormat="1" ht="25.5" x14ac:dyDescent="0.2">
      <c r="A439" s="28" t="s">
        <v>80</v>
      </c>
      <c r="B439" s="24" t="s">
        <v>49</v>
      </c>
      <c r="C439" s="24" t="s">
        <v>14</v>
      </c>
      <c r="D439" s="24" t="s">
        <v>318</v>
      </c>
      <c r="E439" s="24" t="s">
        <v>69</v>
      </c>
      <c r="F439" s="25">
        <f>' первое чтение вед стр-ра'!G137</f>
        <v>19433.5</v>
      </c>
      <c r="G439" s="25">
        <f>' первое чтение вед стр-ра'!H137</f>
        <v>19433.5</v>
      </c>
      <c r="H439" s="25">
        <f>' первое чтение вед стр-ра'!I137</f>
        <v>19433.5</v>
      </c>
    </row>
    <row r="440" spans="1:8" s="21" customFormat="1" ht="38.25" x14ac:dyDescent="0.2">
      <c r="A440" s="18" t="s">
        <v>309</v>
      </c>
      <c r="B440" s="19" t="s">
        <v>49</v>
      </c>
      <c r="C440" s="19" t="s">
        <v>14</v>
      </c>
      <c r="D440" s="19" t="s">
        <v>158</v>
      </c>
      <c r="E440" s="19"/>
      <c r="F440" s="20">
        <f>F441</f>
        <v>2000</v>
      </c>
      <c r="G440" s="20">
        <f>G441</f>
        <v>0</v>
      </c>
      <c r="H440" s="20">
        <f>H441</f>
        <v>0</v>
      </c>
    </row>
    <row r="441" spans="1:8" s="26" customFormat="1" ht="25.5" x14ac:dyDescent="0.2">
      <c r="A441" s="28" t="s">
        <v>80</v>
      </c>
      <c r="B441" s="24" t="s">
        <v>49</v>
      </c>
      <c r="C441" s="24" t="s">
        <v>14</v>
      </c>
      <c r="D441" s="24" t="s">
        <v>158</v>
      </c>
      <c r="E441" s="24" t="s">
        <v>69</v>
      </c>
      <c r="F441" s="25">
        <f>' первое чтение вед стр-ра'!G139+' первое чтение вед стр-ра'!G227</f>
        <v>2000</v>
      </c>
      <c r="G441" s="25">
        <f>' первое чтение вед стр-ра'!H139+' первое чтение вед стр-ра'!H227</f>
        <v>0</v>
      </c>
      <c r="H441" s="25">
        <f>' первое чтение вед стр-ра'!I139+' первое чтение вед стр-ра'!I227</f>
        <v>0</v>
      </c>
    </row>
    <row r="442" spans="1:8" s="73" customFormat="1" x14ac:dyDescent="0.2">
      <c r="A442" s="69" t="s">
        <v>347</v>
      </c>
      <c r="B442" s="71" t="s">
        <v>49</v>
      </c>
      <c r="C442" s="71" t="s">
        <v>14</v>
      </c>
      <c r="D442" s="71" t="s">
        <v>346</v>
      </c>
      <c r="E442" s="71"/>
      <c r="F442" s="72">
        <f>F443</f>
        <v>4352.7843400000002</v>
      </c>
      <c r="G442" s="72">
        <f>G443</f>
        <v>1966.3</v>
      </c>
      <c r="H442" s="72">
        <f>H443</f>
        <v>1966.3</v>
      </c>
    </row>
    <row r="443" spans="1:8" s="78" customFormat="1" x14ac:dyDescent="0.2">
      <c r="A443" s="95" t="s">
        <v>67</v>
      </c>
      <c r="B443" s="76" t="s">
        <v>49</v>
      </c>
      <c r="C443" s="76" t="s">
        <v>14</v>
      </c>
      <c r="D443" s="76" t="s">
        <v>346</v>
      </c>
      <c r="E443" s="96">
        <v>300</v>
      </c>
      <c r="F443" s="56">
        <f>' первое чтение вед стр-ра'!G141</f>
        <v>4352.7843400000002</v>
      </c>
      <c r="G443" s="56">
        <f>' первое чтение вед стр-ра'!H141</f>
        <v>1966.3</v>
      </c>
      <c r="H443" s="56">
        <f>' первое чтение вед стр-ра'!I141</f>
        <v>1966.3</v>
      </c>
    </row>
    <row r="444" spans="1:8" s="73" customFormat="1" ht="25.5" x14ac:dyDescent="0.2">
      <c r="A444" s="69" t="s">
        <v>157</v>
      </c>
      <c r="B444" s="71" t="s">
        <v>49</v>
      </c>
      <c r="C444" s="71" t="s">
        <v>14</v>
      </c>
      <c r="D444" s="71" t="s">
        <v>87</v>
      </c>
      <c r="E444" s="71"/>
      <c r="F444" s="72">
        <f>F445</f>
        <v>340671.4</v>
      </c>
      <c r="G444" s="72">
        <f>G445</f>
        <v>272908.5</v>
      </c>
      <c r="H444" s="72">
        <f>H445</f>
        <v>616432.6</v>
      </c>
    </row>
    <row r="445" spans="1:8" s="78" customFormat="1" x14ac:dyDescent="0.2">
      <c r="A445" s="81" t="s">
        <v>67</v>
      </c>
      <c r="B445" s="76" t="s">
        <v>49</v>
      </c>
      <c r="C445" s="76" t="s">
        <v>14</v>
      </c>
      <c r="D445" s="76" t="s">
        <v>87</v>
      </c>
      <c r="E445" s="76" t="s">
        <v>68</v>
      </c>
      <c r="F445" s="56">
        <f>' первое чтение вед стр-ра'!G143</f>
        <v>340671.4</v>
      </c>
      <c r="G445" s="56">
        <f>' первое чтение вед стр-ра'!H143</f>
        <v>272908.5</v>
      </c>
      <c r="H445" s="56">
        <f>' первое чтение вед стр-ра'!I143</f>
        <v>616432.6</v>
      </c>
    </row>
    <row r="446" spans="1:8" s="21" customFormat="1" ht="25.5" x14ac:dyDescent="0.2">
      <c r="A446" s="18" t="s">
        <v>327</v>
      </c>
      <c r="B446" s="19" t="s">
        <v>49</v>
      </c>
      <c r="C446" s="19" t="s">
        <v>14</v>
      </c>
      <c r="D446" s="19" t="s">
        <v>82</v>
      </c>
      <c r="E446" s="19"/>
      <c r="F446" s="20">
        <f>F447+F448</f>
        <v>1600</v>
      </c>
      <c r="G446" s="20">
        <f t="shared" ref="G446:H446" si="103">G447+G448</f>
        <v>1600</v>
      </c>
      <c r="H446" s="20">
        <f t="shared" si="103"/>
        <v>1600</v>
      </c>
    </row>
    <row r="447" spans="1:8" s="21" customFormat="1" x14ac:dyDescent="0.2">
      <c r="A447" s="53" t="s">
        <v>67</v>
      </c>
      <c r="B447" s="24" t="s">
        <v>49</v>
      </c>
      <c r="C447" s="24" t="s">
        <v>14</v>
      </c>
      <c r="D447" s="24" t="s">
        <v>82</v>
      </c>
      <c r="E447" s="24" t="s">
        <v>68</v>
      </c>
      <c r="F447" s="25">
        <f>' первое чтение вед стр-ра'!G372+' первое чтение вед стр-ра'!G471</f>
        <v>258.7</v>
      </c>
      <c r="G447" s="25">
        <f>' первое чтение вед стр-ра'!H372+' первое чтение вед стр-ра'!H471</f>
        <v>258.7</v>
      </c>
      <c r="H447" s="25">
        <f>' первое чтение вед стр-ра'!I372+' первое чтение вед стр-ра'!I471</f>
        <v>258.7</v>
      </c>
    </row>
    <row r="448" spans="1:8" s="21" customFormat="1" ht="25.5" x14ac:dyDescent="0.2">
      <c r="A448" s="28" t="s">
        <v>130</v>
      </c>
      <c r="B448" s="24" t="s">
        <v>49</v>
      </c>
      <c r="C448" s="24" t="s">
        <v>14</v>
      </c>
      <c r="D448" s="24" t="s">
        <v>82</v>
      </c>
      <c r="E448" s="24" t="s">
        <v>63</v>
      </c>
      <c r="F448" s="25">
        <f>' первое чтение вед стр-ра'!G373</f>
        <v>1341.3</v>
      </c>
      <c r="G448" s="25">
        <f>' первое чтение вед стр-ра'!H373</f>
        <v>1341.3</v>
      </c>
      <c r="H448" s="25">
        <f>' первое чтение вед стр-ра'!I373</f>
        <v>1341.3</v>
      </c>
    </row>
    <row r="449" spans="1:8" s="21" customFormat="1" ht="38.25" x14ac:dyDescent="0.2">
      <c r="A449" s="18" t="s">
        <v>232</v>
      </c>
      <c r="B449" s="19" t="s">
        <v>49</v>
      </c>
      <c r="C449" s="19" t="s">
        <v>14</v>
      </c>
      <c r="D449" s="19" t="s">
        <v>117</v>
      </c>
      <c r="E449" s="19"/>
      <c r="F449" s="20">
        <f>F450</f>
        <v>207</v>
      </c>
      <c r="G449" s="20">
        <f>G450</f>
        <v>207</v>
      </c>
      <c r="H449" s="20">
        <f>H450</f>
        <v>207</v>
      </c>
    </row>
    <row r="450" spans="1:8" s="21" customFormat="1" x14ac:dyDescent="0.2">
      <c r="A450" s="53" t="s">
        <v>67</v>
      </c>
      <c r="B450" s="24" t="s">
        <v>49</v>
      </c>
      <c r="C450" s="24" t="s">
        <v>14</v>
      </c>
      <c r="D450" s="24" t="s">
        <v>117</v>
      </c>
      <c r="E450" s="29">
        <v>300</v>
      </c>
      <c r="F450" s="25">
        <f>' первое чтение вед стр-ра'!G375</f>
        <v>207</v>
      </c>
      <c r="G450" s="25">
        <f>' первое чтение вед стр-ра'!H375</f>
        <v>207</v>
      </c>
      <c r="H450" s="25">
        <f>' первое чтение вед стр-ра'!I375</f>
        <v>207</v>
      </c>
    </row>
    <row r="451" spans="1:8" s="21" customFormat="1" ht="38.25" x14ac:dyDescent="0.2">
      <c r="A451" s="46" t="s">
        <v>233</v>
      </c>
      <c r="B451" s="19" t="s">
        <v>49</v>
      </c>
      <c r="C451" s="19" t="s">
        <v>14</v>
      </c>
      <c r="D451" s="19" t="s">
        <v>116</v>
      </c>
      <c r="E451" s="19"/>
      <c r="F451" s="20">
        <f>F452</f>
        <v>570</v>
      </c>
      <c r="G451" s="20">
        <f>G452</f>
        <v>570</v>
      </c>
      <c r="H451" s="20">
        <f>H452</f>
        <v>570</v>
      </c>
    </row>
    <row r="452" spans="1:8" s="21" customFormat="1" x14ac:dyDescent="0.2">
      <c r="A452" s="53" t="s">
        <v>67</v>
      </c>
      <c r="B452" s="24" t="s">
        <v>49</v>
      </c>
      <c r="C452" s="24" t="s">
        <v>14</v>
      </c>
      <c r="D452" s="24" t="s">
        <v>116</v>
      </c>
      <c r="E452" s="24" t="s">
        <v>68</v>
      </c>
      <c r="F452" s="25">
        <f>' первое чтение вед стр-ра'!G377</f>
        <v>570</v>
      </c>
      <c r="G452" s="25">
        <f>' первое чтение вед стр-ра'!H377</f>
        <v>570</v>
      </c>
      <c r="H452" s="25">
        <f>' первое чтение вед стр-ра'!I377</f>
        <v>570</v>
      </c>
    </row>
    <row r="453" spans="1:8" s="73" customFormat="1" ht="25.5" x14ac:dyDescent="0.2">
      <c r="A453" s="97" t="s">
        <v>234</v>
      </c>
      <c r="B453" s="71" t="s">
        <v>49</v>
      </c>
      <c r="C453" s="71" t="s">
        <v>14</v>
      </c>
      <c r="D453" s="71" t="s">
        <v>123</v>
      </c>
      <c r="E453" s="71"/>
      <c r="F453" s="72">
        <f>F455+F454</f>
        <v>2005</v>
      </c>
      <c r="G453" s="72">
        <f>G455+G454</f>
        <v>2005</v>
      </c>
      <c r="H453" s="72">
        <f>H455+H454</f>
        <v>2005</v>
      </c>
    </row>
    <row r="454" spans="1:8" s="73" customFormat="1" ht="25.5" x14ac:dyDescent="0.2">
      <c r="A454" s="81" t="s">
        <v>74</v>
      </c>
      <c r="B454" s="76" t="s">
        <v>49</v>
      </c>
      <c r="C454" s="76" t="s">
        <v>14</v>
      </c>
      <c r="D454" s="76" t="s">
        <v>123</v>
      </c>
      <c r="E454" s="77" t="s">
        <v>66</v>
      </c>
      <c r="F454" s="56">
        <f>' первое чтение вед стр-ра'!G379</f>
        <v>325</v>
      </c>
      <c r="G454" s="56">
        <f>' первое чтение вед стр-ра'!H379</f>
        <v>325</v>
      </c>
      <c r="H454" s="56">
        <f>' первое чтение вед стр-ра'!I379</f>
        <v>325</v>
      </c>
    </row>
    <row r="455" spans="1:8" s="73" customFormat="1" ht="25.5" x14ac:dyDescent="0.2">
      <c r="A455" s="81" t="s">
        <v>130</v>
      </c>
      <c r="B455" s="76" t="s">
        <v>49</v>
      </c>
      <c r="C455" s="76" t="s">
        <v>14</v>
      </c>
      <c r="D455" s="76" t="s">
        <v>123</v>
      </c>
      <c r="E455" s="76" t="s">
        <v>63</v>
      </c>
      <c r="F455" s="56">
        <f>' первое чтение вед стр-ра'!G380</f>
        <v>1680</v>
      </c>
      <c r="G455" s="56">
        <f>' первое чтение вед стр-ра'!H380</f>
        <v>1680</v>
      </c>
      <c r="H455" s="56">
        <f>' первое чтение вед стр-ра'!I380</f>
        <v>1680</v>
      </c>
    </row>
    <row r="456" spans="1:8" s="21" customFormat="1" ht="63.75" x14ac:dyDescent="0.2">
      <c r="A456" s="18" t="s">
        <v>589</v>
      </c>
      <c r="B456" s="19" t="s">
        <v>49</v>
      </c>
      <c r="C456" s="19" t="s">
        <v>14</v>
      </c>
      <c r="D456" s="19" t="s">
        <v>118</v>
      </c>
      <c r="E456" s="19"/>
      <c r="F456" s="20">
        <f>F457</f>
        <v>325.89999999999998</v>
      </c>
      <c r="G456" s="20">
        <f>G457</f>
        <v>325.89999999999998</v>
      </c>
      <c r="H456" s="20">
        <f>H457</f>
        <v>325.89999999999998</v>
      </c>
    </row>
    <row r="457" spans="1:8" s="73" customFormat="1" x14ac:dyDescent="0.2">
      <c r="A457" s="81" t="s">
        <v>67</v>
      </c>
      <c r="B457" s="76" t="s">
        <v>49</v>
      </c>
      <c r="C457" s="76" t="s">
        <v>14</v>
      </c>
      <c r="D457" s="76" t="s">
        <v>118</v>
      </c>
      <c r="E457" s="76" t="s">
        <v>68</v>
      </c>
      <c r="F457" s="56">
        <f>' первое чтение вед стр-ра'!G382</f>
        <v>325.89999999999998</v>
      </c>
      <c r="G457" s="56">
        <f>' первое чтение вед стр-ра'!H382</f>
        <v>325.89999999999998</v>
      </c>
      <c r="H457" s="56">
        <f>' первое чтение вед стр-ра'!I382</f>
        <v>325.89999999999998</v>
      </c>
    </row>
    <row r="458" spans="1:8" s="21" customFormat="1" ht="38.25" x14ac:dyDescent="0.2">
      <c r="A458" s="18" t="s">
        <v>250</v>
      </c>
      <c r="B458" s="19" t="s">
        <v>49</v>
      </c>
      <c r="C458" s="19" t="s">
        <v>14</v>
      </c>
      <c r="D458" s="19" t="s">
        <v>109</v>
      </c>
      <c r="E458" s="19"/>
      <c r="F458" s="20">
        <f>F460+F459</f>
        <v>0</v>
      </c>
      <c r="G458" s="20">
        <f>G460+G459</f>
        <v>0</v>
      </c>
      <c r="H458" s="20">
        <f>H460+H459</f>
        <v>0</v>
      </c>
    </row>
    <row r="459" spans="1:8" s="21" customFormat="1" ht="25.5" x14ac:dyDescent="0.2">
      <c r="A459" s="28" t="s">
        <v>74</v>
      </c>
      <c r="B459" s="24" t="s">
        <v>49</v>
      </c>
      <c r="C459" s="24" t="s">
        <v>14</v>
      </c>
      <c r="D459" s="24" t="s">
        <v>109</v>
      </c>
      <c r="E459" s="27" t="s">
        <v>66</v>
      </c>
      <c r="F459" s="25">
        <f>' первое чтение вед стр-ра'!G509</f>
        <v>0</v>
      </c>
      <c r="G459" s="25">
        <f>' первое чтение вед стр-ра'!H509</f>
        <v>0</v>
      </c>
      <c r="H459" s="25">
        <f>' первое чтение вед стр-ра'!I509</f>
        <v>0</v>
      </c>
    </row>
    <row r="460" spans="1:8" s="73" customFormat="1" x14ac:dyDescent="0.2">
      <c r="A460" s="81" t="s">
        <v>67</v>
      </c>
      <c r="B460" s="76" t="s">
        <v>49</v>
      </c>
      <c r="C460" s="76" t="s">
        <v>14</v>
      </c>
      <c r="D460" s="76" t="s">
        <v>109</v>
      </c>
      <c r="E460" s="76" t="s">
        <v>68</v>
      </c>
      <c r="F460" s="25">
        <f>' первое чтение вед стр-ра'!G510</f>
        <v>0</v>
      </c>
      <c r="G460" s="25">
        <f>' первое чтение вед стр-ра'!H510</f>
        <v>0</v>
      </c>
      <c r="H460" s="25">
        <f>' первое чтение вед стр-ра'!I510</f>
        <v>0</v>
      </c>
    </row>
    <row r="461" spans="1:8" s="73" customFormat="1" ht="38.25" x14ac:dyDescent="0.2">
      <c r="A461" s="69" t="s">
        <v>251</v>
      </c>
      <c r="B461" s="71" t="s">
        <v>49</v>
      </c>
      <c r="C461" s="71" t="s">
        <v>14</v>
      </c>
      <c r="D461" s="71" t="s">
        <v>97</v>
      </c>
      <c r="E461" s="71"/>
      <c r="F461" s="72">
        <f>F463+F462</f>
        <v>0</v>
      </c>
      <c r="G461" s="72">
        <f>G463+G462</f>
        <v>0</v>
      </c>
      <c r="H461" s="72">
        <f>H463+H462</f>
        <v>0</v>
      </c>
    </row>
    <row r="462" spans="1:8" s="73" customFormat="1" ht="25.5" x14ac:dyDescent="0.2">
      <c r="A462" s="81" t="s">
        <v>74</v>
      </c>
      <c r="B462" s="76" t="s">
        <v>49</v>
      </c>
      <c r="C462" s="76" t="s">
        <v>14</v>
      </c>
      <c r="D462" s="76" t="s">
        <v>97</v>
      </c>
      <c r="E462" s="77" t="s">
        <v>66</v>
      </c>
      <c r="F462" s="56">
        <f>' первое чтение вед стр-ра'!G512</f>
        <v>0</v>
      </c>
      <c r="G462" s="56">
        <f>' первое чтение вед стр-ра'!H512</f>
        <v>0</v>
      </c>
      <c r="H462" s="56">
        <f>' первое чтение вед стр-ра'!I512</f>
        <v>0</v>
      </c>
    </row>
    <row r="463" spans="1:8" s="73" customFormat="1" x14ac:dyDescent="0.2">
      <c r="A463" s="81" t="s">
        <v>67</v>
      </c>
      <c r="B463" s="76" t="s">
        <v>49</v>
      </c>
      <c r="C463" s="76" t="s">
        <v>14</v>
      </c>
      <c r="D463" s="76" t="s">
        <v>97</v>
      </c>
      <c r="E463" s="76" t="s">
        <v>68</v>
      </c>
      <c r="F463" s="56">
        <f>' первое чтение вед стр-ра'!G513</f>
        <v>0</v>
      </c>
      <c r="G463" s="56">
        <f>' первое чтение вед стр-ра'!H513</f>
        <v>0</v>
      </c>
      <c r="H463" s="56">
        <f>' первое чтение вед стр-ра'!I513</f>
        <v>0</v>
      </c>
    </row>
    <row r="464" spans="1:8" s="21" customFormat="1" ht="25.5" x14ac:dyDescent="0.2">
      <c r="A464" s="18" t="s">
        <v>252</v>
      </c>
      <c r="B464" s="19" t="s">
        <v>49</v>
      </c>
      <c r="C464" s="19" t="s">
        <v>14</v>
      </c>
      <c r="D464" s="19" t="s">
        <v>99</v>
      </c>
      <c r="E464" s="19"/>
      <c r="F464" s="20">
        <f>F466+F465</f>
        <v>0</v>
      </c>
      <c r="G464" s="20">
        <f>G466+G465</f>
        <v>0</v>
      </c>
      <c r="H464" s="20">
        <f>H466+H465</f>
        <v>0</v>
      </c>
    </row>
    <row r="465" spans="1:8" s="21" customFormat="1" ht="25.5" x14ac:dyDescent="0.2">
      <c r="A465" s="28" t="s">
        <v>74</v>
      </c>
      <c r="B465" s="24" t="s">
        <v>49</v>
      </c>
      <c r="C465" s="24" t="s">
        <v>14</v>
      </c>
      <c r="D465" s="24" t="s">
        <v>99</v>
      </c>
      <c r="E465" s="27" t="s">
        <v>66</v>
      </c>
      <c r="F465" s="25">
        <f>' первое чтение вед стр-ра'!G515</f>
        <v>0</v>
      </c>
      <c r="G465" s="25">
        <f>' первое чтение вед стр-ра'!H515</f>
        <v>0</v>
      </c>
      <c r="H465" s="25">
        <f>' первое чтение вед стр-ра'!I515</f>
        <v>0</v>
      </c>
    </row>
    <row r="466" spans="1:8" s="21" customFormat="1" x14ac:dyDescent="0.2">
      <c r="A466" s="28" t="s">
        <v>67</v>
      </c>
      <c r="B466" s="24" t="s">
        <v>49</v>
      </c>
      <c r="C466" s="24" t="s">
        <v>14</v>
      </c>
      <c r="D466" s="24" t="s">
        <v>99</v>
      </c>
      <c r="E466" s="24" t="s">
        <v>68</v>
      </c>
      <c r="F466" s="25">
        <f>' первое чтение вед стр-ра'!G516</f>
        <v>0</v>
      </c>
      <c r="G466" s="25">
        <f>' первое чтение вед стр-ра'!H516</f>
        <v>0</v>
      </c>
      <c r="H466" s="25">
        <f>' первое чтение вед стр-ра'!I516</f>
        <v>0</v>
      </c>
    </row>
    <row r="467" spans="1:8" s="21" customFormat="1" ht="76.5" x14ac:dyDescent="0.2">
      <c r="A467" s="18" t="s">
        <v>253</v>
      </c>
      <c r="B467" s="19" t="s">
        <v>49</v>
      </c>
      <c r="C467" s="19" t="s">
        <v>14</v>
      </c>
      <c r="D467" s="19" t="s">
        <v>98</v>
      </c>
      <c r="E467" s="19"/>
      <c r="F467" s="20">
        <f>F468+F469</f>
        <v>4.8000000000000007</v>
      </c>
      <c r="G467" s="20">
        <f>G468+G469</f>
        <v>0</v>
      </c>
      <c r="H467" s="20">
        <f>H468+H469</f>
        <v>0</v>
      </c>
    </row>
    <row r="468" spans="1:8" s="73" customFormat="1" ht="25.5" x14ac:dyDescent="0.2">
      <c r="A468" s="81" t="s">
        <v>74</v>
      </c>
      <c r="B468" s="76" t="s">
        <v>49</v>
      </c>
      <c r="C468" s="76" t="s">
        <v>14</v>
      </c>
      <c r="D468" s="76" t="s">
        <v>98</v>
      </c>
      <c r="E468" s="77" t="s">
        <v>66</v>
      </c>
      <c r="F468" s="56">
        <f>' первое чтение вед стр-ра'!G518</f>
        <v>9.3130000000000004E-2</v>
      </c>
      <c r="G468" s="56">
        <f>' первое чтение вед стр-ра'!H518</f>
        <v>0</v>
      </c>
      <c r="H468" s="56">
        <f>' первое чтение вед стр-ра'!I518</f>
        <v>0</v>
      </c>
    </row>
    <row r="469" spans="1:8" s="73" customFormat="1" x14ac:dyDescent="0.2">
      <c r="A469" s="81" t="s">
        <v>67</v>
      </c>
      <c r="B469" s="76" t="s">
        <v>49</v>
      </c>
      <c r="C469" s="76" t="s">
        <v>14</v>
      </c>
      <c r="D469" s="76" t="s">
        <v>98</v>
      </c>
      <c r="E469" s="76" t="s">
        <v>68</v>
      </c>
      <c r="F469" s="56">
        <f>' первое чтение вед стр-ра'!G519</f>
        <v>4.7068700000000003</v>
      </c>
      <c r="G469" s="56">
        <f>' первое чтение вед стр-ра'!H519</f>
        <v>0</v>
      </c>
      <c r="H469" s="56">
        <f>' первое чтение вед стр-ра'!I519</f>
        <v>0</v>
      </c>
    </row>
    <row r="470" spans="1:8" s="21" customFormat="1" ht="63.75" x14ac:dyDescent="0.2">
      <c r="A470" s="18" t="s">
        <v>168</v>
      </c>
      <c r="B470" s="19" t="s">
        <v>49</v>
      </c>
      <c r="C470" s="19" t="s">
        <v>14</v>
      </c>
      <c r="D470" s="19" t="s">
        <v>89</v>
      </c>
      <c r="E470" s="19"/>
      <c r="F470" s="20">
        <f>F472+F471</f>
        <v>2070</v>
      </c>
      <c r="G470" s="20">
        <f t="shared" ref="G470:H470" si="104">G472+G471</f>
        <v>2070</v>
      </c>
      <c r="H470" s="20">
        <f t="shared" si="104"/>
        <v>2070</v>
      </c>
    </row>
    <row r="471" spans="1:8" s="21" customFormat="1" ht="25.5" x14ac:dyDescent="0.2">
      <c r="A471" s="28" t="s">
        <v>74</v>
      </c>
      <c r="B471" s="24" t="s">
        <v>49</v>
      </c>
      <c r="C471" s="24" t="s">
        <v>14</v>
      </c>
      <c r="D471" s="24" t="s">
        <v>89</v>
      </c>
      <c r="E471" s="27" t="s">
        <v>66</v>
      </c>
      <c r="F471" s="25">
        <f>' первое чтение вед стр-ра'!G521</f>
        <v>0</v>
      </c>
      <c r="G471" s="25">
        <f>' первое чтение вед стр-ра'!H521</f>
        <v>0</v>
      </c>
      <c r="H471" s="25">
        <f>' первое чтение вед стр-ра'!I521</f>
        <v>0</v>
      </c>
    </row>
    <row r="472" spans="1:8" s="21" customFormat="1" x14ac:dyDescent="0.2">
      <c r="A472" s="28" t="s">
        <v>67</v>
      </c>
      <c r="B472" s="24" t="s">
        <v>49</v>
      </c>
      <c r="C472" s="24" t="s">
        <v>14</v>
      </c>
      <c r="D472" s="24" t="s">
        <v>89</v>
      </c>
      <c r="E472" s="24" t="s">
        <v>68</v>
      </c>
      <c r="F472" s="25">
        <f>' первое чтение вед стр-ра'!G522</f>
        <v>2070</v>
      </c>
      <c r="G472" s="25">
        <f>' первое чтение вед стр-ра'!H522</f>
        <v>2070</v>
      </c>
      <c r="H472" s="25">
        <f>' первое чтение вед стр-ра'!I522</f>
        <v>2070</v>
      </c>
    </row>
    <row r="473" spans="1:8" s="21" customFormat="1" ht="127.5" x14ac:dyDescent="0.2">
      <c r="A473" s="18" t="s">
        <v>302</v>
      </c>
      <c r="B473" s="19" t="s">
        <v>49</v>
      </c>
      <c r="C473" s="19" t="s">
        <v>14</v>
      </c>
      <c r="D473" s="19" t="s">
        <v>90</v>
      </c>
      <c r="E473" s="19"/>
      <c r="F473" s="20">
        <f>F475+F474</f>
        <v>36</v>
      </c>
      <c r="G473" s="20">
        <f t="shared" ref="G473:H473" si="105">G475+G474</f>
        <v>36</v>
      </c>
      <c r="H473" s="20">
        <f t="shared" si="105"/>
        <v>36</v>
      </c>
    </row>
    <row r="474" spans="1:8" s="21" customFormat="1" ht="26.25" customHeight="1" x14ac:dyDescent="0.2">
      <c r="A474" s="28" t="s">
        <v>74</v>
      </c>
      <c r="B474" s="24" t="s">
        <v>49</v>
      </c>
      <c r="C474" s="24" t="s">
        <v>14</v>
      </c>
      <c r="D474" s="24" t="s">
        <v>90</v>
      </c>
      <c r="E474" s="27" t="s">
        <v>66</v>
      </c>
      <c r="F474" s="25">
        <f>' первое чтение вед стр-ра'!G524</f>
        <v>0</v>
      </c>
      <c r="G474" s="25">
        <f>' первое чтение вед стр-ра'!H524</f>
        <v>0</v>
      </c>
      <c r="H474" s="25">
        <f>' первое чтение вед стр-ра'!I524</f>
        <v>0</v>
      </c>
    </row>
    <row r="475" spans="1:8" s="73" customFormat="1" x14ac:dyDescent="0.2">
      <c r="A475" s="81" t="s">
        <v>67</v>
      </c>
      <c r="B475" s="76" t="s">
        <v>49</v>
      </c>
      <c r="C475" s="76" t="s">
        <v>14</v>
      </c>
      <c r="D475" s="76" t="s">
        <v>90</v>
      </c>
      <c r="E475" s="76" t="s">
        <v>68</v>
      </c>
      <c r="F475" s="25">
        <f>' первое чтение вед стр-ра'!G525</f>
        <v>36</v>
      </c>
      <c r="G475" s="25">
        <f>' первое чтение вед стр-ра'!H525</f>
        <v>36</v>
      </c>
      <c r="H475" s="25">
        <f>' первое чтение вед стр-ра'!I525</f>
        <v>36</v>
      </c>
    </row>
    <row r="476" spans="1:8" s="21" customFormat="1" ht="76.5" x14ac:dyDescent="0.2">
      <c r="A476" s="18" t="s">
        <v>391</v>
      </c>
      <c r="B476" s="19" t="s">
        <v>49</v>
      </c>
      <c r="C476" s="19" t="s">
        <v>14</v>
      </c>
      <c r="D476" s="19" t="s">
        <v>91</v>
      </c>
      <c r="E476" s="19"/>
      <c r="F476" s="56">
        <f>SUM(F477:F478)</f>
        <v>260</v>
      </c>
      <c r="G476" s="56">
        <f t="shared" ref="G476:H476" si="106">SUM(G477:G478)</f>
        <v>260</v>
      </c>
      <c r="H476" s="56">
        <f t="shared" si="106"/>
        <v>260</v>
      </c>
    </row>
    <row r="477" spans="1:8" s="21" customFormat="1" ht="25.5" x14ac:dyDescent="0.2">
      <c r="A477" s="28" t="s">
        <v>74</v>
      </c>
      <c r="B477" s="24" t="s">
        <v>49</v>
      </c>
      <c r="C477" s="24" t="s">
        <v>14</v>
      </c>
      <c r="D477" s="24" t="s">
        <v>91</v>
      </c>
      <c r="E477" s="27" t="s">
        <v>66</v>
      </c>
      <c r="F477" s="25">
        <f>' первое чтение вед стр-ра'!G527</f>
        <v>0</v>
      </c>
      <c r="G477" s="25">
        <f>' первое чтение вед стр-ра'!H527</f>
        <v>0</v>
      </c>
      <c r="H477" s="25">
        <f>' первое чтение вед стр-ра'!I527</f>
        <v>0</v>
      </c>
    </row>
    <row r="478" spans="1:8" s="73" customFormat="1" x14ac:dyDescent="0.2">
      <c r="A478" s="81" t="s">
        <v>67</v>
      </c>
      <c r="B478" s="76" t="s">
        <v>49</v>
      </c>
      <c r="C478" s="76" t="s">
        <v>14</v>
      </c>
      <c r="D478" s="76" t="s">
        <v>91</v>
      </c>
      <c r="E478" s="76" t="s">
        <v>68</v>
      </c>
      <c r="F478" s="25">
        <f>' первое чтение вед стр-ра'!G528</f>
        <v>260</v>
      </c>
      <c r="G478" s="25">
        <f>' первое чтение вед стр-ра'!H528</f>
        <v>260</v>
      </c>
      <c r="H478" s="25">
        <f>' первое чтение вед стр-ра'!I528</f>
        <v>260</v>
      </c>
    </row>
    <row r="479" spans="1:8" s="21" customFormat="1" ht="51" x14ac:dyDescent="0.2">
      <c r="A479" s="18" t="s">
        <v>169</v>
      </c>
      <c r="B479" s="19" t="s">
        <v>49</v>
      </c>
      <c r="C479" s="19" t="s">
        <v>14</v>
      </c>
      <c r="D479" s="19" t="s">
        <v>92</v>
      </c>
      <c r="E479" s="19"/>
      <c r="F479" s="20">
        <f>F481+F480</f>
        <v>29.1</v>
      </c>
      <c r="G479" s="20">
        <f t="shared" ref="G479:H479" si="107">G481+G480</f>
        <v>29.1</v>
      </c>
      <c r="H479" s="20">
        <f t="shared" si="107"/>
        <v>29.1</v>
      </c>
    </row>
    <row r="480" spans="1:8" s="21" customFormat="1" ht="25.5" x14ac:dyDescent="0.2">
      <c r="A480" s="28" t="s">
        <v>74</v>
      </c>
      <c r="B480" s="24" t="s">
        <v>49</v>
      </c>
      <c r="C480" s="24" t="s">
        <v>14</v>
      </c>
      <c r="D480" s="24" t="s">
        <v>92</v>
      </c>
      <c r="E480" s="27" t="s">
        <v>66</v>
      </c>
      <c r="F480" s="25">
        <f>' первое чтение вед стр-ра'!G530</f>
        <v>0</v>
      </c>
      <c r="G480" s="25">
        <f>' первое чтение вед стр-ра'!H530</f>
        <v>0</v>
      </c>
      <c r="H480" s="25">
        <f>' первое чтение вед стр-ра'!I530</f>
        <v>0</v>
      </c>
    </row>
    <row r="481" spans="1:8" s="73" customFormat="1" x14ac:dyDescent="0.2">
      <c r="A481" s="81" t="s">
        <v>67</v>
      </c>
      <c r="B481" s="76" t="s">
        <v>49</v>
      </c>
      <c r="C481" s="76" t="s">
        <v>14</v>
      </c>
      <c r="D481" s="76" t="s">
        <v>92</v>
      </c>
      <c r="E481" s="76" t="s">
        <v>68</v>
      </c>
      <c r="F481" s="25">
        <f>' первое чтение вед стр-ра'!G531</f>
        <v>29.1</v>
      </c>
      <c r="G481" s="25">
        <f>' первое чтение вед стр-ра'!H531</f>
        <v>29.1</v>
      </c>
      <c r="H481" s="25">
        <f>' первое чтение вед стр-ра'!I531</f>
        <v>29.1</v>
      </c>
    </row>
    <row r="482" spans="1:8" s="21" customFormat="1" ht="51" x14ac:dyDescent="0.2">
      <c r="A482" s="18" t="s">
        <v>303</v>
      </c>
      <c r="B482" s="19" t="s">
        <v>49</v>
      </c>
      <c r="C482" s="19" t="s">
        <v>14</v>
      </c>
      <c r="D482" s="19" t="s">
        <v>103</v>
      </c>
      <c r="E482" s="19"/>
      <c r="F482" s="20">
        <f>F484+F483</f>
        <v>0</v>
      </c>
      <c r="G482" s="20">
        <f>G484+G483</f>
        <v>0</v>
      </c>
      <c r="H482" s="20">
        <f>H484+H483</f>
        <v>0</v>
      </c>
    </row>
    <row r="483" spans="1:8" s="21" customFormat="1" ht="25.5" x14ac:dyDescent="0.2">
      <c r="A483" s="28" t="s">
        <v>74</v>
      </c>
      <c r="B483" s="24" t="s">
        <v>49</v>
      </c>
      <c r="C483" s="24" t="s">
        <v>14</v>
      </c>
      <c r="D483" s="24" t="s">
        <v>103</v>
      </c>
      <c r="E483" s="27" t="s">
        <v>66</v>
      </c>
      <c r="F483" s="25">
        <f>' первое чтение вед стр-ра'!G533</f>
        <v>0</v>
      </c>
      <c r="G483" s="25">
        <f>' первое чтение вед стр-ра'!H533</f>
        <v>0</v>
      </c>
      <c r="H483" s="25">
        <f>' первое чтение вед стр-ра'!I533</f>
        <v>0</v>
      </c>
    </row>
    <row r="484" spans="1:8" s="21" customFormat="1" x14ac:dyDescent="0.2">
      <c r="A484" s="28" t="s">
        <v>67</v>
      </c>
      <c r="B484" s="24" t="s">
        <v>49</v>
      </c>
      <c r="C484" s="24" t="s">
        <v>14</v>
      </c>
      <c r="D484" s="24" t="s">
        <v>103</v>
      </c>
      <c r="E484" s="24" t="s">
        <v>68</v>
      </c>
      <c r="F484" s="25">
        <f>' первое чтение вед стр-ра'!G534</f>
        <v>0</v>
      </c>
      <c r="G484" s="25">
        <f>' первое чтение вед стр-ра'!H534</f>
        <v>0</v>
      </c>
      <c r="H484" s="25">
        <f>' первое чтение вед стр-ра'!I534</f>
        <v>0</v>
      </c>
    </row>
    <row r="485" spans="1:8" s="21" customFormat="1" ht="51" x14ac:dyDescent="0.2">
      <c r="A485" s="18" t="s">
        <v>170</v>
      </c>
      <c r="B485" s="19" t="s">
        <v>49</v>
      </c>
      <c r="C485" s="19" t="s">
        <v>14</v>
      </c>
      <c r="D485" s="19" t="s">
        <v>93</v>
      </c>
      <c r="E485" s="19"/>
      <c r="F485" s="20">
        <f>F487+F486</f>
        <v>60</v>
      </c>
      <c r="G485" s="20">
        <f t="shared" ref="G485:H485" si="108">G487+G486</f>
        <v>60</v>
      </c>
      <c r="H485" s="20">
        <f t="shared" si="108"/>
        <v>60</v>
      </c>
    </row>
    <row r="486" spans="1:8" s="21" customFormat="1" ht="25.5" x14ac:dyDescent="0.2">
      <c r="A486" s="28" t="s">
        <v>74</v>
      </c>
      <c r="B486" s="24" t="s">
        <v>49</v>
      </c>
      <c r="C486" s="24" t="s">
        <v>14</v>
      </c>
      <c r="D486" s="24" t="s">
        <v>93</v>
      </c>
      <c r="E486" s="27" t="s">
        <v>66</v>
      </c>
      <c r="F486" s="25">
        <f>' первое чтение вед стр-ра'!G536</f>
        <v>0</v>
      </c>
      <c r="G486" s="25">
        <f>' первое чтение вед стр-ра'!H536</f>
        <v>0</v>
      </c>
      <c r="H486" s="25">
        <f>' первое чтение вед стр-ра'!I536</f>
        <v>0</v>
      </c>
    </row>
    <row r="487" spans="1:8" s="73" customFormat="1" x14ac:dyDescent="0.2">
      <c r="A487" s="81" t="s">
        <v>67</v>
      </c>
      <c r="B487" s="76" t="s">
        <v>49</v>
      </c>
      <c r="C487" s="76" t="s">
        <v>14</v>
      </c>
      <c r="D487" s="76" t="s">
        <v>93</v>
      </c>
      <c r="E487" s="76" t="s">
        <v>68</v>
      </c>
      <c r="F487" s="25">
        <f>' первое чтение вед стр-ра'!G537</f>
        <v>60</v>
      </c>
      <c r="G487" s="25">
        <f>' первое чтение вед стр-ра'!H537</f>
        <v>60</v>
      </c>
      <c r="H487" s="25">
        <f>' первое чтение вед стр-ра'!I537</f>
        <v>60</v>
      </c>
    </row>
    <row r="488" spans="1:8" s="21" customFormat="1" ht="89.25" x14ac:dyDescent="0.2">
      <c r="A488" s="18" t="s">
        <v>750</v>
      </c>
      <c r="B488" s="19" t="s">
        <v>49</v>
      </c>
      <c r="C488" s="19" t="s">
        <v>14</v>
      </c>
      <c r="D488" s="19" t="s">
        <v>730</v>
      </c>
      <c r="E488" s="19"/>
      <c r="F488" s="20">
        <f>F490+F489</f>
        <v>2523.4</v>
      </c>
      <c r="G488" s="20">
        <f>G490+G489</f>
        <v>2523.4</v>
      </c>
      <c r="H488" s="20">
        <f>H490+H489</f>
        <v>2523.4</v>
      </c>
    </row>
    <row r="489" spans="1:8" s="21" customFormat="1" ht="25.5" x14ac:dyDescent="0.2">
      <c r="A489" s="28" t="s">
        <v>74</v>
      </c>
      <c r="B489" s="24" t="s">
        <v>49</v>
      </c>
      <c r="C489" s="24" t="s">
        <v>14</v>
      </c>
      <c r="D489" s="24" t="s">
        <v>730</v>
      </c>
      <c r="E489" s="27" t="s">
        <v>66</v>
      </c>
      <c r="F489" s="25">
        <f>' первое чтение вед стр-ра'!G539</f>
        <v>33.1</v>
      </c>
      <c r="G489" s="25">
        <f>' первое чтение вед стр-ра'!H539</f>
        <v>33.1</v>
      </c>
      <c r="H489" s="25">
        <f>' первое чтение вед стр-ра'!I539</f>
        <v>33.1</v>
      </c>
    </row>
    <row r="490" spans="1:8" s="73" customFormat="1" x14ac:dyDescent="0.2">
      <c r="A490" s="81" t="s">
        <v>67</v>
      </c>
      <c r="B490" s="76" t="s">
        <v>49</v>
      </c>
      <c r="C490" s="76" t="s">
        <v>14</v>
      </c>
      <c r="D490" s="76" t="s">
        <v>730</v>
      </c>
      <c r="E490" s="76" t="s">
        <v>68</v>
      </c>
      <c r="F490" s="25">
        <f>' первое чтение вед стр-ра'!G540</f>
        <v>2490.3000000000002</v>
      </c>
      <c r="G490" s="25">
        <f>' первое чтение вед стр-ра'!H540</f>
        <v>2490.3000000000002</v>
      </c>
      <c r="H490" s="25">
        <f>' первое чтение вед стр-ра'!I540</f>
        <v>2490.3000000000002</v>
      </c>
    </row>
    <row r="491" spans="1:8" s="21" customFormat="1" ht="114.75" x14ac:dyDescent="0.2">
      <c r="A491" s="18" t="s">
        <v>304</v>
      </c>
      <c r="B491" s="19" t="s">
        <v>49</v>
      </c>
      <c r="C491" s="19" t="s">
        <v>14</v>
      </c>
      <c r="D491" s="19" t="s">
        <v>104</v>
      </c>
      <c r="E491" s="19"/>
      <c r="F491" s="20">
        <f>F492</f>
        <v>0</v>
      </c>
      <c r="G491" s="20">
        <f>G492</f>
        <v>0</v>
      </c>
      <c r="H491" s="20">
        <f>H492</f>
        <v>0</v>
      </c>
    </row>
    <row r="492" spans="1:8" s="21" customFormat="1" x14ac:dyDescent="0.2">
      <c r="A492" s="53" t="s">
        <v>67</v>
      </c>
      <c r="B492" s="24" t="s">
        <v>49</v>
      </c>
      <c r="C492" s="24" t="s">
        <v>14</v>
      </c>
      <c r="D492" s="24" t="s">
        <v>104</v>
      </c>
      <c r="E492" s="24" t="s">
        <v>68</v>
      </c>
      <c r="F492" s="25">
        <f>' первое чтение вед стр-ра'!G542</f>
        <v>0</v>
      </c>
      <c r="G492" s="25">
        <f>' первое чтение вед стр-ра'!H542</f>
        <v>0</v>
      </c>
      <c r="H492" s="25">
        <f>' первое чтение вед стр-ра'!I542</f>
        <v>0</v>
      </c>
    </row>
    <row r="493" spans="1:8" s="73" customFormat="1" ht="38.25" x14ac:dyDescent="0.2">
      <c r="A493" s="69" t="s">
        <v>305</v>
      </c>
      <c r="B493" s="71" t="s">
        <v>49</v>
      </c>
      <c r="C493" s="71" t="s">
        <v>14</v>
      </c>
      <c r="D493" s="71" t="s">
        <v>107</v>
      </c>
      <c r="E493" s="71"/>
      <c r="F493" s="72">
        <f>F495+F494</f>
        <v>0</v>
      </c>
      <c r="G493" s="72">
        <f>G495+G494</f>
        <v>0</v>
      </c>
      <c r="H493" s="72">
        <f>H495+H494</f>
        <v>0</v>
      </c>
    </row>
    <row r="494" spans="1:8" s="21" customFormat="1" ht="25.5" x14ac:dyDescent="0.2">
      <c r="A494" s="28" t="s">
        <v>74</v>
      </c>
      <c r="B494" s="24" t="s">
        <v>49</v>
      </c>
      <c r="C494" s="24" t="s">
        <v>14</v>
      </c>
      <c r="D494" s="24" t="s">
        <v>107</v>
      </c>
      <c r="E494" s="27" t="s">
        <v>66</v>
      </c>
      <c r="F494" s="25">
        <f>' первое чтение вед стр-ра'!G544</f>
        <v>0</v>
      </c>
      <c r="G494" s="25">
        <f>' первое чтение вед стр-ра'!H544</f>
        <v>0</v>
      </c>
      <c r="H494" s="25">
        <f>' первое чтение вед стр-ра'!I544</f>
        <v>0</v>
      </c>
    </row>
    <row r="495" spans="1:8" s="73" customFormat="1" x14ac:dyDescent="0.2">
      <c r="A495" s="81" t="s">
        <v>67</v>
      </c>
      <c r="B495" s="76" t="s">
        <v>49</v>
      </c>
      <c r="C495" s="76" t="s">
        <v>14</v>
      </c>
      <c r="D495" s="76" t="s">
        <v>107</v>
      </c>
      <c r="E495" s="76" t="s">
        <v>68</v>
      </c>
      <c r="F495" s="25">
        <f>' первое чтение вед стр-ра'!G545</f>
        <v>0</v>
      </c>
      <c r="G495" s="25">
        <f>' первое чтение вед стр-ра'!H545</f>
        <v>0</v>
      </c>
      <c r="H495" s="25">
        <f>' первое чтение вед стр-ра'!I545</f>
        <v>0</v>
      </c>
    </row>
    <row r="496" spans="1:8" s="21" customFormat="1" ht="51" x14ac:dyDescent="0.2">
      <c r="A496" s="18" t="s">
        <v>256</v>
      </c>
      <c r="B496" s="19" t="s">
        <v>49</v>
      </c>
      <c r="C496" s="19" t="s">
        <v>14</v>
      </c>
      <c r="D496" s="19" t="s">
        <v>102</v>
      </c>
      <c r="E496" s="19"/>
      <c r="F496" s="20">
        <f>F498+F497</f>
        <v>0</v>
      </c>
      <c r="G496" s="20">
        <f>G498+G497</f>
        <v>0</v>
      </c>
      <c r="H496" s="20">
        <f>H498+H497</f>
        <v>0</v>
      </c>
    </row>
    <row r="497" spans="1:8" s="21" customFormat="1" ht="25.5" x14ac:dyDescent="0.2">
      <c r="A497" s="28" t="s">
        <v>74</v>
      </c>
      <c r="B497" s="24" t="s">
        <v>49</v>
      </c>
      <c r="C497" s="24" t="s">
        <v>14</v>
      </c>
      <c r="D497" s="24" t="s">
        <v>102</v>
      </c>
      <c r="E497" s="27" t="s">
        <v>66</v>
      </c>
      <c r="F497" s="25">
        <f>' первое чтение вед стр-ра'!G547</f>
        <v>0</v>
      </c>
      <c r="G497" s="25">
        <f>' первое чтение вед стр-ра'!H547</f>
        <v>0</v>
      </c>
      <c r="H497" s="25">
        <f>' первое чтение вед стр-ра'!I547</f>
        <v>0</v>
      </c>
    </row>
    <row r="498" spans="1:8" s="21" customFormat="1" x14ac:dyDescent="0.2">
      <c r="A498" s="28" t="s">
        <v>67</v>
      </c>
      <c r="B498" s="24" t="s">
        <v>49</v>
      </c>
      <c r="C498" s="24" t="s">
        <v>14</v>
      </c>
      <c r="D498" s="24" t="s">
        <v>102</v>
      </c>
      <c r="E498" s="24" t="s">
        <v>68</v>
      </c>
      <c r="F498" s="25">
        <f>' первое чтение вед стр-ра'!G548</f>
        <v>0</v>
      </c>
      <c r="G498" s="25">
        <f>' первое чтение вед стр-ра'!H548</f>
        <v>0</v>
      </c>
      <c r="H498" s="25">
        <f>' первое чтение вед стр-ра'!I548</f>
        <v>0</v>
      </c>
    </row>
    <row r="499" spans="1:8" s="21" customFormat="1" ht="63.75" x14ac:dyDescent="0.2">
      <c r="A499" s="18" t="s">
        <v>310</v>
      </c>
      <c r="B499" s="19" t="s">
        <v>49</v>
      </c>
      <c r="C499" s="19" t="s">
        <v>14</v>
      </c>
      <c r="D499" s="19" t="s">
        <v>105</v>
      </c>
      <c r="E499" s="19"/>
      <c r="F499" s="20">
        <f>F501+F500</f>
        <v>1216</v>
      </c>
      <c r="G499" s="20">
        <f>G501+G500</f>
        <v>1216</v>
      </c>
      <c r="H499" s="20">
        <f>H501+H500</f>
        <v>1216</v>
      </c>
    </row>
    <row r="500" spans="1:8" s="21" customFormat="1" ht="25.5" x14ac:dyDescent="0.2">
      <c r="A500" s="28" t="s">
        <v>74</v>
      </c>
      <c r="B500" s="24" t="s">
        <v>49</v>
      </c>
      <c r="C500" s="24" t="s">
        <v>14</v>
      </c>
      <c r="D500" s="24" t="s">
        <v>105</v>
      </c>
      <c r="E500" s="27" t="s">
        <v>66</v>
      </c>
      <c r="F500" s="25">
        <f>' первое чтение вед стр-ра'!G550</f>
        <v>6</v>
      </c>
      <c r="G500" s="25">
        <f>' первое чтение вед стр-ра'!H550</f>
        <v>6</v>
      </c>
      <c r="H500" s="25">
        <f>' первое чтение вед стр-ра'!I550</f>
        <v>6</v>
      </c>
    </row>
    <row r="501" spans="1:8" s="21" customFormat="1" x14ac:dyDescent="0.2">
      <c r="A501" s="28" t="s">
        <v>67</v>
      </c>
      <c r="B501" s="24" t="s">
        <v>49</v>
      </c>
      <c r="C501" s="24" t="s">
        <v>14</v>
      </c>
      <c r="D501" s="24" t="s">
        <v>105</v>
      </c>
      <c r="E501" s="24" t="s">
        <v>68</v>
      </c>
      <c r="F501" s="25">
        <f>' первое чтение вед стр-ра'!G551</f>
        <v>1210</v>
      </c>
      <c r="G501" s="25">
        <f>' первое чтение вед стр-ра'!H551</f>
        <v>1210</v>
      </c>
      <c r="H501" s="25">
        <f>' первое чтение вед стр-ра'!I551</f>
        <v>1210</v>
      </c>
    </row>
    <row r="502" spans="1:8" s="73" customFormat="1" ht="38.25" x14ac:dyDescent="0.2">
      <c r="A502" s="69" t="s">
        <v>257</v>
      </c>
      <c r="B502" s="71" t="s">
        <v>49</v>
      </c>
      <c r="C502" s="71" t="s">
        <v>14</v>
      </c>
      <c r="D502" s="71" t="s">
        <v>106</v>
      </c>
      <c r="E502" s="71"/>
      <c r="F502" s="72">
        <f>F504+F503</f>
        <v>0</v>
      </c>
      <c r="G502" s="72">
        <f>G504+G503</f>
        <v>0</v>
      </c>
      <c r="H502" s="72">
        <f>H504+H503</f>
        <v>0</v>
      </c>
    </row>
    <row r="503" spans="1:8" s="73" customFormat="1" ht="25.5" x14ac:dyDescent="0.2">
      <c r="A503" s="81" t="s">
        <v>74</v>
      </c>
      <c r="B503" s="76" t="s">
        <v>49</v>
      </c>
      <c r="C503" s="76" t="s">
        <v>14</v>
      </c>
      <c r="D503" s="76" t="s">
        <v>106</v>
      </c>
      <c r="E503" s="77" t="s">
        <v>66</v>
      </c>
      <c r="F503" s="56">
        <f>' первое чтение вед стр-ра'!G553</f>
        <v>0</v>
      </c>
      <c r="G503" s="56">
        <f>' первое чтение вед стр-ра'!H553</f>
        <v>0</v>
      </c>
      <c r="H503" s="56">
        <f>' первое чтение вед стр-ра'!I553</f>
        <v>0</v>
      </c>
    </row>
    <row r="504" spans="1:8" s="73" customFormat="1" x14ac:dyDescent="0.2">
      <c r="A504" s="81" t="s">
        <v>67</v>
      </c>
      <c r="B504" s="76" t="s">
        <v>49</v>
      </c>
      <c r="C504" s="76" t="s">
        <v>14</v>
      </c>
      <c r="D504" s="76" t="s">
        <v>106</v>
      </c>
      <c r="E504" s="76" t="s">
        <v>68</v>
      </c>
      <c r="F504" s="56">
        <f>' первое чтение вед стр-ра'!G554</f>
        <v>0</v>
      </c>
      <c r="G504" s="56">
        <f>' первое чтение вед стр-ра'!H554</f>
        <v>0</v>
      </c>
      <c r="H504" s="56">
        <f>' первое чтение вед стр-ра'!I554</f>
        <v>0</v>
      </c>
    </row>
    <row r="505" spans="1:8" s="21" customFormat="1" ht="89.25" x14ac:dyDescent="0.2">
      <c r="A505" s="18" t="s">
        <v>392</v>
      </c>
      <c r="B505" s="19" t="s">
        <v>49</v>
      </c>
      <c r="C505" s="19" t="s">
        <v>14</v>
      </c>
      <c r="D505" s="19" t="s">
        <v>108</v>
      </c>
      <c r="E505" s="19"/>
      <c r="F505" s="20">
        <f>F507+F506</f>
        <v>0</v>
      </c>
      <c r="G505" s="20">
        <f>G507+G506</f>
        <v>0</v>
      </c>
      <c r="H505" s="20">
        <f>H507+H506</f>
        <v>0</v>
      </c>
    </row>
    <row r="506" spans="1:8" s="21" customFormat="1" ht="25.5" x14ac:dyDescent="0.2">
      <c r="A506" s="28" t="s">
        <v>74</v>
      </c>
      <c r="B506" s="24" t="s">
        <v>49</v>
      </c>
      <c r="C506" s="24" t="s">
        <v>14</v>
      </c>
      <c r="D506" s="24" t="s">
        <v>108</v>
      </c>
      <c r="E506" s="27" t="s">
        <v>66</v>
      </c>
      <c r="F506" s="25">
        <f>' первое чтение вед стр-ра'!G556</f>
        <v>0</v>
      </c>
      <c r="G506" s="25">
        <f>' первое чтение вед стр-ра'!H556</f>
        <v>0</v>
      </c>
      <c r="H506" s="25">
        <f>' первое чтение вед стр-ра'!I556</f>
        <v>0</v>
      </c>
    </row>
    <row r="507" spans="1:8" s="73" customFormat="1" x14ac:dyDescent="0.2">
      <c r="A507" s="81" t="s">
        <v>67</v>
      </c>
      <c r="B507" s="76" t="s">
        <v>49</v>
      </c>
      <c r="C507" s="76" t="s">
        <v>14</v>
      </c>
      <c r="D507" s="76" t="s">
        <v>108</v>
      </c>
      <c r="E507" s="76" t="s">
        <v>68</v>
      </c>
      <c r="F507" s="25">
        <f>' первое чтение вед стр-ра'!G557</f>
        <v>0</v>
      </c>
      <c r="G507" s="25">
        <f>' первое чтение вед стр-ра'!H557</f>
        <v>0</v>
      </c>
      <c r="H507" s="25">
        <f>' первое чтение вед стр-ра'!I557</f>
        <v>0</v>
      </c>
    </row>
    <row r="508" spans="1:8" s="73" customFormat="1" ht="56.25" customHeight="1" x14ac:dyDescent="0.2">
      <c r="A508" s="69" t="s">
        <v>751</v>
      </c>
      <c r="B508" s="71" t="s">
        <v>49</v>
      </c>
      <c r="C508" s="71" t="s">
        <v>14</v>
      </c>
      <c r="D508" s="71" t="s">
        <v>88</v>
      </c>
      <c r="E508" s="71"/>
      <c r="F508" s="72">
        <f>F511+F509+F510</f>
        <v>1471</v>
      </c>
      <c r="G508" s="72">
        <f t="shared" ref="G508:H508" si="109">G511+G509+G510</f>
        <v>1471</v>
      </c>
      <c r="H508" s="72">
        <f t="shared" si="109"/>
        <v>1471</v>
      </c>
    </row>
    <row r="509" spans="1:8" s="73" customFormat="1" ht="25.5" x14ac:dyDescent="0.2">
      <c r="A509" s="81" t="s">
        <v>74</v>
      </c>
      <c r="B509" s="76" t="s">
        <v>49</v>
      </c>
      <c r="C509" s="76" t="s">
        <v>14</v>
      </c>
      <c r="D509" s="76" t="s">
        <v>88</v>
      </c>
      <c r="E509" s="77" t="s">
        <v>66</v>
      </c>
      <c r="F509" s="56">
        <f>' первое чтение вед стр-ра'!G559</f>
        <v>25</v>
      </c>
      <c r="G509" s="56">
        <f>' первое чтение вед стр-ра'!H559</f>
        <v>25</v>
      </c>
      <c r="H509" s="56">
        <f>' первое чтение вед стр-ра'!I559</f>
        <v>25</v>
      </c>
    </row>
    <row r="510" spans="1:8" s="73" customFormat="1" x14ac:dyDescent="0.2">
      <c r="A510" s="81" t="s">
        <v>67</v>
      </c>
      <c r="B510" s="76" t="s">
        <v>49</v>
      </c>
      <c r="C510" s="76" t="s">
        <v>14</v>
      </c>
      <c r="D510" s="76" t="s">
        <v>88</v>
      </c>
      <c r="E510" s="76" t="s">
        <v>68</v>
      </c>
      <c r="F510" s="56">
        <f>' первое чтение вед стр-ра'!G560</f>
        <v>1276</v>
      </c>
      <c r="G510" s="56">
        <f>' первое чтение вед стр-ра'!H560</f>
        <v>1276</v>
      </c>
      <c r="H510" s="56">
        <f>' первое чтение вед стр-ра'!I560</f>
        <v>1276</v>
      </c>
    </row>
    <row r="511" spans="1:8" s="73" customFormat="1" x14ac:dyDescent="0.2">
      <c r="A511" s="81" t="s">
        <v>70</v>
      </c>
      <c r="B511" s="76" t="s">
        <v>49</v>
      </c>
      <c r="C511" s="76" t="s">
        <v>14</v>
      </c>
      <c r="D511" s="76" t="s">
        <v>88</v>
      </c>
      <c r="E511" s="76" t="s">
        <v>71</v>
      </c>
      <c r="F511" s="56">
        <f>' первое чтение вед стр-ра'!G561</f>
        <v>170</v>
      </c>
      <c r="G511" s="56">
        <f>' первое чтение вед стр-ра'!H561</f>
        <v>170</v>
      </c>
      <c r="H511" s="56">
        <f>' первое чтение вед стр-ра'!I561</f>
        <v>170</v>
      </c>
    </row>
    <row r="512" spans="1:8" s="73" customFormat="1" x14ac:dyDescent="0.2">
      <c r="A512" s="64" t="s">
        <v>54</v>
      </c>
      <c r="B512" s="66" t="s">
        <v>49</v>
      </c>
      <c r="C512" s="66" t="s">
        <v>16</v>
      </c>
      <c r="D512" s="66"/>
      <c r="E512" s="66"/>
      <c r="F512" s="67">
        <f>SUM(F513,F515,F518,F520,F522,F524,F530,F534,F536,F539,F541,F544,F546)+F528+F532</f>
        <v>252252.5</v>
      </c>
      <c r="G512" s="67">
        <f t="shared" ref="G512:H512" si="110">SUM(G513,G515,G518,G520,G522,G524,G530,G534,G536,G539,G541,G544,G546)+G528+G532</f>
        <v>259052.5</v>
      </c>
      <c r="H512" s="67">
        <f t="shared" si="110"/>
        <v>263489.5</v>
      </c>
    </row>
    <row r="513" spans="1:8" s="21" customFormat="1" ht="38.25" x14ac:dyDescent="0.2">
      <c r="A513" s="52" t="s">
        <v>379</v>
      </c>
      <c r="B513" s="19" t="s">
        <v>49</v>
      </c>
      <c r="C513" s="19" t="s">
        <v>16</v>
      </c>
      <c r="D513" s="19" t="s">
        <v>377</v>
      </c>
      <c r="E513" s="19"/>
      <c r="F513" s="20">
        <f>F514</f>
        <v>0</v>
      </c>
      <c r="G513" s="20">
        <f t="shared" ref="G513:H513" si="111">G514</f>
        <v>0</v>
      </c>
      <c r="H513" s="20">
        <f t="shared" si="111"/>
        <v>0</v>
      </c>
    </row>
    <row r="514" spans="1:8" s="21" customFormat="1" x14ac:dyDescent="0.2">
      <c r="A514" s="28" t="s">
        <v>67</v>
      </c>
      <c r="B514" s="24" t="s">
        <v>49</v>
      </c>
      <c r="C514" s="24" t="s">
        <v>16</v>
      </c>
      <c r="D514" s="19" t="s">
        <v>377</v>
      </c>
      <c r="E514" s="24" t="s">
        <v>68</v>
      </c>
      <c r="F514" s="25">
        <f>' первое чтение вед стр-ра'!G567</f>
        <v>0</v>
      </c>
      <c r="G514" s="25">
        <f>' первое чтение вед стр-ра'!H567</f>
        <v>0</v>
      </c>
      <c r="H514" s="25">
        <f>' первое чтение вед стр-ра'!I567</f>
        <v>0</v>
      </c>
    </row>
    <row r="515" spans="1:8" s="73" customFormat="1" ht="25.5" x14ac:dyDescent="0.2">
      <c r="A515" s="69" t="s">
        <v>381</v>
      </c>
      <c r="B515" s="71" t="s">
        <v>49</v>
      </c>
      <c r="C515" s="71" t="s">
        <v>16</v>
      </c>
      <c r="D515" s="71" t="s">
        <v>378</v>
      </c>
      <c r="E515" s="71"/>
      <c r="F515" s="72">
        <f>F517+F516</f>
        <v>73264</v>
      </c>
      <c r="G515" s="72">
        <f t="shared" ref="G515:H515" si="112">G517+G516</f>
        <v>75462</v>
      </c>
      <c r="H515" s="72">
        <f t="shared" si="112"/>
        <v>77723</v>
      </c>
    </row>
    <row r="516" spans="1:8" s="78" customFormat="1" ht="25.5" x14ac:dyDescent="0.2">
      <c r="A516" s="81" t="s">
        <v>74</v>
      </c>
      <c r="B516" s="76" t="s">
        <v>49</v>
      </c>
      <c r="C516" s="76" t="s">
        <v>16</v>
      </c>
      <c r="D516" s="76" t="s">
        <v>378</v>
      </c>
      <c r="E516" s="76" t="s">
        <v>66</v>
      </c>
      <c r="F516" s="56">
        <f>' первое чтение вед стр-ра'!G564</f>
        <v>0</v>
      </c>
      <c r="G516" s="56">
        <f>' первое чтение вед стр-ра'!H564</f>
        <v>0</v>
      </c>
      <c r="H516" s="56">
        <f>' первое чтение вед стр-ра'!I564</f>
        <v>0</v>
      </c>
    </row>
    <row r="517" spans="1:8" s="78" customFormat="1" x14ac:dyDescent="0.2">
      <c r="A517" s="81" t="s">
        <v>67</v>
      </c>
      <c r="B517" s="76" t="s">
        <v>49</v>
      </c>
      <c r="C517" s="76" t="s">
        <v>16</v>
      </c>
      <c r="D517" s="76" t="s">
        <v>378</v>
      </c>
      <c r="E517" s="76" t="s">
        <v>68</v>
      </c>
      <c r="F517" s="56">
        <f>' первое чтение вед стр-ра'!G565</f>
        <v>73264</v>
      </c>
      <c r="G517" s="56">
        <f>' первое чтение вед стр-ра'!H565</f>
        <v>75462</v>
      </c>
      <c r="H517" s="56">
        <f>' первое чтение вед стр-ра'!I565</f>
        <v>77723</v>
      </c>
    </row>
    <row r="518" spans="1:8" s="21" customFormat="1" ht="38.25" x14ac:dyDescent="0.2">
      <c r="A518" s="18" t="s">
        <v>204</v>
      </c>
      <c r="B518" s="19" t="s">
        <v>49</v>
      </c>
      <c r="C518" s="16" t="s">
        <v>16</v>
      </c>
      <c r="D518" s="19" t="s">
        <v>124</v>
      </c>
      <c r="E518" s="19"/>
      <c r="F518" s="20">
        <f>F519</f>
        <v>23875</v>
      </c>
      <c r="G518" s="20">
        <f>G519</f>
        <v>26869</v>
      </c>
      <c r="H518" s="20">
        <f>H519</f>
        <v>27046</v>
      </c>
    </row>
    <row r="519" spans="1:8" s="21" customFormat="1" ht="25.5" x14ac:dyDescent="0.2">
      <c r="A519" s="28" t="s">
        <v>80</v>
      </c>
      <c r="B519" s="24" t="s">
        <v>49</v>
      </c>
      <c r="C519" s="24" t="s">
        <v>16</v>
      </c>
      <c r="D519" s="19" t="s">
        <v>124</v>
      </c>
      <c r="E519" s="24" t="s">
        <v>69</v>
      </c>
      <c r="F519" s="25">
        <f>' первое чтение вед стр-ра'!G230</f>
        <v>23875</v>
      </c>
      <c r="G519" s="25">
        <f>' первое чтение вед стр-ра'!H230</f>
        <v>26869</v>
      </c>
      <c r="H519" s="25">
        <f>' первое чтение вед стр-ра'!I230</f>
        <v>27046</v>
      </c>
    </row>
    <row r="520" spans="1:8" s="21" customFormat="1" ht="38.25" x14ac:dyDescent="0.2">
      <c r="A520" s="18" t="s">
        <v>204</v>
      </c>
      <c r="B520" s="19" t="s">
        <v>49</v>
      </c>
      <c r="C520" s="16" t="s">
        <v>16</v>
      </c>
      <c r="D520" s="19" t="s">
        <v>320</v>
      </c>
      <c r="E520" s="19"/>
      <c r="F520" s="20">
        <f>F521</f>
        <v>58382</v>
      </c>
      <c r="G520" s="20">
        <f>G521</f>
        <v>58382</v>
      </c>
      <c r="H520" s="20">
        <f>H521</f>
        <v>58382</v>
      </c>
    </row>
    <row r="521" spans="1:8" s="73" customFormat="1" ht="25.5" x14ac:dyDescent="0.2">
      <c r="A521" s="81" t="s">
        <v>80</v>
      </c>
      <c r="B521" s="76" t="s">
        <v>49</v>
      </c>
      <c r="C521" s="76" t="s">
        <v>16</v>
      </c>
      <c r="D521" s="71" t="s">
        <v>320</v>
      </c>
      <c r="E521" s="76" t="s">
        <v>69</v>
      </c>
      <c r="F521" s="56">
        <f>' первое чтение вед стр-ра'!G232</f>
        <v>58382</v>
      </c>
      <c r="G521" s="56">
        <f>' первое чтение вед стр-ра'!H232</f>
        <v>58382</v>
      </c>
      <c r="H521" s="56">
        <f>' первое чтение вед стр-ра'!I232</f>
        <v>58382</v>
      </c>
    </row>
    <row r="522" spans="1:8" s="21" customFormat="1" ht="25.5" x14ac:dyDescent="0.2">
      <c r="A522" s="18" t="s">
        <v>236</v>
      </c>
      <c r="B522" s="19" t="s">
        <v>49</v>
      </c>
      <c r="C522" s="19" t="s">
        <v>16</v>
      </c>
      <c r="D522" s="19" t="s">
        <v>121</v>
      </c>
      <c r="E522" s="19"/>
      <c r="F522" s="20">
        <f>F523</f>
        <v>1200</v>
      </c>
      <c r="G522" s="20">
        <f t="shared" ref="G522:H522" si="113">G523</f>
        <v>1310</v>
      </c>
      <c r="H522" s="20">
        <f t="shared" si="113"/>
        <v>1330</v>
      </c>
    </row>
    <row r="523" spans="1:8" s="21" customFormat="1" x14ac:dyDescent="0.2">
      <c r="A523" s="28" t="s">
        <v>67</v>
      </c>
      <c r="B523" s="24" t="s">
        <v>49</v>
      </c>
      <c r="C523" s="24" t="s">
        <v>16</v>
      </c>
      <c r="D523" s="24" t="s">
        <v>121</v>
      </c>
      <c r="E523" s="24" t="s">
        <v>68</v>
      </c>
      <c r="F523" s="25">
        <f>' первое чтение вед стр-ра'!G387</f>
        <v>1200</v>
      </c>
      <c r="G523" s="25">
        <f>' первое чтение вед стр-ра'!H387</f>
        <v>1310</v>
      </c>
      <c r="H523" s="25">
        <f>' первое чтение вед стр-ра'!I387</f>
        <v>1330</v>
      </c>
    </row>
    <row r="524" spans="1:8" s="73" customFormat="1" ht="38.25" x14ac:dyDescent="0.2">
      <c r="A524" s="69" t="s">
        <v>237</v>
      </c>
      <c r="B524" s="71" t="s">
        <v>49</v>
      </c>
      <c r="C524" s="71" t="s">
        <v>16</v>
      </c>
      <c r="D524" s="71" t="s">
        <v>119</v>
      </c>
      <c r="E524" s="71"/>
      <c r="F524" s="72">
        <f>F526+F527+F525</f>
        <v>2260.1</v>
      </c>
      <c r="G524" s="72">
        <f>G526+G527+G525</f>
        <v>2260.1000000000004</v>
      </c>
      <c r="H524" s="72">
        <f>H526+H527+H525</f>
        <v>2260.1000000000004</v>
      </c>
    </row>
    <row r="525" spans="1:8" s="73" customFormat="1" ht="25.5" x14ac:dyDescent="0.2">
      <c r="A525" s="81" t="s">
        <v>74</v>
      </c>
      <c r="B525" s="76" t="s">
        <v>49</v>
      </c>
      <c r="C525" s="76" t="s">
        <v>16</v>
      </c>
      <c r="D525" s="76" t="s">
        <v>119</v>
      </c>
      <c r="E525" s="77" t="s">
        <v>66</v>
      </c>
      <c r="F525" s="56">
        <f>' первое чтение вед стр-ра'!G389</f>
        <v>17.464919999999999</v>
      </c>
      <c r="G525" s="56">
        <f>' первое чтение вед стр-ра'!H389</f>
        <v>1.8</v>
      </c>
      <c r="H525" s="56">
        <f>' первое чтение вед стр-ра'!I389</f>
        <v>1.8</v>
      </c>
    </row>
    <row r="526" spans="1:8" s="73" customFormat="1" x14ac:dyDescent="0.2">
      <c r="A526" s="95" t="s">
        <v>67</v>
      </c>
      <c r="B526" s="76" t="s">
        <v>49</v>
      </c>
      <c r="C526" s="76" t="s">
        <v>16</v>
      </c>
      <c r="D526" s="76" t="s">
        <v>119</v>
      </c>
      <c r="E526" s="96">
        <v>300</v>
      </c>
      <c r="F526" s="56">
        <f>' первое чтение вед стр-ра'!G390</f>
        <v>1794.22235</v>
      </c>
      <c r="G526" s="56">
        <f>' первое чтение вед стр-ра'!H390</f>
        <v>360</v>
      </c>
      <c r="H526" s="56">
        <f>' первое чтение вед стр-ра'!I390</f>
        <v>360</v>
      </c>
    </row>
    <row r="527" spans="1:8" s="73" customFormat="1" ht="25.5" x14ac:dyDescent="0.2">
      <c r="A527" s="81" t="s">
        <v>130</v>
      </c>
      <c r="B527" s="76" t="s">
        <v>49</v>
      </c>
      <c r="C527" s="76" t="s">
        <v>16</v>
      </c>
      <c r="D527" s="76" t="s">
        <v>119</v>
      </c>
      <c r="E527" s="76" t="s">
        <v>63</v>
      </c>
      <c r="F527" s="56">
        <f>' первое чтение вед стр-ра'!G391</f>
        <v>448.41273000000001</v>
      </c>
      <c r="G527" s="56">
        <f>' первое чтение вед стр-ра'!H391</f>
        <v>1898.3</v>
      </c>
      <c r="H527" s="56">
        <f>' первое чтение вед стр-ра'!I391</f>
        <v>1898.3</v>
      </c>
    </row>
    <row r="528" spans="1:8" s="21" customFormat="1" ht="29.25" customHeight="1" x14ac:dyDescent="0.2">
      <c r="A528" s="54" t="s">
        <v>385</v>
      </c>
      <c r="B528" s="19" t="s">
        <v>49</v>
      </c>
      <c r="C528" s="19" t="s">
        <v>16</v>
      </c>
      <c r="D528" s="19" t="s">
        <v>384</v>
      </c>
      <c r="E528" s="19"/>
      <c r="F528" s="20">
        <f>F529</f>
        <v>5</v>
      </c>
      <c r="G528" s="20">
        <f>G529</f>
        <v>0</v>
      </c>
      <c r="H528" s="20">
        <f>H529</f>
        <v>0</v>
      </c>
    </row>
    <row r="529" spans="1:8" s="26" customFormat="1" x14ac:dyDescent="0.2">
      <c r="A529" s="28" t="s">
        <v>67</v>
      </c>
      <c r="B529" s="24" t="s">
        <v>49</v>
      </c>
      <c r="C529" s="24" t="s">
        <v>16</v>
      </c>
      <c r="D529" s="24" t="s">
        <v>384</v>
      </c>
      <c r="E529" s="24" t="s">
        <v>68</v>
      </c>
      <c r="F529" s="25">
        <f>' первое чтение вед стр-ра'!G393</f>
        <v>5</v>
      </c>
      <c r="G529" s="25">
        <f>' первое чтение вед стр-ра'!H393</f>
        <v>0</v>
      </c>
      <c r="H529" s="25">
        <f>' первое чтение вед стр-ра'!I393</f>
        <v>0</v>
      </c>
    </row>
    <row r="530" spans="1:8" s="21" customFormat="1" ht="114.75" x14ac:dyDescent="0.2">
      <c r="A530" s="54" t="s">
        <v>388</v>
      </c>
      <c r="B530" s="19" t="s">
        <v>49</v>
      </c>
      <c r="C530" s="19" t="s">
        <v>16</v>
      </c>
      <c r="D530" s="19" t="s">
        <v>120</v>
      </c>
      <c r="E530" s="19"/>
      <c r="F530" s="20">
        <f>F531</f>
        <v>39680</v>
      </c>
      <c r="G530" s="20">
        <f t="shared" ref="G530:H530" si="114">G531</f>
        <v>39680</v>
      </c>
      <c r="H530" s="20">
        <f t="shared" si="114"/>
        <v>39680</v>
      </c>
    </row>
    <row r="531" spans="1:8" s="21" customFormat="1" x14ac:dyDescent="0.2">
      <c r="A531" s="28" t="s">
        <v>67</v>
      </c>
      <c r="B531" s="24" t="s">
        <v>49</v>
      </c>
      <c r="C531" s="24" t="s">
        <v>16</v>
      </c>
      <c r="D531" s="24" t="s">
        <v>120</v>
      </c>
      <c r="E531" s="24" t="s">
        <v>68</v>
      </c>
      <c r="F531" s="25">
        <f>' первое чтение вед стр-ра'!G395</f>
        <v>39680</v>
      </c>
      <c r="G531" s="25">
        <f>' первое чтение вед стр-ра'!H395</f>
        <v>39680</v>
      </c>
      <c r="H531" s="25">
        <f>' первое чтение вед стр-ра'!I395</f>
        <v>39680</v>
      </c>
    </row>
    <row r="532" spans="1:8" s="21" customFormat="1" ht="112.5" customHeight="1" x14ac:dyDescent="0.2">
      <c r="A532" s="54" t="s">
        <v>689</v>
      </c>
      <c r="B532" s="19" t="s">
        <v>49</v>
      </c>
      <c r="C532" s="19" t="s">
        <v>16</v>
      </c>
      <c r="D532" s="19" t="s">
        <v>386</v>
      </c>
      <c r="E532" s="19"/>
      <c r="F532" s="20">
        <f>F533</f>
        <v>250</v>
      </c>
      <c r="G532" s="20">
        <f>G533</f>
        <v>250</v>
      </c>
      <c r="H532" s="20">
        <f>H533</f>
        <v>250</v>
      </c>
    </row>
    <row r="533" spans="1:8" s="26" customFormat="1" x14ac:dyDescent="0.2">
      <c r="A533" s="28" t="s">
        <v>67</v>
      </c>
      <c r="B533" s="24" t="s">
        <v>49</v>
      </c>
      <c r="C533" s="24" t="s">
        <v>16</v>
      </c>
      <c r="D533" s="24" t="s">
        <v>386</v>
      </c>
      <c r="E533" s="24" t="s">
        <v>68</v>
      </c>
      <c r="F533" s="25">
        <f>' первое чтение вед стр-ра'!G397</f>
        <v>250</v>
      </c>
      <c r="G533" s="25">
        <f>' первое чтение вед стр-ра'!H397</f>
        <v>250</v>
      </c>
      <c r="H533" s="25">
        <f>' первое чтение вед стр-ра'!I397</f>
        <v>250</v>
      </c>
    </row>
    <row r="534" spans="1:8" s="21" customFormat="1" ht="38.25" x14ac:dyDescent="0.2">
      <c r="A534" s="18" t="s">
        <v>371</v>
      </c>
      <c r="B534" s="19" t="s">
        <v>49</v>
      </c>
      <c r="C534" s="19" t="s">
        <v>16</v>
      </c>
      <c r="D534" s="19" t="s">
        <v>372</v>
      </c>
      <c r="E534" s="19"/>
      <c r="F534" s="20">
        <f>F535</f>
        <v>2957.1</v>
      </c>
      <c r="G534" s="20">
        <f>G535</f>
        <v>2957.1</v>
      </c>
      <c r="H534" s="20">
        <f>H535</f>
        <v>2957.1</v>
      </c>
    </row>
    <row r="535" spans="1:8" s="26" customFormat="1" ht="25.5" x14ac:dyDescent="0.2">
      <c r="A535" s="81" t="s">
        <v>130</v>
      </c>
      <c r="B535" s="24" t="s">
        <v>49</v>
      </c>
      <c r="C535" s="24" t="s">
        <v>16</v>
      </c>
      <c r="D535" s="24" t="s">
        <v>372</v>
      </c>
      <c r="E535" s="24" t="s">
        <v>63</v>
      </c>
      <c r="F535" s="25">
        <f>' первое чтение вед стр-ра'!G399</f>
        <v>2957.1</v>
      </c>
      <c r="G535" s="25">
        <f>' первое чтение вед стр-ра'!H399</f>
        <v>2957.1</v>
      </c>
      <c r="H535" s="25">
        <f>' первое чтение вед стр-ра'!I399</f>
        <v>2957.1</v>
      </c>
    </row>
    <row r="536" spans="1:8" s="21" customFormat="1" ht="38.25" x14ac:dyDescent="0.2">
      <c r="A536" s="18" t="s">
        <v>370</v>
      </c>
      <c r="B536" s="19" t="s">
        <v>49</v>
      </c>
      <c r="C536" s="19" t="s">
        <v>16</v>
      </c>
      <c r="D536" s="19" t="s">
        <v>369</v>
      </c>
      <c r="E536" s="19"/>
      <c r="F536" s="20">
        <f>F538+F537</f>
        <v>1350.3</v>
      </c>
      <c r="G536" s="20">
        <f t="shared" ref="G536:H536" si="115">G538+G537</f>
        <v>1350.3</v>
      </c>
      <c r="H536" s="20">
        <f t="shared" si="115"/>
        <v>1350.3</v>
      </c>
    </row>
    <row r="537" spans="1:8" s="26" customFormat="1" ht="25.5" x14ac:dyDescent="0.2">
      <c r="A537" s="81" t="s">
        <v>74</v>
      </c>
      <c r="B537" s="24" t="s">
        <v>49</v>
      </c>
      <c r="C537" s="24" t="s">
        <v>16</v>
      </c>
      <c r="D537" s="24" t="s">
        <v>369</v>
      </c>
      <c r="E537" s="24" t="s">
        <v>66</v>
      </c>
      <c r="F537" s="25">
        <f>' первое чтение вед стр-ра'!G401</f>
        <v>393.2</v>
      </c>
      <c r="G537" s="25">
        <f>' первое чтение вед стр-ра'!H401</f>
        <v>393.2</v>
      </c>
      <c r="H537" s="25">
        <f>' первое чтение вед стр-ра'!I401</f>
        <v>393.2</v>
      </c>
    </row>
    <row r="538" spans="1:8" s="26" customFormat="1" ht="25.5" x14ac:dyDescent="0.2">
      <c r="A538" s="81" t="s">
        <v>130</v>
      </c>
      <c r="B538" s="24" t="s">
        <v>49</v>
      </c>
      <c r="C538" s="24" t="s">
        <v>16</v>
      </c>
      <c r="D538" s="24" t="s">
        <v>369</v>
      </c>
      <c r="E538" s="24" t="s">
        <v>63</v>
      </c>
      <c r="F538" s="25">
        <f>' первое чтение вед стр-ра'!G402</f>
        <v>957.1</v>
      </c>
      <c r="G538" s="25">
        <f>' первое чтение вед стр-ра'!H402</f>
        <v>957.1</v>
      </c>
      <c r="H538" s="25">
        <f>' первое чтение вед стр-ра'!I402</f>
        <v>957.1</v>
      </c>
    </row>
    <row r="539" spans="1:8" s="21" customFormat="1" ht="76.5" x14ac:dyDescent="0.2">
      <c r="A539" s="18" t="s">
        <v>258</v>
      </c>
      <c r="B539" s="19" t="s">
        <v>49</v>
      </c>
      <c r="C539" s="19" t="s">
        <v>16</v>
      </c>
      <c r="D539" s="19" t="s">
        <v>96</v>
      </c>
      <c r="E539" s="19"/>
      <c r="F539" s="20">
        <f>F540</f>
        <v>615</v>
      </c>
      <c r="G539" s="20">
        <f>G540</f>
        <v>634</v>
      </c>
      <c r="H539" s="20">
        <f>H540</f>
        <v>659</v>
      </c>
    </row>
    <row r="540" spans="1:8" s="73" customFormat="1" x14ac:dyDescent="0.2">
      <c r="A540" s="81" t="s">
        <v>67</v>
      </c>
      <c r="B540" s="76" t="s">
        <v>49</v>
      </c>
      <c r="C540" s="76" t="s">
        <v>16</v>
      </c>
      <c r="D540" s="76" t="s">
        <v>96</v>
      </c>
      <c r="E540" s="76" t="s">
        <v>68</v>
      </c>
      <c r="F540" s="56">
        <f>' первое чтение вед стр-ра'!G569</f>
        <v>615</v>
      </c>
      <c r="G540" s="56">
        <f>' первое чтение вед стр-ра'!H569</f>
        <v>634</v>
      </c>
      <c r="H540" s="56">
        <f>' первое чтение вед стр-ра'!I569</f>
        <v>659</v>
      </c>
    </row>
    <row r="541" spans="1:8" s="21" customFormat="1" ht="89.25" x14ac:dyDescent="0.2">
      <c r="A541" s="18" t="s">
        <v>259</v>
      </c>
      <c r="B541" s="19" t="s">
        <v>49</v>
      </c>
      <c r="C541" s="19" t="s">
        <v>16</v>
      </c>
      <c r="D541" s="19" t="s">
        <v>100</v>
      </c>
      <c r="E541" s="19"/>
      <c r="F541" s="20">
        <f>F543+F542</f>
        <v>48414</v>
      </c>
      <c r="G541" s="20">
        <f>G543+G542</f>
        <v>49898</v>
      </c>
      <c r="H541" s="20">
        <f>H543+H542</f>
        <v>51852</v>
      </c>
    </row>
    <row r="542" spans="1:8" s="21" customFormat="1" ht="25.5" x14ac:dyDescent="0.2">
      <c r="A542" s="28" t="s">
        <v>74</v>
      </c>
      <c r="B542" s="24" t="s">
        <v>49</v>
      </c>
      <c r="C542" s="24" t="s">
        <v>16</v>
      </c>
      <c r="D542" s="19" t="s">
        <v>100</v>
      </c>
      <c r="E542" s="27" t="s">
        <v>66</v>
      </c>
      <c r="F542" s="25">
        <f>' первое чтение вед стр-ра'!G571</f>
        <v>0</v>
      </c>
      <c r="G542" s="25">
        <f>' первое чтение вед стр-ра'!H571</f>
        <v>0</v>
      </c>
      <c r="H542" s="25">
        <f>' первое чтение вед стр-ра'!I571</f>
        <v>0</v>
      </c>
    </row>
    <row r="543" spans="1:8" s="73" customFormat="1" x14ac:dyDescent="0.2">
      <c r="A543" s="81" t="s">
        <v>67</v>
      </c>
      <c r="B543" s="76" t="s">
        <v>49</v>
      </c>
      <c r="C543" s="76" t="s">
        <v>16</v>
      </c>
      <c r="D543" s="71" t="s">
        <v>100</v>
      </c>
      <c r="E543" s="76" t="s">
        <v>68</v>
      </c>
      <c r="F543" s="25">
        <f>' первое чтение вед стр-ра'!G572</f>
        <v>48414</v>
      </c>
      <c r="G543" s="25">
        <f>' первое чтение вед стр-ра'!H572</f>
        <v>49898</v>
      </c>
      <c r="H543" s="25">
        <f>' первое чтение вед стр-ра'!I572</f>
        <v>51852</v>
      </c>
    </row>
    <row r="544" spans="1:8" s="21" customFormat="1" ht="38.25" x14ac:dyDescent="0.2">
      <c r="A544" s="52" t="s">
        <v>307</v>
      </c>
      <c r="B544" s="19" t="s">
        <v>49</v>
      </c>
      <c r="C544" s="19" t="s">
        <v>16</v>
      </c>
      <c r="D544" s="19" t="s">
        <v>339</v>
      </c>
      <c r="E544" s="19"/>
      <c r="F544" s="20">
        <f>F545</f>
        <v>0</v>
      </c>
      <c r="G544" s="20">
        <f t="shared" ref="G544:H544" si="116">G545</f>
        <v>0</v>
      </c>
      <c r="H544" s="20">
        <f t="shared" si="116"/>
        <v>0</v>
      </c>
    </row>
    <row r="545" spans="1:8" s="26" customFormat="1" ht="25.5" x14ac:dyDescent="0.2">
      <c r="A545" s="28" t="s">
        <v>74</v>
      </c>
      <c r="B545" s="24" t="s">
        <v>49</v>
      </c>
      <c r="C545" s="24" t="s">
        <v>16</v>
      </c>
      <c r="D545" s="24" t="s">
        <v>339</v>
      </c>
      <c r="E545" s="27" t="s">
        <v>66</v>
      </c>
      <c r="F545" s="25">
        <f>' первое чтение вед стр-ра'!G574</f>
        <v>0</v>
      </c>
      <c r="G545" s="25">
        <f>' первое чтение вед стр-ра'!H574</f>
        <v>0</v>
      </c>
      <c r="H545" s="25">
        <f>' первое чтение вед стр-ра'!I574</f>
        <v>0</v>
      </c>
    </row>
    <row r="546" spans="1:8" s="21" customFormat="1" ht="38.25" x14ac:dyDescent="0.2">
      <c r="A546" s="18" t="s">
        <v>306</v>
      </c>
      <c r="B546" s="19" t="s">
        <v>49</v>
      </c>
      <c r="C546" s="19" t="s">
        <v>16</v>
      </c>
      <c r="D546" s="19" t="s">
        <v>101</v>
      </c>
      <c r="E546" s="19"/>
      <c r="F546" s="20">
        <f>F548+F547</f>
        <v>0</v>
      </c>
      <c r="G546" s="20">
        <f>G548+G547</f>
        <v>0</v>
      </c>
      <c r="H546" s="20">
        <f>H548+H547</f>
        <v>0</v>
      </c>
    </row>
    <row r="547" spans="1:8" s="21" customFormat="1" ht="25.5" x14ac:dyDescent="0.2">
      <c r="A547" s="28" t="s">
        <v>74</v>
      </c>
      <c r="B547" s="24" t="s">
        <v>49</v>
      </c>
      <c r="C547" s="24" t="s">
        <v>16</v>
      </c>
      <c r="D547" s="24" t="s">
        <v>101</v>
      </c>
      <c r="E547" s="27" t="s">
        <v>66</v>
      </c>
      <c r="F547" s="25">
        <f>' первое чтение вед стр-ра'!G576</f>
        <v>0</v>
      </c>
      <c r="G547" s="25">
        <f>' первое чтение вед стр-ра'!H576</f>
        <v>0</v>
      </c>
      <c r="H547" s="25">
        <f>' первое чтение вед стр-ра'!I576</f>
        <v>0</v>
      </c>
    </row>
    <row r="548" spans="1:8" s="21" customFormat="1" x14ac:dyDescent="0.2">
      <c r="A548" s="28" t="s">
        <v>67</v>
      </c>
      <c r="B548" s="24" t="s">
        <v>49</v>
      </c>
      <c r="C548" s="24" t="s">
        <v>16</v>
      </c>
      <c r="D548" s="24" t="s">
        <v>101</v>
      </c>
      <c r="E548" s="24" t="s">
        <v>68</v>
      </c>
      <c r="F548" s="25">
        <f>' первое чтение вед стр-ра'!G577</f>
        <v>0</v>
      </c>
      <c r="G548" s="25">
        <f>' первое чтение вед стр-ра'!H577</f>
        <v>0</v>
      </c>
      <c r="H548" s="25">
        <f>' первое чтение вед стр-ра'!I577</f>
        <v>0</v>
      </c>
    </row>
    <row r="549" spans="1:8" s="73" customFormat="1" x14ac:dyDescent="0.2">
      <c r="A549" s="64" t="s">
        <v>55</v>
      </c>
      <c r="B549" s="66" t="s">
        <v>49</v>
      </c>
      <c r="C549" s="66" t="s">
        <v>48</v>
      </c>
      <c r="D549" s="66"/>
      <c r="E549" s="66"/>
      <c r="F549" s="67">
        <f>F550+F553+F556+F558+F569+F563+F565+F575+F567+F579+F573</f>
        <v>39791.900000000009</v>
      </c>
      <c r="G549" s="67">
        <f t="shared" ref="G549:H549" si="117">G550+G553+G556+G558+G569+G563+G565+G575+G567+G579+G573</f>
        <v>31315.9</v>
      </c>
      <c r="H549" s="67">
        <f t="shared" si="117"/>
        <v>29767.9</v>
      </c>
    </row>
    <row r="550" spans="1:8" s="21" customFormat="1" x14ac:dyDescent="0.2">
      <c r="A550" s="18" t="s">
        <v>172</v>
      </c>
      <c r="B550" s="19" t="s">
        <v>49</v>
      </c>
      <c r="C550" s="19" t="s">
        <v>48</v>
      </c>
      <c r="D550" s="19" t="s">
        <v>171</v>
      </c>
      <c r="E550" s="19"/>
      <c r="F550" s="20">
        <f>F552+F551</f>
        <v>112.3</v>
      </c>
      <c r="G550" s="20">
        <f>G552+G551</f>
        <v>0</v>
      </c>
      <c r="H550" s="20">
        <f>H552+H551</f>
        <v>0</v>
      </c>
    </row>
    <row r="551" spans="1:8" s="21" customFormat="1" ht="25.5" x14ac:dyDescent="0.2">
      <c r="A551" s="28" t="s">
        <v>74</v>
      </c>
      <c r="B551" s="24" t="s">
        <v>49</v>
      </c>
      <c r="C551" s="24" t="s">
        <v>48</v>
      </c>
      <c r="D551" s="24" t="s">
        <v>171</v>
      </c>
      <c r="E551" s="27" t="s">
        <v>66</v>
      </c>
      <c r="F551" s="25">
        <f>' первое чтение вед стр-ра'!G146</f>
        <v>0.6</v>
      </c>
      <c r="G551" s="25">
        <f>' первое чтение вед стр-ра'!H146</f>
        <v>0</v>
      </c>
      <c r="H551" s="25">
        <f>' первое чтение вед стр-ра'!I146</f>
        <v>0</v>
      </c>
    </row>
    <row r="552" spans="1:8" s="21" customFormat="1" x14ac:dyDescent="0.2">
      <c r="A552" s="28" t="s">
        <v>67</v>
      </c>
      <c r="B552" s="24" t="s">
        <v>49</v>
      </c>
      <c r="C552" s="24" t="s">
        <v>48</v>
      </c>
      <c r="D552" s="24" t="s">
        <v>171</v>
      </c>
      <c r="E552" s="24" t="s">
        <v>68</v>
      </c>
      <c r="F552" s="25">
        <f>' первое чтение вед стр-ра'!G147</f>
        <v>111.7</v>
      </c>
      <c r="G552" s="25">
        <f>' первое чтение вед стр-ра'!H147</f>
        <v>0</v>
      </c>
      <c r="H552" s="25">
        <f>' первое чтение вед стр-ра'!I147</f>
        <v>0</v>
      </c>
    </row>
    <row r="553" spans="1:8" s="21" customFormat="1" x14ac:dyDescent="0.2">
      <c r="A553" s="18" t="s">
        <v>260</v>
      </c>
      <c r="B553" s="19" t="s">
        <v>49</v>
      </c>
      <c r="C553" s="19" t="s">
        <v>48</v>
      </c>
      <c r="D553" s="19" t="s">
        <v>261</v>
      </c>
      <c r="E553" s="19"/>
      <c r="F553" s="20">
        <f>F554+F555</f>
        <v>2259.1999999999998</v>
      </c>
      <c r="G553" s="20">
        <f t="shared" ref="G553:H553" si="118">G554+G555</f>
        <v>0</v>
      </c>
      <c r="H553" s="20">
        <f t="shared" si="118"/>
        <v>0</v>
      </c>
    </row>
    <row r="554" spans="1:8" s="21" customFormat="1" ht="25.5" x14ac:dyDescent="0.2">
      <c r="A554" s="28" t="s">
        <v>74</v>
      </c>
      <c r="B554" s="24" t="s">
        <v>49</v>
      </c>
      <c r="C554" s="24" t="s">
        <v>48</v>
      </c>
      <c r="D554" s="24" t="s">
        <v>261</v>
      </c>
      <c r="E554" s="24" t="s">
        <v>66</v>
      </c>
      <c r="F554" s="25">
        <f>' первое чтение вед стр-ра'!G580+' первое чтение вед стр-ра'!G692</f>
        <v>1474.1999999999998</v>
      </c>
      <c r="G554" s="25">
        <f>' первое чтение вед стр-ра'!H580</f>
        <v>0</v>
      </c>
      <c r="H554" s="25">
        <f>' первое чтение вед стр-ра'!I580</f>
        <v>0</v>
      </c>
    </row>
    <row r="555" spans="1:8" s="73" customFormat="1" x14ac:dyDescent="0.2">
      <c r="A555" s="81" t="s">
        <v>67</v>
      </c>
      <c r="B555" s="76" t="s">
        <v>49</v>
      </c>
      <c r="C555" s="76" t="s">
        <v>48</v>
      </c>
      <c r="D555" s="76" t="s">
        <v>261</v>
      </c>
      <c r="E555" s="77" t="s">
        <v>68</v>
      </c>
      <c r="F555" s="25">
        <f>' первое чтение вед стр-ра'!G581</f>
        <v>785</v>
      </c>
      <c r="G555" s="25">
        <f>' первое чтение вед стр-ра'!H581</f>
        <v>0</v>
      </c>
      <c r="H555" s="25">
        <f>' первое чтение вед стр-ра'!I581</f>
        <v>0</v>
      </c>
    </row>
    <row r="556" spans="1:8" s="21" customFormat="1" x14ac:dyDescent="0.2">
      <c r="A556" s="18" t="s">
        <v>262</v>
      </c>
      <c r="B556" s="19" t="s">
        <v>49</v>
      </c>
      <c r="C556" s="19" t="s">
        <v>48</v>
      </c>
      <c r="D556" s="19" t="s">
        <v>263</v>
      </c>
      <c r="E556" s="19"/>
      <c r="F556" s="20">
        <f>F557</f>
        <v>968.2</v>
      </c>
      <c r="G556" s="20">
        <f>G557</f>
        <v>0</v>
      </c>
      <c r="H556" s="20">
        <f>H557</f>
        <v>0</v>
      </c>
    </row>
    <row r="557" spans="1:8" s="21" customFormat="1" ht="25.5" x14ac:dyDescent="0.2">
      <c r="A557" s="28" t="s">
        <v>130</v>
      </c>
      <c r="B557" s="24" t="s">
        <v>49</v>
      </c>
      <c r="C557" s="24" t="s">
        <v>48</v>
      </c>
      <c r="D557" s="24" t="s">
        <v>263</v>
      </c>
      <c r="E557" s="24" t="s">
        <v>63</v>
      </c>
      <c r="F557" s="25">
        <f>' первое чтение вед стр-ра'!G583</f>
        <v>968.2</v>
      </c>
      <c r="G557" s="56">
        <v>0</v>
      </c>
      <c r="H557" s="56">
        <v>0</v>
      </c>
    </row>
    <row r="558" spans="1:8" s="73" customFormat="1" x14ac:dyDescent="0.2">
      <c r="A558" s="69" t="s">
        <v>294</v>
      </c>
      <c r="B558" s="71" t="s">
        <v>49</v>
      </c>
      <c r="C558" s="71" t="s">
        <v>48</v>
      </c>
      <c r="D558" s="71" t="s">
        <v>295</v>
      </c>
      <c r="E558" s="71"/>
      <c r="F558" s="72">
        <f>F560+F562+F561+F559</f>
        <v>1018.7</v>
      </c>
      <c r="G558" s="72">
        <f t="shared" ref="G558:H558" si="119">G560+G562+G561+G559</f>
        <v>0</v>
      </c>
      <c r="H558" s="72">
        <f t="shared" si="119"/>
        <v>0</v>
      </c>
    </row>
    <row r="559" spans="1:8" s="73" customFormat="1" ht="51" x14ac:dyDescent="0.2">
      <c r="A559" s="30" t="s">
        <v>64</v>
      </c>
      <c r="B559" s="76" t="s">
        <v>49</v>
      </c>
      <c r="C559" s="76" t="s">
        <v>48</v>
      </c>
      <c r="D559" s="76" t="s">
        <v>295</v>
      </c>
      <c r="E559" s="71" t="s">
        <v>65</v>
      </c>
      <c r="F559" s="72">
        <f>' первое чтение вед стр-ра'!G149</f>
        <v>0</v>
      </c>
      <c r="G559" s="72">
        <f>' первое чтение вед стр-ра'!H149</f>
        <v>0</v>
      </c>
      <c r="H559" s="72">
        <f>' первое чтение вед стр-ра'!I149</f>
        <v>0</v>
      </c>
    </row>
    <row r="560" spans="1:8" s="73" customFormat="1" ht="25.5" x14ac:dyDescent="0.2">
      <c r="A560" s="81" t="s">
        <v>74</v>
      </c>
      <c r="B560" s="76" t="s">
        <v>49</v>
      </c>
      <c r="C560" s="76" t="s">
        <v>48</v>
      </c>
      <c r="D560" s="76" t="s">
        <v>295</v>
      </c>
      <c r="E560" s="76" t="s">
        <v>71</v>
      </c>
      <c r="F560" s="56">
        <f>' первое чтение вед стр-ра'!G585</f>
        <v>300</v>
      </c>
      <c r="G560" s="56">
        <f>' первое чтение вед стр-ра'!H585</f>
        <v>0</v>
      </c>
      <c r="H560" s="56">
        <f>' первое чтение вед стр-ра'!I585</f>
        <v>0</v>
      </c>
    </row>
    <row r="561" spans="1:8" s="73" customFormat="1" ht="25.5" x14ac:dyDescent="0.2">
      <c r="A561" s="28" t="s">
        <v>130</v>
      </c>
      <c r="B561" s="76" t="s">
        <v>49</v>
      </c>
      <c r="C561" s="76" t="s">
        <v>48</v>
      </c>
      <c r="D561" s="76" t="s">
        <v>295</v>
      </c>
      <c r="E561" s="76" t="s">
        <v>63</v>
      </c>
      <c r="F561" s="56">
        <f>' первое чтение вед стр-ра'!G405+' первое чтение вед стр-ра'!G150</f>
        <v>0</v>
      </c>
      <c r="G561" s="56">
        <f>' первое чтение вед стр-ра'!H405+' первое чтение вед стр-ра'!H150</f>
        <v>0</v>
      </c>
      <c r="H561" s="56">
        <f>' первое чтение вед стр-ра'!I405+' первое чтение вед стр-ра'!I150</f>
        <v>0</v>
      </c>
    </row>
    <row r="562" spans="1:8" s="21" customFormat="1" x14ac:dyDescent="0.2">
      <c r="A562" s="28" t="s">
        <v>67</v>
      </c>
      <c r="B562" s="24" t="s">
        <v>49</v>
      </c>
      <c r="C562" s="24" t="s">
        <v>48</v>
      </c>
      <c r="D562" s="24" t="s">
        <v>295</v>
      </c>
      <c r="E562" s="24" t="s">
        <v>68</v>
      </c>
      <c r="F562" s="25">
        <f>' первое чтение вед стр-ра'!G694</f>
        <v>718.7</v>
      </c>
      <c r="G562" s="25">
        <f>' первое чтение вед стр-ра'!H694</f>
        <v>0</v>
      </c>
      <c r="H562" s="25">
        <f>' первое чтение вед стр-ра'!I694</f>
        <v>0</v>
      </c>
    </row>
    <row r="563" spans="1:8" s="21" customFormat="1" ht="25.5" x14ac:dyDescent="0.2">
      <c r="A563" s="18" t="s">
        <v>297</v>
      </c>
      <c r="B563" s="19" t="s">
        <v>49</v>
      </c>
      <c r="C563" s="19" t="s">
        <v>48</v>
      </c>
      <c r="D563" s="19" t="s">
        <v>296</v>
      </c>
      <c r="E563" s="19"/>
      <c r="F563" s="20">
        <f>F564</f>
        <v>1573.8</v>
      </c>
      <c r="G563" s="20">
        <f>G564</f>
        <v>0</v>
      </c>
      <c r="H563" s="20">
        <f>H564</f>
        <v>0</v>
      </c>
    </row>
    <row r="564" spans="1:8" s="21" customFormat="1" x14ac:dyDescent="0.2">
      <c r="A564" s="28" t="s">
        <v>67</v>
      </c>
      <c r="B564" s="24" t="s">
        <v>49</v>
      </c>
      <c r="C564" s="24" t="s">
        <v>48</v>
      </c>
      <c r="D564" s="24" t="s">
        <v>296</v>
      </c>
      <c r="E564" s="24" t="s">
        <v>68</v>
      </c>
      <c r="F564" s="25">
        <f>' первое чтение вед стр-ра'!G696</f>
        <v>1573.8</v>
      </c>
      <c r="G564" s="25">
        <f>' первое чтение вед стр-ра'!H696</f>
        <v>0</v>
      </c>
      <c r="H564" s="25">
        <f>' первое чтение вед стр-ра'!I696</f>
        <v>0</v>
      </c>
    </row>
    <row r="565" spans="1:8" s="21" customFormat="1" ht="63.75" x14ac:dyDescent="0.2">
      <c r="A565" s="55" t="s">
        <v>299</v>
      </c>
      <c r="B565" s="181" t="s">
        <v>49</v>
      </c>
      <c r="C565" s="19" t="s">
        <v>48</v>
      </c>
      <c r="D565" s="19" t="s">
        <v>298</v>
      </c>
      <c r="E565" s="19"/>
      <c r="F565" s="20">
        <f>F566</f>
        <v>35.5</v>
      </c>
      <c r="G565" s="20">
        <f>G566</f>
        <v>0</v>
      </c>
      <c r="H565" s="20">
        <f>H566</f>
        <v>0</v>
      </c>
    </row>
    <row r="566" spans="1:8" s="21" customFormat="1" x14ac:dyDescent="0.2">
      <c r="A566" s="50" t="s">
        <v>67</v>
      </c>
      <c r="B566" s="24" t="s">
        <v>49</v>
      </c>
      <c r="C566" s="24" t="s">
        <v>48</v>
      </c>
      <c r="D566" s="24" t="s">
        <v>298</v>
      </c>
      <c r="E566" s="24" t="s">
        <v>68</v>
      </c>
      <c r="F566" s="25">
        <f>' первое чтение вед стр-ра'!G698</f>
        <v>35.5</v>
      </c>
      <c r="G566" s="25">
        <f>' первое чтение вед стр-ра'!H698</f>
        <v>0</v>
      </c>
      <c r="H566" s="25">
        <f>' первое чтение вед стр-ра'!I698</f>
        <v>0</v>
      </c>
    </row>
    <row r="567" spans="1:8" s="73" customFormat="1" ht="25.5" x14ac:dyDescent="0.2">
      <c r="A567" s="69" t="s">
        <v>752</v>
      </c>
      <c r="B567" s="71" t="s">
        <v>49</v>
      </c>
      <c r="C567" s="71" t="s">
        <v>48</v>
      </c>
      <c r="D567" s="71" t="s">
        <v>364</v>
      </c>
      <c r="E567" s="71"/>
      <c r="F567" s="72">
        <f>F568</f>
        <v>10</v>
      </c>
      <c r="G567" s="72">
        <f>G568</f>
        <v>0</v>
      </c>
      <c r="H567" s="72">
        <f>H568</f>
        <v>0</v>
      </c>
    </row>
    <row r="568" spans="1:8" s="78" customFormat="1" x14ac:dyDescent="0.2">
      <c r="A568" s="81" t="s">
        <v>67</v>
      </c>
      <c r="B568" s="76" t="s">
        <v>49</v>
      </c>
      <c r="C568" s="76" t="s">
        <v>48</v>
      </c>
      <c r="D568" s="76" t="s">
        <v>364</v>
      </c>
      <c r="E568" s="76" t="s">
        <v>66</v>
      </c>
      <c r="F568" s="56">
        <f>' первое чтение вед стр-ра'!G587</f>
        <v>10</v>
      </c>
      <c r="G568" s="56">
        <f>' первое чтение вед стр-ра'!H587</f>
        <v>0</v>
      </c>
      <c r="H568" s="56">
        <f>' первое чтение вед стр-ра'!I587</f>
        <v>0</v>
      </c>
    </row>
    <row r="569" spans="1:8" s="73" customFormat="1" ht="25.5" x14ac:dyDescent="0.2">
      <c r="A569" s="69" t="s">
        <v>264</v>
      </c>
      <c r="B569" s="71" t="s">
        <v>49</v>
      </c>
      <c r="C569" s="71" t="s">
        <v>48</v>
      </c>
      <c r="D569" s="71" t="s">
        <v>94</v>
      </c>
      <c r="E569" s="71"/>
      <c r="F569" s="72">
        <f>F570+F571+F572</f>
        <v>28219.9</v>
      </c>
      <c r="G569" s="72">
        <f>G570+G571+G572</f>
        <v>28219.9</v>
      </c>
      <c r="H569" s="72">
        <f>H570+H571+H572</f>
        <v>28219.9</v>
      </c>
    </row>
    <row r="570" spans="1:8" s="21" customFormat="1" ht="51" x14ac:dyDescent="0.2">
      <c r="A570" s="30" t="s">
        <v>64</v>
      </c>
      <c r="B570" s="24" t="s">
        <v>49</v>
      </c>
      <c r="C570" s="24" t="s">
        <v>48</v>
      </c>
      <c r="D570" s="24" t="s">
        <v>94</v>
      </c>
      <c r="E570" s="27" t="s">
        <v>65</v>
      </c>
      <c r="F570" s="25">
        <f>' первое чтение вед стр-ра'!G589</f>
        <v>26948.9</v>
      </c>
      <c r="G570" s="25">
        <f>' первое чтение вед стр-ра'!H589</f>
        <v>26948.9</v>
      </c>
      <c r="H570" s="25">
        <f>' первое чтение вед стр-ра'!I589</f>
        <v>26948.9</v>
      </c>
    </row>
    <row r="571" spans="1:8" s="21" customFormat="1" ht="25.5" x14ac:dyDescent="0.2">
      <c r="A571" s="28" t="s">
        <v>74</v>
      </c>
      <c r="B571" s="24" t="s">
        <v>49</v>
      </c>
      <c r="C571" s="24" t="s">
        <v>48</v>
      </c>
      <c r="D571" s="24" t="s">
        <v>94</v>
      </c>
      <c r="E571" s="27" t="s">
        <v>66</v>
      </c>
      <c r="F571" s="25">
        <f>' первое чтение вед стр-ра'!G590</f>
        <v>1263.4000000000001</v>
      </c>
      <c r="G571" s="25">
        <f>' первое чтение вед стр-ра'!H590</f>
        <v>1263.4000000000001</v>
      </c>
      <c r="H571" s="25">
        <f>' первое чтение вед стр-ра'!I590</f>
        <v>1263.4000000000001</v>
      </c>
    </row>
    <row r="572" spans="1:8" s="73" customFormat="1" x14ac:dyDescent="0.2">
      <c r="A572" s="81" t="s">
        <v>70</v>
      </c>
      <c r="B572" s="76" t="s">
        <v>49</v>
      </c>
      <c r="C572" s="76" t="s">
        <v>48</v>
      </c>
      <c r="D572" s="76" t="s">
        <v>94</v>
      </c>
      <c r="E572" s="76" t="s">
        <v>71</v>
      </c>
      <c r="F572" s="25">
        <f>' первое чтение вед стр-ра'!G591</f>
        <v>7.6</v>
      </c>
      <c r="G572" s="25">
        <f>' первое чтение вед стр-ра'!H591</f>
        <v>7.6</v>
      </c>
      <c r="H572" s="25">
        <f>' первое чтение вед стр-ра'!I591</f>
        <v>7.6</v>
      </c>
    </row>
    <row r="573" spans="1:8" s="73" customFormat="1" ht="25.5" x14ac:dyDescent="0.2">
      <c r="A573" s="69" t="s">
        <v>596</v>
      </c>
      <c r="B573" s="71" t="s">
        <v>49</v>
      </c>
      <c r="C573" s="71" t="s">
        <v>48</v>
      </c>
      <c r="D573" s="71" t="s">
        <v>597</v>
      </c>
      <c r="E573" s="72"/>
      <c r="F573" s="72">
        <f>F574</f>
        <v>3096</v>
      </c>
      <c r="G573" s="72">
        <f t="shared" ref="G573:H573" si="120">G574</f>
        <v>3096</v>
      </c>
      <c r="H573" s="72">
        <f t="shared" si="120"/>
        <v>1548</v>
      </c>
    </row>
    <row r="574" spans="1:8" s="73" customFormat="1" ht="25.5" x14ac:dyDescent="0.2">
      <c r="A574" s="69" t="s">
        <v>130</v>
      </c>
      <c r="B574" s="71" t="s">
        <v>49</v>
      </c>
      <c r="C574" s="71" t="s">
        <v>48</v>
      </c>
      <c r="D574" s="71" t="s">
        <v>597</v>
      </c>
      <c r="E574" s="72" t="s">
        <v>63</v>
      </c>
      <c r="F574" s="72">
        <f>' первое чтение вед стр-ра'!G593</f>
        <v>3096</v>
      </c>
      <c r="G574" s="72">
        <f>' первое чтение вед стр-ра'!H593</f>
        <v>3096</v>
      </c>
      <c r="H574" s="72">
        <f>' первое чтение вед стр-ра'!I593</f>
        <v>1548</v>
      </c>
    </row>
    <row r="575" spans="1:8" s="73" customFormat="1" x14ac:dyDescent="0.2">
      <c r="A575" s="69" t="s">
        <v>165</v>
      </c>
      <c r="B575" s="100" t="s">
        <v>49</v>
      </c>
      <c r="C575" s="71" t="s">
        <v>48</v>
      </c>
      <c r="D575" s="100" t="s">
        <v>166</v>
      </c>
      <c r="E575" s="71"/>
      <c r="F575" s="72">
        <f>F577+F576+F578</f>
        <v>2468.3000000000002</v>
      </c>
      <c r="G575" s="72">
        <f t="shared" ref="G575:H575" si="121">G577+G576+G578</f>
        <v>0</v>
      </c>
      <c r="H575" s="72">
        <f t="shared" si="121"/>
        <v>0</v>
      </c>
    </row>
    <row r="576" spans="1:8" s="21" customFormat="1" ht="25.5" x14ac:dyDescent="0.2">
      <c r="A576" s="30" t="s">
        <v>400</v>
      </c>
      <c r="B576" s="24" t="s">
        <v>49</v>
      </c>
      <c r="C576" s="24" t="s">
        <v>48</v>
      </c>
      <c r="D576" s="24" t="s">
        <v>166</v>
      </c>
      <c r="E576" s="24" t="s">
        <v>66</v>
      </c>
      <c r="F576" s="20">
        <f>' первое чтение вед стр-ра'!G595</f>
        <v>78.3</v>
      </c>
      <c r="G576" s="20">
        <f>' первое чтение вед стр-ра'!H595</f>
        <v>0</v>
      </c>
      <c r="H576" s="20">
        <f>' первое чтение вед стр-ра'!I595</f>
        <v>0</v>
      </c>
    </row>
    <row r="577" spans="1:8" s="73" customFormat="1" x14ac:dyDescent="0.2">
      <c r="A577" s="81" t="s">
        <v>67</v>
      </c>
      <c r="B577" s="76" t="s">
        <v>49</v>
      </c>
      <c r="C577" s="76" t="s">
        <v>48</v>
      </c>
      <c r="D577" s="76" t="s">
        <v>166</v>
      </c>
      <c r="E577" s="76" t="s">
        <v>68</v>
      </c>
      <c r="F577" s="20">
        <f>' первое чтение вед стр-ра'!G596</f>
        <v>690</v>
      </c>
      <c r="G577" s="20">
        <f>' первое чтение вед стр-ра'!H596</f>
        <v>0</v>
      </c>
      <c r="H577" s="20">
        <f>' первое чтение вед стр-ра'!I596</f>
        <v>0</v>
      </c>
    </row>
    <row r="578" spans="1:8" s="73" customFormat="1" ht="25.5" x14ac:dyDescent="0.2">
      <c r="A578" s="28" t="s">
        <v>80</v>
      </c>
      <c r="B578" s="24" t="s">
        <v>49</v>
      </c>
      <c r="C578" s="24" t="s">
        <v>48</v>
      </c>
      <c r="D578" s="24" t="s">
        <v>166</v>
      </c>
      <c r="E578" s="24" t="s">
        <v>69</v>
      </c>
      <c r="F578" s="20">
        <f>' первое чтение вед стр-ра'!G597</f>
        <v>1700</v>
      </c>
      <c r="G578" s="20"/>
    </row>
    <row r="579" spans="1:8" s="73" customFormat="1" x14ac:dyDescent="0.2">
      <c r="A579" s="69" t="s">
        <v>376</v>
      </c>
      <c r="B579" s="71" t="s">
        <v>49</v>
      </c>
      <c r="C579" s="71" t="s">
        <v>48</v>
      </c>
      <c r="D579" s="100" t="s">
        <v>375</v>
      </c>
      <c r="E579" s="71"/>
      <c r="F579" s="67">
        <f>F580</f>
        <v>30</v>
      </c>
      <c r="G579" s="67">
        <f t="shared" ref="G579:H579" si="122">G580</f>
        <v>0</v>
      </c>
      <c r="H579" s="67">
        <f t="shared" si="122"/>
        <v>0</v>
      </c>
    </row>
    <row r="580" spans="1:8" s="21" customFormat="1" ht="25.5" x14ac:dyDescent="0.2">
      <c r="A580" s="28" t="s">
        <v>74</v>
      </c>
      <c r="B580" s="24" t="s">
        <v>49</v>
      </c>
      <c r="C580" s="24" t="s">
        <v>48</v>
      </c>
      <c r="D580" s="24" t="s">
        <v>375</v>
      </c>
      <c r="E580" s="24" t="s">
        <v>66</v>
      </c>
      <c r="F580" s="20">
        <f>' первое чтение вед стр-ра'!G599</f>
        <v>30</v>
      </c>
      <c r="G580" s="20">
        <f>' первое чтение вед стр-ра'!H599</f>
        <v>0</v>
      </c>
      <c r="H580" s="20">
        <f>' первое чтение вед стр-ра'!I599</f>
        <v>0</v>
      </c>
    </row>
    <row r="581" spans="1:8" s="21" customFormat="1" ht="15.75" x14ac:dyDescent="0.25">
      <c r="A581" s="125" t="s">
        <v>590</v>
      </c>
      <c r="B581" s="124" t="s">
        <v>19</v>
      </c>
      <c r="C581" s="124" t="s">
        <v>397</v>
      </c>
      <c r="D581" s="124"/>
      <c r="E581" s="124"/>
      <c r="F581" s="179">
        <f>F582+F602+F606</f>
        <v>88239.900000000009</v>
      </c>
      <c r="G581" s="179">
        <f>G582+G602+G606</f>
        <v>78833.3</v>
      </c>
      <c r="H581" s="179">
        <f>H582+H602+H606</f>
        <v>77878.400000000009</v>
      </c>
    </row>
    <row r="582" spans="1:8" s="9" customFormat="1" x14ac:dyDescent="0.2">
      <c r="A582" s="11" t="s">
        <v>0</v>
      </c>
      <c r="B582" s="8" t="s">
        <v>19</v>
      </c>
      <c r="C582" s="8" t="s">
        <v>10</v>
      </c>
      <c r="D582" s="8"/>
      <c r="E582" s="8"/>
      <c r="F582" s="4">
        <f>F590+F594+F585+F592+F587+F583+F600+F598+F596</f>
        <v>83193.3</v>
      </c>
      <c r="G582" s="4">
        <f t="shared" ref="G582:H582" si="123">G590+G594+G585+G592+G587+G583+G600+G598+G596</f>
        <v>74251.7</v>
      </c>
      <c r="H582" s="4">
        <f t="shared" si="123"/>
        <v>73296.800000000003</v>
      </c>
    </row>
    <row r="583" spans="1:8" s="21" customFormat="1" ht="39.75" customHeight="1" x14ac:dyDescent="0.2">
      <c r="A583" s="18" t="s">
        <v>383</v>
      </c>
      <c r="B583" s="19" t="s">
        <v>19</v>
      </c>
      <c r="C583" s="19" t="s">
        <v>10</v>
      </c>
      <c r="D583" s="19" t="s">
        <v>387</v>
      </c>
      <c r="E583" s="19"/>
      <c r="F583" s="20">
        <f>F584</f>
        <v>0</v>
      </c>
      <c r="G583" s="20">
        <f>G584</f>
        <v>0</v>
      </c>
      <c r="H583" s="20">
        <f>H584</f>
        <v>0</v>
      </c>
    </row>
    <row r="584" spans="1:8" s="26" customFormat="1" ht="25.5" x14ac:dyDescent="0.2">
      <c r="A584" s="28" t="s">
        <v>130</v>
      </c>
      <c r="B584" s="24" t="s">
        <v>19</v>
      </c>
      <c r="C584" s="24" t="s">
        <v>10</v>
      </c>
      <c r="D584" s="19" t="s">
        <v>387</v>
      </c>
      <c r="E584" s="24" t="s">
        <v>63</v>
      </c>
      <c r="F584" s="25">
        <f>' первое чтение вед стр-ра'!G167</f>
        <v>0</v>
      </c>
      <c r="G584" s="25">
        <f>' первое чтение вед стр-ра'!H167</f>
        <v>0</v>
      </c>
      <c r="H584" s="25">
        <f>' первое чтение вед стр-ра'!I167</f>
        <v>0</v>
      </c>
    </row>
    <row r="585" spans="1:8" s="12" customFormat="1" ht="25.5" x14ac:dyDescent="0.2">
      <c r="A585" s="17" t="s">
        <v>152</v>
      </c>
      <c r="B585" s="19" t="s">
        <v>19</v>
      </c>
      <c r="C585" s="19" t="s">
        <v>10</v>
      </c>
      <c r="D585" s="19" t="s">
        <v>151</v>
      </c>
      <c r="E585" s="5"/>
      <c r="F585" s="6">
        <f>F586</f>
        <v>165</v>
      </c>
      <c r="G585" s="6">
        <f>G586</f>
        <v>0</v>
      </c>
      <c r="H585" s="6">
        <f>H586</f>
        <v>0</v>
      </c>
    </row>
    <row r="586" spans="1:8" s="26" customFormat="1" ht="25.5" x14ac:dyDescent="0.2">
      <c r="A586" s="28" t="s">
        <v>130</v>
      </c>
      <c r="B586" s="24" t="s">
        <v>19</v>
      </c>
      <c r="C586" s="24" t="s">
        <v>10</v>
      </c>
      <c r="D586" s="24" t="s">
        <v>151</v>
      </c>
      <c r="E586" s="24" t="s">
        <v>63</v>
      </c>
      <c r="F586" s="25">
        <f>' первое чтение вед стр-ра'!G169</f>
        <v>165</v>
      </c>
      <c r="G586" s="25">
        <f>' первое чтение вед стр-ра'!H169</f>
        <v>0</v>
      </c>
      <c r="H586" s="25">
        <f>' первое чтение вед стр-ра'!I169</f>
        <v>0</v>
      </c>
    </row>
    <row r="587" spans="1:8" s="21" customFormat="1" ht="13.5" customHeight="1" x14ac:dyDescent="0.2">
      <c r="A587" s="18" t="s">
        <v>162</v>
      </c>
      <c r="B587" s="19" t="s">
        <v>19</v>
      </c>
      <c r="C587" s="19" t="s">
        <v>10</v>
      </c>
      <c r="D587" s="24" t="s">
        <v>161</v>
      </c>
      <c r="E587" s="19"/>
      <c r="F587" s="20">
        <f>F589+F588</f>
        <v>3946.84</v>
      </c>
      <c r="G587" s="20">
        <f t="shared" ref="G587:H587" si="124">G589+G588</f>
        <v>0</v>
      </c>
      <c r="H587" s="20">
        <f t="shared" si="124"/>
        <v>0</v>
      </c>
    </row>
    <row r="588" spans="1:8" s="26" customFormat="1" ht="25.5" x14ac:dyDescent="0.2">
      <c r="A588" s="28" t="s">
        <v>74</v>
      </c>
      <c r="B588" s="24" t="s">
        <v>19</v>
      </c>
      <c r="C588" s="24" t="s">
        <v>10</v>
      </c>
      <c r="D588" s="24" t="s">
        <v>161</v>
      </c>
      <c r="E588" s="24" t="s">
        <v>66</v>
      </c>
      <c r="F588" s="25">
        <f>' первое чтение вед стр-ра'!G171</f>
        <v>14.9</v>
      </c>
      <c r="G588" s="25">
        <f>' первое чтение вед стр-ра'!H171</f>
        <v>0</v>
      </c>
      <c r="H588" s="25">
        <f>' первое чтение вед стр-ра'!I171</f>
        <v>0</v>
      </c>
    </row>
    <row r="589" spans="1:8" s="26" customFormat="1" ht="25.5" x14ac:dyDescent="0.2">
      <c r="A589" s="28" t="s">
        <v>80</v>
      </c>
      <c r="B589" s="24" t="s">
        <v>19</v>
      </c>
      <c r="C589" s="24" t="s">
        <v>10</v>
      </c>
      <c r="D589" s="24" t="s">
        <v>161</v>
      </c>
      <c r="E589" s="24" t="s">
        <v>69</v>
      </c>
      <c r="F589" s="25">
        <f>' первое чтение вед стр-ра'!G172</f>
        <v>3931.94</v>
      </c>
      <c r="G589" s="25">
        <f>' первое чтение вед стр-ра'!H172</f>
        <v>0</v>
      </c>
      <c r="H589" s="25">
        <f>' первое чтение вед стр-ра'!I172</f>
        <v>0</v>
      </c>
    </row>
    <row r="590" spans="1:8" s="73" customFormat="1" ht="25.5" x14ac:dyDescent="0.2">
      <c r="A590" s="69" t="s">
        <v>178</v>
      </c>
      <c r="B590" s="71" t="s">
        <v>19</v>
      </c>
      <c r="C590" s="71" t="s">
        <v>10</v>
      </c>
      <c r="D590" s="71" t="s">
        <v>177</v>
      </c>
      <c r="E590" s="71"/>
      <c r="F590" s="72">
        <f>F591</f>
        <v>15625.1</v>
      </c>
      <c r="G590" s="72">
        <f>G591</f>
        <v>14556.2</v>
      </c>
      <c r="H590" s="72">
        <f>H591</f>
        <v>14078.7</v>
      </c>
    </row>
    <row r="591" spans="1:8" s="78" customFormat="1" ht="25.5" x14ac:dyDescent="0.2">
      <c r="A591" s="81" t="s">
        <v>130</v>
      </c>
      <c r="B591" s="76" t="s">
        <v>19</v>
      </c>
      <c r="C591" s="76" t="s">
        <v>10</v>
      </c>
      <c r="D591" s="76" t="s">
        <v>177</v>
      </c>
      <c r="E591" s="76" t="s">
        <v>63</v>
      </c>
      <c r="F591" s="56">
        <f>' первое чтение вед стр-ра'!G174</f>
        <v>15625.1</v>
      </c>
      <c r="G591" s="56">
        <f>' первое чтение вед стр-ра'!H174</f>
        <v>14556.2</v>
      </c>
      <c r="H591" s="56">
        <f>' первое чтение вед стр-ра'!I174</f>
        <v>14078.7</v>
      </c>
    </row>
    <row r="592" spans="1:8" s="21" customFormat="1" ht="38.25" x14ac:dyDescent="0.2">
      <c r="A592" s="18" t="s">
        <v>180</v>
      </c>
      <c r="B592" s="19" t="s">
        <v>19</v>
      </c>
      <c r="C592" s="19" t="s">
        <v>10</v>
      </c>
      <c r="D592" s="19" t="s">
        <v>179</v>
      </c>
      <c r="E592" s="19"/>
      <c r="F592" s="20">
        <f>F593</f>
        <v>150</v>
      </c>
      <c r="G592" s="20">
        <f>G593</f>
        <v>0</v>
      </c>
      <c r="H592" s="20">
        <f>H593</f>
        <v>0</v>
      </c>
    </row>
    <row r="593" spans="1:8" s="26" customFormat="1" ht="25.5" x14ac:dyDescent="0.2">
      <c r="A593" s="28" t="s">
        <v>74</v>
      </c>
      <c r="B593" s="24" t="s">
        <v>19</v>
      </c>
      <c r="C593" s="24" t="s">
        <v>10</v>
      </c>
      <c r="D593" s="24" t="s">
        <v>179</v>
      </c>
      <c r="E593" s="27" t="s">
        <v>66</v>
      </c>
      <c r="F593" s="25">
        <f>' первое чтение вед стр-ра'!G176</f>
        <v>150</v>
      </c>
      <c r="G593" s="25">
        <f>' первое чтение вед стр-ра'!H176</f>
        <v>0</v>
      </c>
      <c r="H593" s="25">
        <f>' первое чтение вед стр-ра'!I176</f>
        <v>0</v>
      </c>
    </row>
    <row r="594" spans="1:8" s="21" customFormat="1" ht="25.5" x14ac:dyDescent="0.2">
      <c r="A594" s="18" t="s">
        <v>323</v>
      </c>
      <c r="B594" s="19" t="s">
        <v>19</v>
      </c>
      <c r="C594" s="19" t="s">
        <v>10</v>
      </c>
      <c r="D594" s="19" t="s">
        <v>324</v>
      </c>
      <c r="E594" s="19"/>
      <c r="F594" s="20">
        <f>F595</f>
        <v>47475.4</v>
      </c>
      <c r="G594" s="20">
        <f>G595</f>
        <v>46327.7</v>
      </c>
      <c r="H594" s="20">
        <f>H595</f>
        <v>45850.3</v>
      </c>
    </row>
    <row r="595" spans="1:8" s="78" customFormat="1" ht="25.5" x14ac:dyDescent="0.2">
      <c r="A595" s="81" t="s">
        <v>130</v>
      </c>
      <c r="B595" s="76" t="s">
        <v>19</v>
      </c>
      <c r="C595" s="76" t="s">
        <v>10</v>
      </c>
      <c r="D595" s="76" t="s">
        <v>324</v>
      </c>
      <c r="E595" s="77" t="s">
        <v>63</v>
      </c>
      <c r="F595" s="56">
        <f>' первое чтение вед стр-ра'!G178</f>
        <v>47475.4</v>
      </c>
      <c r="G595" s="56">
        <f>' первое чтение вед стр-ра'!H178</f>
        <v>46327.7</v>
      </c>
      <c r="H595" s="56">
        <f>' первое чтение вед стр-ра'!I178</f>
        <v>45850.3</v>
      </c>
    </row>
    <row r="596" spans="1:8" s="78" customFormat="1" ht="25.5" x14ac:dyDescent="0.2">
      <c r="A596" s="18" t="s">
        <v>323</v>
      </c>
      <c r="B596" s="19" t="s">
        <v>19</v>
      </c>
      <c r="C596" s="19" t="s">
        <v>10</v>
      </c>
      <c r="D596" s="19" t="s">
        <v>647</v>
      </c>
      <c r="E596" s="19"/>
      <c r="F596" s="56">
        <f>F597</f>
        <v>15640.6</v>
      </c>
      <c r="G596" s="56">
        <f t="shared" ref="G596:H596" si="125">G597</f>
        <v>13367.8</v>
      </c>
      <c r="H596" s="56">
        <f t="shared" si="125"/>
        <v>13367.8</v>
      </c>
    </row>
    <row r="597" spans="1:8" s="78" customFormat="1" ht="25.5" x14ac:dyDescent="0.2">
      <c r="A597" s="81" t="s">
        <v>130</v>
      </c>
      <c r="B597" s="76" t="s">
        <v>19</v>
      </c>
      <c r="C597" s="76" t="s">
        <v>10</v>
      </c>
      <c r="D597" s="76" t="s">
        <v>647</v>
      </c>
      <c r="E597" s="77" t="s">
        <v>63</v>
      </c>
      <c r="F597" s="56">
        <f>' первое чтение вед стр-ра'!G409</f>
        <v>15640.6</v>
      </c>
      <c r="G597" s="56">
        <f>' первое чтение вед стр-ра'!H409</f>
        <v>13367.8</v>
      </c>
      <c r="H597" s="56">
        <f>' первое чтение вед стр-ра'!I409</f>
        <v>13367.8</v>
      </c>
    </row>
    <row r="598" spans="1:8" s="26" customFormat="1" ht="20.25" customHeight="1" x14ac:dyDescent="0.2">
      <c r="A598" s="18" t="s">
        <v>628</v>
      </c>
      <c r="B598" s="19" t="s">
        <v>19</v>
      </c>
      <c r="C598" s="19" t="s">
        <v>10</v>
      </c>
      <c r="D598" s="19" t="s">
        <v>637</v>
      </c>
      <c r="E598" s="19"/>
      <c r="F598" s="25">
        <f>F599</f>
        <v>0</v>
      </c>
      <c r="G598" s="25">
        <f t="shared" ref="G598:H598" si="126">G599</f>
        <v>0</v>
      </c>
      <c r="H598" s="25">
        <f t="shared" si="126"/>
        <v>0</v>
      </c>
    </row>
    <row r="599" spans="1:8" s="26" customFormat="1" ht="25.5" x14ac:dyDescent="0.2">
      <c r="A599" s="28" t="s">
        <v>130</v>
      </c>
      <c r="B599" s="24" t="s">
        <v>19</v>
      </c>
      <c r="C599" s="24" t="s">
        <v>10</v>
      </c>
      <c r="D599" s="24" t="s">
        <v>637</v>
      </c>
      <c r="E599" s="24" t="s">
        <v>63</v>
      </c>
      <c r="F599" s="25">
        <f>' первое чтение вед стр-ра'!G180</f>
        <v>0</v>
      </c>
      <c r="G599" s="25">
        <f>' первое чтение вед стр-ра'!H180</f>
        <v>0</v>
      </c>
      <c r="H599" s="25">
        <f>' первое чтение вед стр-ра'!I180</f>
        <v>0</v>
      </c>
    </row>
    <row r="600" spans="1:8" s="78" customFormat="1" x14ac:dyDescent="0.2">
      <c r="A600" s="18" t="s">
        <v>771</v>
      </c>
      <c r="B600" s="19" t="s">
        <v>19</v>
      </c>
      <c r="C600" s="19" t="s">
        <v>10</v>
      </c>
      <c r="D600" s="19" t="s">
        <v>770</v>
      </c>
      <c r="E600" s="19"/>
      <c r="F600" s="56">
        <f>F601</f>
        <v>190.36</v>
      </c>
      <c r="G600" s="56">
        <f t="shared" ref="G600:H600" si="127">G601</f>
        <v>0</v>
      </c>
      <c r="H600" s="56">
        <f t="shared" si="127"/>
        <v>0</v>
      </c>
    </row>
    <row r="601" spans="1:8" s="78" customFormat="1" ht="25.5" x14ac:dyDescent="0.2">
      <c r="A601" s="28" t="s">
        <v>130</v>
      </c>
      <c r="B601" s="24" t="s">
        <v>19</v>
      </c>
      <c r="C601" s="24" t="s">
        <v>10</v>
      </c>
      <c r="D601" s="24" t="s">
        <v>770</v>
      </c>
      <c r="E601" s="24" t="s">
        <v>63</v>
      </c>
      <c r="F601" s="56">
        <f>' первое чтение вед стр-ра'!G182</f>
        <v>190.36</v>
      </c>
      <c r="G601" s="56">
        <f>' первое чтение вед стр-ра'!H182</f>
        <v>0</v>
      </c>
      <c r="H601" s="56">
        <f>' первое чтение вед стр-ра'!I182</f>
        <v>0</v>
      </c>
    </row>
    <row r="602" spans="1:8" s="9" customFormat="1" x14ac:dyDescent="0.2">
      <c r="A602" s="11" t="s">
        <v>1</v>
      </c>
      <c r="B602" s="8" t="s">
        <v>19</v>
      </c>
      <c r="C602" s="8" t="s">
        <v>12</v>
      </c>
      <c r="D602" s="8"/>
      <c r="E602" s="8"/>
      <c r="F602" s="4">
        <f t="shared" ref="F602:H602" si="128">F603</f>
        <v>360</v>
      </c>
      <c r="G602" s="4">
        <f t="shared" si="128"/>
        <v>0</v>
      </c>
      <c r="H602" s="4">
        <f t="shared" si="128"/>
        <v>0</v>
      </c>
    </row>
    <row r="603" spans="1:8" s="21" customFormat="1" ht="25.5" x14ac:dyDescent="0.2">
      <c r="A603" s="18" t="s">
        <v>182</v>
      </c>
      <c r="B603" s="19" t="s">
        <v>19</v>
      </c>
      <c r="C603" s="19" t="s">
        <v>12</v>
      </c>
      <c r="D603" s="19" t="s">
        <v>181</v>
      </c>
      <c r="E603" s="19"/>
      <c r="F603" s="20">
        <f>' первое чтение вед стр-ра'!G184</f>
        <v>360</v>
      </c>
      <c r="G603" s="20">
        <f>' первое чтение вед стр-ра'!H184</f>
        <v>0</v>
      </c>
      <c r="H603" s="20">
        <f>' первое чтение вед стр-ра'!I184</f>
        <v>0</v>
      </c>
    </row>
    <row r="604" spans="1:8" s="21" customFormat="1" ht="51" x14ac:dyDescent="0.2">
      <c r="A604" s="30" t="s">
        <v>64</v>
      </c>
      <c r="B604" s="24" t="s">
        <v>19</v>
      </c>
      <c r="C604" s="24" t="s">
        <v>12</v>
      </c>
      <c r="D604" s="24" t="s">
        <v>181</v>
      </c>
      <c r="E604" s="19" t="s">
        <v>65</v>
      </c>
      <c r="F604" s="20">
        <f>' первое чтение вед стр-ра'!G185</f>
        <v>50</v>
      </c>
      <c r="G604" s="20">
        <f>' первое чтение вед стр-ра'!H185</f>
        <v>0</v>
      </c>
      <c r="H604" s="20">
        <f>' первое чтение вед стр-ра'!I185</f>
        <v>0</v>
      </c>
    </row>
    <row r="605" spans="1:8" s="26" customFormat="1" ht="25.5" x14ac:dyDescent="0.2">
      <c r="A605" s="28" t="s">
        <v>74</v>
      </c>
      <c r="B605" s="24" t="s">
        <v>19</v>
      </c>
      <c r="C605" s="24" t="s">
        <v>12</v>
      </c>
      <c r="D605" s="24" t="s">
        <v>181</v>
      </c>
      <c r="E605" s="27" t="s">
        <v>66</v>
      </c>
      <c r="F605" s="25">
        <f>' первое чтение вед стр-ра'!G186</f>
        <v>310</v>
      </c>
      <c r="G605" s="25">
        <f>' первое чтение вед стр-ра'!H186</f>
        <v>0</v>
      </c>
      <c r="H605" s="25">
        <f>' первое чтение вед стр-ра'!I186</f>
        <v>0</v>
      </c>
    </row>
    <row r="606" spans="1:8" s="9" customFormat="1" x14ac:dyDescent="0.2">
      <c r="A606" s="11" t="s">
        <v>3</v>
      </c>
      <c r="B606" s="8" t="s">
        <v>19</v>
      </c>
      <c r="C606" s="8" t="s">
        <v>29</v>
      </c>
      <c r="D606" s="8"/>
      <c r="E606" s="8"/>
      <c r="F606" s="4">
        <f>F607+F610</f>
        <v>4686.6000000000004</v>
      </c>
      <c r="G606" s="4">
        <f>G607+G610</f>
        <v>4581.6000000000004</v>
      </c>
      <c r="H606" s="4">
        <f>H607+H610</f>
        <v>4581.6000000000004</v>
      </c>
    </row>
    <row r="607" spans="1:8" s="21" customFormat="1" ht="25.5" x14ac:dyDescent="0.2">
      <c r="A607" s="18" t="s">
        <v>178</v>
      </c>
      <c r="B607" s="19" t="s">
        <v>19</v>
      </c>
      <c r="C607" s="19" t="s">
        <v>29</v>
      </c>
      <c r="D607" s="19" t="s">
        <v>183</v>
      </c>
      <c r="E607" s="19"/>
      <c r="F607" s="20">
        <f>F608+F609</f>
        <v>1263.3</v>
      </c>
      <c r="G607" s="20">
        <f>G608+G609</f>
        <v>1258.3</v>
      </c>
      <c r="H607" s="20">
        <f>H608+H609</f>
        <v>1258.3</v>
      </c>
    </row>
    <row r="608" spans="1:8" s="26" customFormat="1" ht="50.25" customHeight="1" x14ac:dyDescent="0.2">
      <c r="A608" s="30" t="s">
        <v>64</v>
      </c>
      <c r="B608" s="24" t="s">
        <v>19</v>
      </c>
      <c r="C608" s="24" t="s">
        <v>29</v>
      </c>
      <c r="D608" s="24" t="s">
        <v>183</v>
      </c>
      <c r="E608" s="27" t="s">
        <v>65</v>
      </c>
      <c r="F608" s="25">
        <f>' первое чтение вед стр-ра'!G189</f>
        <v>1191.8</v>
      </c>
      <c r="G608" s="25">
        <f>' первое чтение вед стр-ра'!H189</f>
        <v>1186.8</v>
      </c>
      <c r="H608" s="25">
        <f>' первое чтение вед стр-ра'!I189</f>
        <v>1186.8</v>
      </c>
    </row>
    <row r="609" spans="1:8" s="26" customFormat="1" ht="25.5" x14ac:dyDescent="0.2">
      <c r="A609" s="28" t="s">
        <v>74</v>
      </c>
      <c r="B609" s="24" t="s">
        <v>19</v>
      </c>
      <c r="C609" s="24" t="s">
        <v>29</v>
      </c>
      <c r="D609" s="24" t="s">
        <v>183</v>
      </c>
      <c r="E609" s="27" t="s">
        <v>66</v>
      </c>
      <c r="F609" s="25">
        <f>' первое чтение вед стр-ра'!G190</f>
        <v>71.5</v>
      </c>
      <c r="G609" s="25">
        <f>' первое чтение вед стр-ра'!H190</f>
        <v>71.5</v>
      </c>
      <c r="H609" s="25">
        <f>' первое чтение вед стр-ра'!I190</f>
        <v>71.5</v>
      </c>
    </row>
    <row r="610" spans="1:8" s="21" customFormat="1" ht="25.5" x14ac:dyDescent="0.2">
      <c r="A610" s="18" t="s">
        <v>178</v>
      </c>
      <c r="B610" s="19" t="s">
        <v>19</v>
      </c>
      <c r="C610" s="19" t="s">
        <v>29</v>
      </c>
      <c r="D610" s="19" t="s">
        <v>363</v>
      </c>
      <c r="E610" s="19"/>
      <c r="F610" s="20">
        <f>F611</f>
        <v>3423.3</v>
      </c>
      <c r="G610" s="20">
        <f>G611</f>
        <v>3323.3</v>
      </c>
      <c r="H610" s="20">
        <f>H611</f>
        <v>3323.3</v>
      </c>
    </row>
    <row r="611" spans="1:8" s="26" customFormat="1" ht="27.75" customHeight="1" x14ac:dyDescent="0.2">
      <c r="A611" s="81" t="s">
        <v>130</v>
      </c>
      <c r="B611" s="24" t="s">
        <v>19</v>
      </c>
      <c r="C611" s="24" t="s">
        <v>29</v>
      </c>
      <c r="D611" s="24" t="s">
        <v>363</v>
      </c>
      <c r="E611" s="27" t="s">
        <v>63</v>
      </c>
      <c r="F611" s="25">
        <f>' первое чтение вед стр-ра'!G192</f>
        <v>3423.3</v>
      </c>
      <c r="G611" s="25">
        <f>' первое чтение вед стр-ра'!H192</f>
        <v>3323.3</v>
      </c>
      <c r="H611" s="25">
        <f>' первое чтение вед стр-ра'!I192</f>
        <v>3323.3</v>
      </c>
    </row>
    <row r="612" spans="1:8" s="138" customFormat="1" ht="27.75" customHeight="1" x14ac:dyDescent="0.25">
      <c r="A612" s="125" t="s">
        <v>663</v>
      </c>
      <c r="B612" s="124" t="s">
        <v>21</v>
      </c>
      <c r="C612" s="124" t="s">
        <v>397</v>
      </c>
      <c r="D612" s="124"/>
      <c r="E612" s="208"/>
      <c r="F612" s="179">
        <f>F614</f>
        <v>1351.6</v>
      </c>
      <c r="G612" s="179">
        <f t="shared" ref="G612:H612" si="129">G614</f>
        <v>0</v>
      </c>
      <c r="H612" s="179">
        <f t="shared" si="129"/>
        <v>0</v>
      </c>
    </row>
    <row r="613" spans="1:8" s="212" customFormat="1" ht="21" customHeight="1" x14ac:dyDescent="0.25">
      <c r="A613" s="69" t="s">
        <v>664</v>
      </c>
      <c r="B613" s="209" t="s">
        <v>21</v>
      </c>
      <c r="C613" s="209" t="s">
        <v>12</v>
      </c>
      <c r="D613" s="209"/>
      <c r="E613" s="210"/>
      <c r="F613" s="211">
        <f>F614</f>
        <v>1351.6</v>
      </c>
      <c r="G613" s="211">
        <f t="shared" ref="G613:H613" si="130">G614</f>
        <v>0</v>
      </c>
      <c r="H613" s="211">
        <f t="shared" si="130"/>
        <v>0</v>
      </c>
    </row>
    <row r="614" spans="1:8" ht="41.25" customHeight="1" x14ac:dyDescent="0.2">
      <c r="A614" s="69" t="s">
        <v>660</v>
      </c>
      <c r="B614" s="19" t="s">
        <v>21</v>
      </c>
      <c r="C614" s="19" t="s">
        <v>12</v>
      </c>
      <c r="D614" s="19" t="s">
        <v>665</v>
      </c>
      <c r="E614" s="199"/>
      <c r="F614" s="20">
        <f>F615</f>
        <v>1351.6</v>
      </c>
      <c r="G614" s="20">
        <f t="shared" ref="G614:H614" si="131">G615</f>
        <v>0</v>
      </c>
      <c r="H614" s="20">
        <f t="shared" si="131"/>
        <v>0</v>
      </c>
    </row>
    <row r="615" spans="1:8" s="26" customFormat="1" ht="25.5" customHeight="1" x14ac:dyDescent="0.2">
      <c r="A615" s="81" t="s">
        <v>70</v>
      </c>
      <c r="B615" s="24" t="s">
        <v>21</v>
      </c>
      <c r="C615" s="24" t="s">
        <v>12</v>
      </c>
      <c r="D615" s="24" t="s">
        <v>661</v>
      </c>
      <c r="E615" s="27" t="s">
        <v>71</v>
      </c>
      <c r="F615" s="25">
        <f>' первое чтение вед стр-ра'!G154</f>
        <v>1351.6</v>
      </c>
      <c r="G615" s="25">
        <f>' первое чтение вед стр-ра'!H154</f>
        <v>0</v>
      </c>
      <c r="H615" s="25">
        <f>' первое чтение вед стр-ра'!I154</f>
        <v>0</v>
      </c>
    </row>
    <row r="616" spans="1:8" s="21" customFormat="1" ht="31.5" x14ac:dyDescent="0.25">
      <c r="A616" s="125" t="s">
        <v>18</v>
      </c>
      <c r="B616" s="124" t="s">
        <v>59</v>
      </c>
      <c r="C616" s="124" t="s">
        <v>397</v>
      </c>
      <c r="D616" s="124"/>
      <c r="E616" s="124"/>
      <c r="F616" s="179">
        <f>F617</f>
        <v>2136.1</v>
      </c>
      <c r="G616" s="179">
        <f t="shared" ref="G616:H618" si="132">G617</f>
        <v>2123</v>
      </c>
      <c r="H616" s="179">
        <f t="shared" si="132"/>
        <v>2105</v>
      </c>
    </row>
    <row r="617" spans="1:8" s="21" customFormat="1" ht="25.5" x14ac:dyDescent="0.2">
      <c r="A617" s="11" t="s">
        <v>2</v>
      </c>
      <c r="B617" s="8" t="s">
        <v>59</v>
      </c>
      <c r="C617" s="8" t="s">
        <v>10</v>
      </c>
      <c r="D617" s="8"/>
      <c r="E617" s="8"/>
      <c r="F617" s="4">
        <f>F618</f>
        <v>2136.1</v>
      </c>
      <c r="G617" s="4">
        <f t="shared" si="132"/>
        <v>2123</v>
      </c>
      <c r="H617" s="4">
        <f t="shared" si="132"/>
        <v>2105</v>
      </c>
    </row>
    <row r="618" spans="1:8" s="21" customFormat="1" ht="25.5" x14ac:dyDescent="0.2">
      <c r="A618" s="18" t="s">
        <v>174</v>
      </c>
      <c r="B618" s="19" t="s">
        <v>59</v>
      </c>
      <c r="C618" s="19" t="s">
        <v>10</v>
      </c>
      <c r="D618" s="19" t="s">
        <v>173</v>
      </c>
      <c r="E618" s="19"/>
      <c r="F618" s="20">
        <f>F619</f>
        <v>2136.1</v>
      </c>
      <c r="G618" s="20">
        <f t="shared" si="132"/>
        <v>2123</v>
      </c>
      <c r="H618" s="20">
        <f t="shared" si="132"/>
        <v>2105</v>
      </c>
    </row>
    <row r="619" spans="1:8" s="21" customFormat="1" x14ac:dyDescent="0.2">
      <c r="A619" s="28" t="s">
        <v>72</v>
      </c>
      <c r="B619" s="24" t="s">
        <v>59</v>
      </c>
      <c r="C619" s="24" t="s">
        <v>10</v>
      </c>
      <c r="D619" s="24" t="s">
        <v>173</v>
      </c>
      <c r="E619" s="24" t="s">
        <v>73</v>
      </c>
      <c r="F619" s="25">
        <f>' первое чтение вед стр-ра'!G158</f>
        <v>2136.1</v>
      </c>
      <c r="G619" s="25">
        <f>' первое чтение вед стр-ра'!H158</f>
        <v>2123</v>
      </c>
      <c r="H619" s="25">
        <f>' первое чтение вед стр-ра'!I158</f>
        <v>2105</v>
      </c>
    </row>
    <row r="620" spans="1:8" s="21" customFormat="1" x14ac:dyDescent="0.2">
      <c r="A620" s="18" t="s">
        <v>329</v>
      </c>
      <c r="B620" s="19" t="s">
        <v>330</v>
      </c>
      <c r="C620" s="19"/>
      <c r="D620" s="19"/>
      <c r="E620" s="19"/>
      <c r="F620" s="20"/>
      <c r="G620" s="20">
        <f t="shared" ref="G620:H622" si="133">G621</f>
        <v>26371.300000000003</v>
      </c>
      <c r="H620" s="20">
        <f t="shared" si="133"/>
        <v>44686.899999999994</v>
      </c>
    </row>
    <row r="621" spans="1:8" s="21" customFormat="1" x14ac:dyDescent="0.2">
      <c r="A621" s="18" t="s">
        <v>329</v>
      </c>
      <c r="B621" s="19" t="s">
        <v>330</v>
      </c>
      <c r="C621" s="16" t="s">
        <v>330</v>
      </c>
      <c r="D621" s="19"/>
      <c r="E621" s="19"/>
      <c r="F621" s="20"/>
      <c r="G621" s="20">
        <f t="shared" si="133"/>
        <v>26371.300000000003</v>
      </c>
      <c r="H621" s="20">
        <f t="shared" si="133"/>
        <v>44686.899999999994</v>
      </c>
    </row>
    <row r="622" spans="1:8" s="21" customFormat="1" x14ac:dyDescent="0.2">
      <c r="A622" s="18" t="s">
        <v>329</v>
      </c>
      <c r="B622" s="19" t="s">
        <v>330</v>
      </c>
      <c r="C622" s="16" t="s">
        <v>330</v>
      </c>
      <c r="D622" s="19" t="s">
        <v>331</v>
      </c>
      <c r="E622" s="19"/>
      <c r="F622" s="20"/>
      <c r="G622" s="20">
        <f t="shared" si="133"/>
        <v>26371.300000000003</v>
      </c>
      <c r="H622" s="20">
        <f t="shared" si="133"/>
        <v>44686.899999999994</v>
      </c>
    </row>
    <row r="623" spans="1:8" s="26" customFormat="1" x14ac:dyDescent="0.2">
      <c r="A623" s="28" t="s">
        <v>329</v>
      </c>
      <c r="B623" s="19" t="s">
        <v>330</v>
      </c>
      <c r="C623" s="16" t="s">
        <v>330</v>
      </c>
      <c r="D623" s="19" t="s">
        <v>331</v>
      </c>
      <c r="E623" s="24" t="s">
        <v>71</v>
      </c>
      <c r="F623" s="25"/>
      <c r="G623" s="25">
        <f>' первое чтение вед стр-ра'!H162</f>
        <v>26371.300000000003</v>
      </c>
      <c r="H623" s="25">
        <f>' первое чтение вед стр-ра'!I162</f>
        <v>44686.899999999994</v>
      </c>
    </row>
    <row r="624" spans="1:8" s="21" customFormat="1" ht="15.75" x14ac:dyDescent="0.25">
      <c r="A624" s="125" t="s">
        <v>56</v>
      </c>
      <c r="B624" s="124"/>
      <c r="C624" s="124"/>
      <c r="D624" s="124"/>
      <c r="E624" s="124"/>
      <c r="F624" s="179">
        <f>F616+F581+F407+F378+F256+F175+F126+F108+F14+F612</f>
        <v>3165965.8268999993</v>
      </c>
      <c r="G624" s="179">
        <f>G616+G581+G407+G378+G256+G175+G126+G108+G14+G620</f>
        <v>2695005.7459999998</v>
      </c>
      <c r="H624" s="179">
        <f>H616+H581+H407+H378+H256+H175+H126+H108+H14+H620</f>
        <v>2920920.5320000001</v>
      </c>
    </row>
    <row r="625" spans="1:8" s="21" customFormat="1" ht="0.75" customHeight="1" x14ac:dyDescent="0.2">
      <c r="A625" s="182"/>
      <c r="B625" s="183"/>
      <c r="C625" s="183"/>
      <c r="D625" s="183"/>
      <c r="E625" s="183"/>
      <c r="F625" s="184">
        <f>F624-[1]первоначальный!$G$603</f>
        <v>658917.42689999938</v>
      </c>
      <c r="G625" s="184">
        <f>G624-[1]первоначальный!$H$603</f>
        <v>453229.54599999962</v>
      </c>
      <c r="H625" s="184">
        <f>H624-[1]первоначальный!$I$603</f>
        <v>709598.93200000003</v>
      </c>
    </row>
    <row r="626" spans="1:8" ht="16.5" customHeight="1" x14ac:dyDescent="0.2">
      <c r="A626" s="182"/>
      <c r="B626" s="183"/>
      <c r="C626" s="183"/>
      <c r="D626" s="183"/>
      <c r="E626" s="183"/>
      <c r="F626" s="115"/>
      <c r="G626" s="115"/>
      <c r="H626" s="115"/>
    </row>
    <row r="627" spans="1:8" ht="5.25" customHeight="1" x14ac:dyDescent="0.2">
      <c r="A627" s="182"/>
      <c r="B627" s="183"/>
      <c r="C627" s="183"/>
      <c r="D627" s="183"/>
      <c r="E627" s="183"/>
      <c r="F627" s="191"/>
      <c r="G627" s="191"/>
      <c r="H627" s="191"/>
    </row>
    <row r="628" spans="1:8" ht="24" customHeight="1" x14ac:dyDescent="0.2">
      <c r="A628" s="116" t="s">
        <v>62</v>
      </c>
      <c r="B628" s="226"/>
      <c r="C628" s="226"/>
      <c r="D628" s="226"/>
      <c r="E628" s="226"/>
      <c r="F628" s="115"/>
      <c r="G628" s="117"/>
      <c r="H628" s="117" t="s">
        <v>686</v>
      </c>
    </row>
    <row r="630" spans="1:8" x14ac:dyDescent="0.2">
      <c r="F630" s="121">
        <f>F624-' первое чтение вед стр-ра'!G699</f>
        <v>0</v>
      </c>
      <c r="G630" s="115">
        <f>G624-' первое чтение вед стр-ра'!H699</f>
        <v>0</v>
      </c>
      <c r="H630" s="115">
        <f>H624-' первое чтение вед стр-ра'!I699</f>
        <v>0</v>
      </c>
    </row>
    <row r="631" spans="1:8" x14ac:dyDescent="0.2">
      <c r="F631" s="115"/>
      <c r="G631" s="115"/>
      <c r="H631" s="115"/>
    </row>
    <row r="632" spans="1:8" x14ac:dyDescent="0.2">
      <c r="F632" s="115"/>
      <c r="G632" s="115"/>
      <c r="H632" s="115"/>
    </row>
    <row r="634" spans="1:8" x14ac:dyDescent="0.2">
      <c r="F634" s="115"/>
      <c r="G634" s="115"/>
      <c r="H634" s="115"/>
    </row>
    <row r="639" spans="1:8" x14ac:dyDescent="0.2">
      <c r="B639" s="197"/>
      <c r="C639" s="197"/>
      <c r="D639" s="197"/>
      <c r="E639" s="197"/>
      <c r="F639" s="197"/>
      <c r="G639" s="197"/>
      <c r="H639" s="197"/>
    </row>
    <row r="640" spans="1:8" x14ac:dyDescent="0.2">
      <c r="B640" s="197"/>
      <c r="C640" s="197"/>
      <c r="D640" s="197"/>
      <c r="E640" s="197"/>
      <c r="F640" s="197"/>
      <c r="G640" s="197"/>
      <c r="H640" s="197"/>
    </row>
    <row r="641" spans="2:8" x14ac:dyDescent="0.2">
      <c r="B641" s="197"/>
      <c r="C641" s="197"/>
      <c r="D641" s="197"/>
      <c r="E641" s="197"/>
      <c r="F641" s="197"/>
      <c r="G641" s="197"/>
      <c r="H641" s="197"/>
    </row>
    <row r="642" spans="2:8" x14ac:dyDescent="0.2">
      <c r="B642" s="197"/>
      <c r="C642" s="197"/>
      <c r="D642" s="197"/>
      <c r="E642" s="197"/>
      <c r="F642" s="197"/>
      <c r="G642" s="197"/>
      <c r="H642" s="197"/>
    </row>
    <row r="643" spans="2:8" x14ac:dyDescent="0.2">
      <c r="B643" s="197"/>
      <c r="C643" s="197"/>
      <c r="D643" s="197"/>
      <c r="E643" s="197"/>
      <c r="F643" s="197"/>
      <c r="G643" s="197"/>
      <c r="H643" s="197"/>
    </row>
    <row r="644" spans="2:8" x14ac:dyDescent="0.2">
      <c r="B644" s="197"/>
      <c r="C644" s="197"/>
      <c r="D644" s="197"/>
      <c r="E644" s="197"/>
      <c r="F644" s="197"/>
      <c r="G644" s="197"/>
      <c r="H644" s="197"/>
    </row>
    <row r="645" spans="2:8" x14ac:dyDescent="0.2">
      <c r="B645" s="197"/>
      <c r="C645" s="197"/>
      <c r="D645" s="197"/>
      <c r="E645" s="197"/>
      <c r="F645" s="197"/>
      <c r="G645" s="197"/>
      <c r="H645" s="197"/>
    </row>
    <row r="646" spans="2:8" x14ac:dyDescent="0.2">
      <c r="B646" s="197"/>
      <c r="C646" s="197"/>
      <c r="D646" s="197"/>
      <c r="E646" s="197"/>
      <c r="F646" s="197"/>
      <c r="G646" s="197"/>
      <c r="H646" s="197"/>
    </row>
    <row r="647" spans="2:8" x14ac:dyDescent="0.2">
      <c r="B647" s="197"/>
      <c r="C647" s="197"/>
      <c r="D647" s="197"/>
      <c r="E647" s="197"/>
      <c r="F647" s="197"/>
      <c r="G647" s="197"/>
      <c r="H647" s="197"/>
    </row>
    <row r="648" spans="2:8" x14ac:dyDescent="0.2">
      <c r="B648" s="197"/>
      <c r="C648" s="197"/>
      <c r="D648" s="197"/>
      <c r="E648" s="197"/>
      <c r="F648" s="197"/>
      <c r="G648" s="197"/>
      <c r="H648" s="197"/>
    </row>
    <row r="649" spans="2:8" x14ac:dyDescent="0.2">
      <c r="B649" s="197"/>
      <c r="C649" s="197"/>
      <c r="D649" s="197"/>
      <c r="E649" s="197"/>
      <c r="F649" s="197"/>
      <c r="G649" s="197"/>
      <c r="H649" s="197"/>
    </row>
    <row r="650" spans="2:8" x14ac:dyDescent="0.2">
      <c r="B650" s="197"/>
      <c r="C650" s="197"/>
      <c r="D650" s="197"/>
      <c r="E650" s="197"/>
      <c r="F650" s="197"/>
      <c r="G650" s="197"/>
      <c r="H650" s="197"/>
    </row>
    <row r="651" spans="2:8" x14ac:dyDescent="0.2">
      <c r="B651" s="197"/>
      <c r="C651" s="197"/>
      <c r="D651" s="197"/>
      <c r="E651" s="197"/>
      <c r="F651" s="197"/>
      <c r="G651" s="197"/>
      <c r="H651" s="197"/>
    </row>
    <row r="652" spans="2:8" x14ac:dyDescent="0.2">
      <c r="B652" s="197"/>
      <c r="C652" s="197"/>
      <c r="D652" s="197"/>
      <c r="E652" s="197"/>
      <c r="F652" s="197"/>
      <c r="G652" s="197"/>
      <c r="H652" s="197"/>
    </row>
    <row r="653" spans="2:8" x14ac:dyDescent="0.2">
      <c r="B653" s="197"/>
      <c r="C653" s="197"/>
      <c r="D653" s="197"/>
      <c r="E653" s="197"/>
      <c r="F653" s="197"/>
      <c r="G653" s="197"/>
      <c r="H653" s="197"/>
    </row>
    <row r="654" spans="2:8" x14ac:dyDescent="0.2">
      <c r="B654" s="197"/>
      <c r="C654" s="197"/>
      <c r="D654" s="197"/>
      <c r="E654" s="197"/>
      <c r="F654" s="197"/>
      <c r="G654" s="197"/>
      <c r="H654" s="197"/>
    </row>
    <row r="655" spans="2:8" x14ac:dyDescent="0.2">
      <c r="B655" s="197"/>
      <c r="C655" s="197"/>
      <c r="D655" s="197"/>
      <c r="E655" s="197"/>
      <c r="F655" s="197"/>
      <c r="G655" s="197"/>
      <c r="H655" s="197"/>
    </row>
    <row r="656" spans="2:8" x14ac:dyDescent="0.2">
      <c r="B656" s="197"/>
      <c r="C656" s="197"/>
      <c r="D656" s="197"/>
      <c r="E656" s="197"/>
      <c r="F656" s="197"/>
      <c r="G656" s="197"/>
      <c r="H656" s="197"/>
    </row>
    <row r="657" spans="2:8" x14ac:dyDescent="0.2">
      <c r="B657" s="197"/>
      <c r="C657" s="197"/>
      <c r="D657" s="197"/>
      <c r="E657" s="197"/>
      <c r="F657" s="197"/>
      <c r="G657" s="197"/>
      <c r="H657" s="197"/>
    </row>
    <row r="658" spans="2:8" x14ac:dyDescent="0.2">
      <c r="B658" s="197"/>
      <c r="C658" s="197"/>
      <c r="D658" s="197"/>
      <c r="E658" s="197"/>
      <c r="F658" s="197"/>
      <c r="G658" s="197"/>
      <c r="H658" s="197"/>
    </row>
    <row r="659" spans="2:8" x14ac:dyDescent="0.2">
      <c r="B659" s="197"/>
      <c r="C659" s="197"/>
      <c r="D659" s="197"/>
      <c r="E659" s="197"/>
      <c r="F659" s="197"/>
      <c r="G659" s="197"/>
      <c r="H659" s="197"/>
    </row>
    <row r="660" spans="2:8" x14ac:dyDescent="0.2">
      <c r="B660" s="197"/>
      <c r="C660" s="197"/>
      <c r="D660" s="197"/>
      <c r="E660" s="197"/>
      <c r="F660" s="197"/>
      <c r="G660" s="197"/>
      <c r="H660" s="197"/>
    </row>
    <row r="661" spans="2:8" x14ac:dyDescent="0.2">
      <c r="B661" s="197"/>
      <c r="C661" s="197"/>
      <c r="D661" s="197"/>
      <c r="E661" s="197"/>
      <c r="F661" s="197"/>
      <c r="G661" s="197"/>
      <c r="H661" s="197"/>
    </row>
    <row r="662" spans="2:8" x14ac:dyDescent="0.2">
      <c r="B662" s="197"/>
      <c r="C662" s="197"/>
      <c r="D662" s="197"/>
      <c r="E662" s="197"/>
      <c r="F662" s="197"/>
      <c r="G662" s="197"/>
      <c r="H662" s="197"/>
    </row>
    <row r="663" spans="2:8" x14ac:dyDescent="0.2">
      <c r="B663" s="197"/>
      <c r="C663" s="197"/>
      <c r="D663" s="197"/>
      <c r="E663" s="197"/>
      <c r="F663" s="197"/>
      <c r="G663" s="197"/>
      <c r="H663" s="197"/>
    </row>
    <row r="664" spans="2:8" x14ac:dyDescent="0.2">
      <c r="B664" s="197"/>
      <c r="C664" s="197"/>
      <c r="D664" s="197"/>
      <c r="E664" s="197"/>
      <c r="F664" s="197"/>
      <c r="G664" s="197"/>
      <c r="H664" s="197"/>
    </row>
    <row r="665" spans="2:8" x14ac:dyDescent="0.2">
      <c r="B665" s="197"/>
      <c r="C665" s="197"/>
      <c r="D665" s="197"/>
      <c r="E665" s="197"/>
      <c r="F665" s="197"/>
      <c r="G665" s="197"/>
      <c r="H665" s="197"/>
    </row>
    <row r="666" spans="2:8" x14ac:dyDescent="0.2">
      <c r="B666" s="197"/>
      <c r="C666" s="197"/>
      <c r="D666" s="197"/>
      <c r="E666" s="197"/>
      <c r="F666" s="197"/>
      <c r="G666" s="197"/>
      <c r="H666" s="197"/>
    </row>
    <row r="667" spans="2:8" x14ac:dyDescent="0.2">
      <c r="B667" s="197"/>
      <c r="C667" s="197"/>
      <c r="D667" s="197"/>
      <c r="E667" s="197"/>
      <c r="F667" s="197"/>
      <c r="G667" s="197"/>
      <c r="H667" s="197"/>
    </row>
    <row r="668" spans="2:8" x14ac:dyDescent="0.2">
      <c r="B668" s="197"/>
      <c r="C668" s="197"/>
      <c r="D668" s="197"/>
      <c r="E668" s="197"/>
      <c r="F668" s="197"/>
      <c r="G668" s="197"/>
      <c r="H668" s="197"/>
    </row>
    <row r="669" spans="2:8" x14ac:dyDescent="0.2">
      <c r="B669" s="197"/>
      <c r="C669" s="197"/>
      <c r="D669" s="197"/>
      <c r="E669" s="197"/>
      <c r="F669" s="197"/>
      <c r="G669" s="197"/>
      <c r="H669" s="197"/>
    </row>
    <row r="670" spans="2:8" x14ac:dyDescent="0.2">
      <c r="B670" s="197"/>
      <c r="C670" s="197"/>
      <c r="D670" s="197"/>
      <c r="E670" s="197"/>
      <c r="F670" s="197"/>
      <c r="G670" s="197"/>
      <c r="H670" s="197"/>
    </row>
    <row r="671" spans="2:8" x14ac:dyDescent="0.2">
      <c r="B671" s="197"/>
      <c r="C671" s="197"/>
      <c r="D671" s="197"/>
      <c r="E671" s="197"/>
      <c r="F671" s="197"/>
      <c r="G671" s="197"/>
      <c r="H671" s="197"/>
    </row>
    <row r="672" spans="2:8" x14ac:dyDescent="0.2">
      <c r="B672" s="197"/>
      <c r="C672" s="197"/>
      <c r="D672" s="197"/>
      <c r="E672" s="197"/>
      <c r="F672" s="197"/>
      <c r="G672" s="197"/>
      <c r="H672" s="197"/>
    </row>
    <row r="673" spans="2:8" x14ac:dyDescent="0.2">
      <c r="B673" s="197"/>
      <c r="C673" s="197"/>
      <c r="D673" s="197"/>
      <c r="E673" s="197"/>
      <c r="F673" s="197"/>
      <c r="G673" s="197"/>
      <c r="H673" s="197"/>
    </row>
    <row r="674" spans="2:8" x14ac:dyDescent="0.2">
      <c r="B674" s="197"/>
      <c r="C674" s="197"/>
      <c r="D674" s="197"/>
      <c r="E674" s="197"/>
      <c r="F674" s="197"/>
      <c r="G674" s="197"/>
      <c r="H674" s="197"/>
    </row>
    <row r="675" spans="2:8" x14ac:dyDescent="0.2">
      <c r="B675" s="197"/>
      <c r="C675" s="197"/>
      <c r="D675" s="197"/>
      <c r="E675" s="197"/>
      <c r="F675" s="197"/>
      <c r="G675" s="197"/>
      <c r="H675" s="197"/>
    </row>
    <row r="676" spans="2:8" x14ac:dyDescent="0.2">
      <c r="B676" s="197"/>
      <c r="C676" s="197"/>
      <c r="D676" s="197"/>
      <c r="E676" s="197"/>
      <c r="F676" s="197"/>
      <c r="G676" s="197"/>
      <c r="H676" s="197"/>
    </row>
    <row r="677" spans="2:8" x14ac:dyDescent="0.2">
      <c r="B677" s="197"/>
      <c r="C677" s="197"/>
      <c r="D677" s="197"/>
      <c r="E677" s="197"/>
      <c r="F677" s="197"/>
      <c r="G677" s="197"/>
      <c r="H677" s="197"/>
    </row>
    <row r="678" spans="2:8" x14ac:dyDescent="0.2">
      <c r="B678" s="197"/>
      <c r="C678" s="197"/>
      <c r="D678" s="197"/>
      <c r="E678" s="197"/>
      <c r="F678" s="197"/>
      <c r="G678" s="197"/>
      <c r="H678" s="197"/>
    </row>
    <row r="679" spans="2:8" x14ac:dyDescent="0.2">
      <c r="B679" s="197"/>
      <c r="C679" s="197"/>
      <c r="D679" s="197"/>
      <c r="E679" s="197"/>
      <c r="F679" s="197"/>
      <c r="G679" s="197"/>
      <c r="H679" s="197"/>
    </row>
    <row r="680" spans="2:8" x14ac:dyDescent="0.2">
      <c r="B680" s="197"/>
      <c r="C680" s="197"/>
      <c r="D680" s="197"/>
      <c r="E680" s="197"/>
      <c r="F680" s="197"/>
      <c r="G680" s="197"/>
      <c r="H680" s="197"/>
    </row>
    <row r="681" spans="2:8" x14ac:dyDescent="0.2">
      <c r="B681" s="197"/>
      <c r="C681" s="197"/>
      <c r="D681" s="197"/>
      <c r="E681" s="197"/>
      <c r="F681" s="197"/>
      <c r="G681" s="197"/>
      <c r="H681" s="197"/>
    </row>
    <row r="682" spans="2:8" x14ac:dyDescent="0.2">
      <c r="B682" s="197"/>
      <c r="C682" s="197"/>
      <c r="D682" s="197"/>
      <c r="E682" s="197"/>
      <c r="F682" s="197"/>
      <c r="G682" s="197"/>
      <c r="H682" s="197"/>
    </row>
    <row r="683" spans="2:8" x14ac:dyDescent="0.2">
      <c r="B683" s="197"/>
      <c r="C683" s="197"/>
      <c r="D683" s="197"/>
      <c r="E683" s="197"/>
      <c r="F683" s="197"/>
      <c r="G683" s="197"/>
      <c r="H683" s="197"/>
    </row>
    <row r="684" spans="2:8" x14ac:dyDescent="0.2">
      <c r="B684" s="197"/>
      <c r="C684" s="197"/>
      <c r="D684" s="197"/>
      <c r="E684" s="197"/>
      <c r="F684" s="197"/>
      <c r="G684" s="197"/>
      <c r="H684" s="197"/>
    </row>
    <row r="685" spans="2:8" x14ac:dyDescent="0.2">
      <c r="B685" s="197"/>
      <c r="C685" s="197"/>
      <c r="D685" s="197"/>
      <c r="E685" s="197"/>
      <c r="F685" s="197"/>
      <c r="G685" s="197"/>
      <c r="H685" s="197"/>
    </row>
    <row r="686" spans="2:8" x14ac:dyDescent="0.2">
      <c r="B686" s="197"/>
      <c r="C686" s="197"/>
      <c r="D686" s="197"/>
      <c r="E686" s="197"/>
      <c r="F686" s="197"/>
      <c r="G686" s="197"/>
      <c r="H686" s="197"/>
    </row>
    <row r="687" spans="2:8" x14ac:dyDescent="0.2">
      <c r="B687" s="197"/>
      <c r="C687" s="197"/>
      <c r="D687" s="197"/>
      <c r="E687" s="197"/>
      <c r="F687" s="197"/>
      <c r="G687" s="197"/>
      <c r="H687" s="197"/>
    </row>
    <row r="688" spans="2:8" x14ac:dyDescent="0.2">
      <c r="B688" s="197"/>
      <c r="C688" s="197"/>
      <c r="D688" s="197"/>
      <c r="E688" s="197"/>
      <c r="F688" s="197"/>
      <c r="G688" s="197"/>
      <c r="H688" s="197"/>
    </row>
    <row r="689" spans="2:8" x14ac:dyDescent="0.2">
      <c r="B689" s="197"/>
      <c r="C689" s="197"/>
      <c r="D689" s="197"/>
      <c r="E689" s="197"/>
      <c r="F689" s="197"/>
      <c r="G689" s="197"/>
      <c r="H689" s="197"/>
    </row>
    <row r="690" spans="2:8" x14ac:dyDescent="0.2">
      <c r="B690" s="197"/>
      <c r="C690" s="197"/>
      <c r="D690" s="197"/>
      <c r="E690" s="197"/>
      <c r="F690" s="197"/>
      <c r="G690" s="197"/>
      <c r="H690" s="197"/>
    </row>
    <row r="691" spans="2:8" x14ac:dyDescent="0.2">
      <c r="B691" s="197"/>
      <c r="C691" s="197"/>
      <c r="D691" s="197"/>
      <c r="E691" s="197"/>
      <c r="F691" s="197"/>
      <c r="G691" s="197"/>
      <c r="H691" s="197"/>
    </row>
    <row r="692" spans="2:8" x14ac:dyDescent="0.2">
      <c r="B692" s="197"/>
      <c r="C692" s="197"/>
      <c r="D692" s="197"/>
      <c r="E692" s="197"/>
      <c r="F692" s="197"/>
      <c r="G692" s="197"/>
      <c r="H692" s="197"/>
    </row>
    <row r="693" spans="2:8" x14ac:dyDescent="0.2">
      <c r="B693" s="197"/>
      <c r="C693" s="197"/>
      <c r="D693" s="197"/>
      <c r="E693" s="197"/>
      <c r="F693" s="197"/>
      <c r="G693" s="197"/>
      <c r="H693" s="197"/>
    </row>
    <row r="694" spans="2:8" x14ac:dyDescent="0.2">
      <c r="B694" s="197"/>
      <c r="C694" s="197"/>
      <c r="D694" s="197"/>
      <c r="E694" s="197"/>
      <c r="F694" s="197"/>
      <c r="G694" s="197"/>
      <c r="H694" s="197"/>
    </row>
    <row r="695" spans="2:8" x14ac:dyDescent="0.2">
      <c r="B695" s="197"/>
      <c r="C695" s="197"/>
      <c r="D695" s="197"/>
      <c r="E695" s="197"/>
      <c r="F695" s="197"/>
      <c r="G695" s="197"/>
      <c r="H695" s="197"/>
    </row>
    <row r="696" spans="2:8" x14ac:dyDescent="0.2">
      <c r="B696" s="197"/>
      <c r="C696" s="197"/>
      <c r="D696" s="197"/>
      <c r="E696" s="197"/>
      <c r="F696" s="197"/>
      <c r="G696" s="197"/>
      <c r="H696" s="197"/>
    </row>
    <row r="697" spans="2:8" x14ac:dyDescent="0.2">
      <c r="B697" s="197"/>
      <c r="C697" s="197"/>
      <c r="D697" s="197"/>
      <c r="E697" s="197"/>
      <c r="F697" s="197"/>
      <c r="G697" s="197"/>
      <c r="H697" s="197"/>
    </row>
    <row r="698" spans="2:8" x14ac:dyDescent="0.2">
      <c r="B698" s="197"/>
      <c r="C698" s="197"/>
      <c r="D698" s="197"/>
      <c r="E698" s="197"/>
      <c r="F698" s="197"/>
      <c r="G698" s="197"/>
      <c r="H698" s="197"/>
    </row>
    <row r="699" spans="2:8" x14ac:dyDescent="0.2">
      <c r="B699" s="197"/>
      <c r="C699" s="197"/>
      <c r="D699" s="197"/>
      <c r="E699" s="197"/>
      <c r="F699" s="197"/>
      <c r="G699" s="197"/>
      <c r="H699" s="197"/>
    </row>
    <row r="700" spans="2:8" x14ac:dyDescent="0.2">
      <c r="B700" s="197"/>
      <c r="C700" s="197"/>
      <c r="D700" s="197"/>
      <c r="E700" s="197"/>
      <c r="F700" s="197"/>
      <c r="G700" s="197"/>
      <c r="H700" s="197"/>
    </row>
    <row r="701" spans="2:8" x14ac:dyDescent="0.2">
      <c r="B701" s="197"/>
      <c r="C701" s="197"/>
      <c r="D701" s="197"/>
      <c r="E701" s="197"/>
      <c r="F701" s="197"/>
      <c r="G701" s="197"/>
      <c r="H701" s="197"/>
    </row>
    <row r="702" spans="2:8" x14ac:dyDescent="0.2">
      <c r="B702" s="197"/>
      <c r="C702" s="197"/>
      <c r="D702" s="197"/>
      <c r="E702" s="197"/>
      <c r="F702" s="197"/>
      <c r="G702" s="197"/>
      <c r="H702" s="197"/>
    </row>
    <row r="703" spans="2:8" x14ac:dyDescent="0.2">
      <c r="B703" s="197"/>
      <c r="C703" s="197"/>
      <c r="D703" s="197"/>
      <c r="E703" s="197"/>
      <c r="F703" s="197"/>
      <c r="G703" s="197"/>
      <c r="H703" s="197"/>
    </row>
    <row r="704" spans="2:8" x14ac:dyDescent="0.2">
      <c r="B704" s="197"/>
      <c r="C704" s="197"/>
      <c r="D704" s="197"/>
      <c r="E704" s="197"/>
      <c r="F704" s="197"/>
      <c r="G704" s="197"/>
      <c r="H704" s="197"/>
    </row>
    <row r="705" spans="2:8" x14ac:dyDescent="0.2">
      <c r="B705" s="197"/>
      <c r="C705" s="197"/>
      <c r="D705" s="197"/>
      <c r="E705" s="197"/>
      <c r="F705" s="197"/>
      <c r="G705" s="197"/>
      <c r="H705" s="197"/>
    </row>
    <row r="706" spans="2:8" x14ac:dyDescent="0.2">
      <c r="B706" s="197"/>
      <c r="C706" s="197"/>
      <c r="D706" s="197"/>
      <c r="E706" s="197"/>
      <c r="F706" s="197"/>
      <c r="G706" s="197"/>
      <c r="H706" s="197"/>
    </row>
    <row r="707" spans="2:8" x14ac:dyDescent="0.2">
      <c r="B707" s="197"/>
      <c r="C707" s="197"/>
      <c r="D707" s="197"/>
      <c r="E707" s="197"/>
      <c r="F707" s="197"/>
      <c r="G707" s="197"/>
      <c r="H707" s="197"/>
    </row>
    <row r="708" spans="2:8" x14ac:dyDescent="0.2">
      <c r="B708" s="197"/>
      <c r="C708" s="197"/>
      <c r="D708" s="197"/>
      <c r="E708" s="197"/>
      <c r="F708" s="197"/>
      <c r="G708" s="197"/>
      <c r="H708" s="197"/>
    </row>
    <row r="709" spans="2:8" x14ac:dyDescent="0.2">
      <c r="B709" s="197"/>
      <c r="C709" s="197"/>
      <c r="D709" s="197"/>
      <c r="E709" s="197"/>
      <c r="F709" s="197"/>
      <c r="G709" s="197"/>
      <c r="H709" s="197"/>
    </row>
    <row r="710" spans="2:8" x14ac:dyDescent="0.2">
      <c r="B710" s="197"/>
      <c r="C710" s="197"/>
      <c r="D710" s="197"/>
      <c r="E710" s="197"/>
      <c r="F710" s="197"/>
      <c r="G710" s="197"/>
      <c r="H710" s="197"/>
    </row>
    <row r="711" spans="2:8" x14ac:dyDescent="0.2">
      <c r="B711" s="197"/>
      <c r="C711" s="197"/>
      <c r="D711" s="197"/>
      <c r="E711" s="197"/>
      <c r="F711" s="197"/>
      <c r="G711" s="197"/>
      <c r="H711" s="197"/>
    </row>
    <row r="712" spans="2:8" x14ac:dyDescent="0.2">
      <c r="B712" s="197"/>
      <c r="C712" s="197"/>
      <c r="D712" s="197"/>
      <c r="E712" s="197"/>
      <c r="F712" s="197"/>
      <c r="G712" s="197"/>
      <c r="H712" s="197"/>
    </row>
    <row r="713" spans="2:8" x14ac:dyDescent="0.2">
      <c r="B713" s="197"/>
      <c r="C713" s="197"/>
      <c r="D713" s="197"/>
      <c r="E713" s="197"/>
      <c r="F713" s="197"/>
      <c r="G713" s="197"/>
      <c r="H713" s="197"/>
    </row>
    <row r="714" spans="2:8" x14ac:dyDescent="0.2">
      <c r="B714" s="197"/>
      <c r="C714" s="197"/>
      <c r="D714" s="197"/>
      <c r="E714" s="197"/>
      <c r="F714" s="197"/>
      <c r="G714" s="197"/>
      <c r="H714" s="197"/>
    </row>
    <row r="715" spans="2:8" x14ac:dyDescent="0.2">
      <c r="B715" s="197"/>
      <c r="C715" s="197"/>
      <c r="D715" s="197"/>
      <c r="E715" s="197"/>
      <c r="F715" s="197"/>
      <c r="G715" s="197"/>
      <c r="H715" s="197"/>
    </row>
    <row r="716" spans="2:8" x14ac:dyDescent="0.2">
      <c r="B716" s="197"/>
      <c r="C716" s="197"/>
      <c r="D716" s="197"/>
      <c r="E716" s="197"/>
      <c r="F716" s="197"/>
      <c r="G716" s="197"/>
      <c r="H716" s="197"/>
    </row>
    <row r="717" spans="2:8" x14ac:dyDescent="0.2">
      <c r="B717" s="197"/>
      <c r="C717" s="197"/>
      <c r="D717" s="197"/>
      <c r="E717" s="197"/>
      <c r="F717" s="197"/>
      <c r="G717" s="197"/>
      <c r="H717" s="197"/>
    </row>
    <row r="718" spans="2:8" x14ac:dyDescent="0.2">
      <c r="B718" s="197"/>
      <c r="C718" s="197"/>
      <c r="D718" s="197"/>
      <c r="E718" s="197"/>
      <c r="F718" s="197"/>
      <c r="G718" s="197"/>
      <c r="H718" s="197"/>
    </row>
    <row r="719" spans="2:8" x14ac:dyDescent="0.2">
      <c r="B719" s="197"/>
      <c r="C719" s="197"/>
      <c r="D719" s="197"/>
      <c r="E719" s="197"/>
      <c r="F719" s="197"/>
      <c r="G719" s="197"/>
      <c r="H719" s="197"/>
    </row>
    <row r="720" spans="2:8" x14ac:dyDescent="0.2">
      <c r="B720" s="197"/>
      <c r="C720" s="197"/>
      <c r="D720" s="197"/>
      <c r="E720" s="197"/>
      <c r="F720" s="197"/>
      <c r="G720" s="197"/>
      <c r="H720" s="197"/>
    </row>
    <row r="721" spans="2:8" x14ac:dyDescent="0.2">
      <c r="B721" s="197"/>
      <c r="C721" s="197"/>
      <c r="D721" s="197"/>
      <c r="E721" s="197"/>
      <c r="F721" s="197"/>
      <c r="G721" s="197"/>
      <c r="H721" s="197"/>
    </row>
    <row r="722" spans="2:8" x14ac:dyDescent="0.2">
      <c r="B722" s="197"/>
      <c r="C722" s="197"/>
      <c r="D722" s="197"/>
      <c r="E722" s="197"/>
      <c r="F722" s="197"/>
      <c r="G722" s="197"/>
      <c r="H722" s="197"/>
    </row>
    <row r="723" spans="2:8" x14ac:dyDescent="0.2">
      <c r="B723" s="197"/>
      <c r="C723" s="197"/>
      <c r="D723" s="197"/>
      <c r="E723" s="197"/>
      <c r="F723" s="197"/>
      <c r="G723" s="197"/>
      <c r="H723" s="197"/>
    </row>
    <row r="724" spans="2:8" x14ac:dyDescent="0.2">
      <c r="B724" s="197"/>
      <c r="C724" s="197"/>
      <c r="D724" s="197"/>
      <c r="E724" s="197"/>
      <c r="F724" s="197"/>
      <c r="G724" s="197"/>
      <c r="H724" s="197"/>
    </row>
    <row r="725" spans="2:8" x14ac:dyDescent="0.2">
      <c r="B725" s="197"/>
      <c r="C725" s="197"/>
      <c r="D725" s="197"/>
      <c r="E725" s="197"/>
      <c r="F725" s="197"/>
      <c r="G725" s="197"/>
      <c r="H725" s="197"/>
    </row>
    <row r="726" spans="2:8" x14ac:dyDescent="0.2">
      <c r="B726" s="197"/>
      <c r="C726" s="197"/>
      <c r="D726" s="197"/>
      <c r="E726" s="197"/>
      <c r="F726" s="197"/>
      <c r="G726" s="197"/>
      <c r="H726" s="197"/>
    </row>
    <row r="727" spans="2:8" x14ac:dyDescent="0.2">
      <c r="B727" s="197"/>
      <c r="C727" s="197"/>
      <c r="D727" s="197"/>
      <c r="E727" s="197"/>
      <c r="F727" s="197"/>
      <c r="G727" s="197"/>
      <c r="H727" s="197"/>
    </row>
    <row r="728" spans="2:8" x14ac:dyDescent="0.2">
      <c r="B728" s="197"/>
      <c r="C728" s="197"/>
      <c r="D728" s="197"/>
      <c r="E728" s="197"/>
      <c r="F728" s="197"/>
      <c r="G728" s="197"/>
      <c r="H728" s="197"/>
    </row>
    <row r="729" spans="2:8" x14ac:dyDescent="0.2">
      <c r="B729" s="197"/>
      <c r="C729" s="197"/>
      <c r="D729" s="197"/>
      <c r="E729" s="197"/>
      <c r="F729" s="197"/>
      <c r="G729" s="197"/>
      <c r="H729" s="197"/>
    </row>
    <row r="730" spans="2:8" x14ac:dyDescent="0.2">
      <c r="B730" s="197"/>
      <c r="C730" s="197"/>
      <c r="D730" s="197"/>
      <c r="E730" s="197"/>
      <c r="F730" s="197"/>
      <c r="G730" s="197"/>
      <c r="H730" s="197"/>
    </row>
    <row r="731" spans="2:8" x14ac:dyDescent="0.2">
      <c r="B731" s="197"/>
      <c r="C731" s="197"/>
      <c r="D731" s="197"/>
      <c r="E731" s="197"/>
      <c r="F731" s="197"/>
      <c r="G731" s="197"/>
      <c r="H731" s="197"/>
    </row>
    <row r="732" spans="2:8" x14ac:dyDescent="0.2">
      <c r="B732" s="197"/>
      <c r="C732" s="197"/>
      <c r="D732" s="197"/>
      <c r="E732" s="197"/>
      <c r="F732" s="197"/>
      <c r="G732" s="197"/>
      <c r="H732" s="197"/>
    </row>
    <row r="733" spans="2:8" x14ac:dyDescent="0.2">
      <c r="B733" s="197"/>
      <c r="C733" s="197"/>
      <c r="D733" s="197"/>
      <c r="E733" s="197"/>
      <c r="F733" s="197"/>
      <c r="G733" s="197"/>
      <c r="H733" s="197"/>
    </row>
    <row r="734" spans="2:8" x14ac:dyDescent="0.2">
      <c r="B734" s="197"/>
      <c r="C734" s="197"/>
      <c r="D734" s="197"/>
      <c r="E734" s="197"/>
      <c r="F734" s="197"/>
      <c r="G734" s="197"/>
      <c r="H734" s="197"/>
    </row>
    <row r="735" spans="2:8" x14ac:dyDescent="0.2">
      <c r="B735" s="197"/>
      <c r="C735" s="197"/>
      <c r="D735" s="197"/>
      <c r="E735" s="197"/>
      <c r="F735" s="197"/>
      <c r="G735" s="197"/>
      <c r="H735" s="197"/>
    </row>
    <row r="736" spans="2:8" x14ac:dyDescent="0.2">
      <c r="B736" s="197"/>
      <c r="C736" s="197"/>
      <c r="D736" s="197"/>
      <c r="E736" s="197"/>
      <c r="F736" s="197"/>
      <c r="G736" s="197"/>
      <c r="H736" s="197"/>
    </row>
    <row r="737" spans="2:8" x14ac:dyDescent="0.2">
      <c r="B737" s="197"/>
      <c r="C737" s="197"/>
      <c r="D737" s="197"/>
      <c r="E737" s="197"/>
      <c r="F737" s="197"/>
      <c r="G737" s="197"/>
      <c r="H737" s="197"/>
    </row>
    <row r="738" spans="2:8" x14ac:dyDescent="0.2">
      <c r="B738" s="197"/>
      <c r="C738" s="197"/>
      <c r="D738" s="197"/>
      <c r="E738" s="197"/>
      <c r="F738" s="197"/>
      <c r="G738" s="197"/>
      <c r="H738" s="197"/>
    </row>
    <row r="739" spans="2:8" x14ac:dyDescent="0.2">
      <c r="B739" s="197"/>
      <c r="C739" s="197"/>
      <c r="D739" s="197"/>
      <c r="E739" s="197"/>
      <c r="F739" s="197"/>
      <c r="G739" s="197"/>
      <c r="H739" s="197"/>
    </row>
    <row r="740" spans="2:8" x14ac:dyDescent="0.2">
      <c r="B740" s="197"/>
      <c r="C740" s="197"/>
      <c r="D740" s="197"/>
      <c r="E740" s="197"/>
      <c r="F740" s="197"/>
      <c r="G740" s="197"/>
      <c r="H740" s="197"/>
    </row>
    <row r="741" spans="2:8" x14ac:dyDescent="0.2">
      <c r="B741" s="197"/>
      <c r="C741" s="197"/>
      <c r="D741" s="197"/>
      <c r="E741" s="197"/>
      <c r="F741" s="197"/>
      <c r="G741" s="197"/>
      <c r="H741" s="197"/>
    </row>
    <row r="742" spans="2:8" x14ac:dyDescent="0.2">
      <c r="B742" s="197"/>
      <c r="C742" s="197"/>
      <c r="D742" s="197"/>
      <c r="E742" s="197"/>
      <c r="F742" s="197"/>
      <c r="G742" s="197"/>
      <c r="H742" s="197"/>
    </row>
    <row r="743" spans="2:8" x14ac:dyDescent="0.2">
      <c r="B743" s="197"/>
      <c r="C743" s="197"/>
      <c r="D743" s="197"/>
      <c r="E743" s="197"/>
      <c r="F743" s="197"/>
      <c r="G743" s="197"/>
      <c r="H743" s="197"/>
    </row>
  </sheetData>
  <mergeCells count="9">
    <mergeCell ref="A1:H1"/>
    <mergeCell ref="A2:H2"/>
    <mergeCell ref="A3:H3"/>
    <mergeCell ref="A11:F11"/>
    <mergeCell ref="A5:H5"/>
    <mergeCell ref="A6:H6"/>
    <mergeCell ref="A7:H7"/>
    <mergeCell ref="A9:H9"/>
    <mergeCell ref="A10:F10"/>
  </mergeCells>
  <pageMargins left="0.78740157480314965" right="0.39370078740157483" top="0.59055118110236227" bottom="0.78740157480314965" header="0.31496062992125984" footer="0.31496062992125984"/>
  <pageSetup paperSize="9" scale="60" fitToHeight="2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>
      <selection activeCell="A29" sqref="A29"/>
    </sheetView>
  </sheetViews>
  <sheetFormatPr defaultColWidth="9.140625" defaultRowHeight="12.75" x14ac:dyDescent="0.2"/>
  <cols>
    <col min="1" max="1" width="53.5703125" style="197" customWidth="1"/>
    <col min="2" max="2" width="6.28515625" style="197" customWidth="1"/>
    <col min="3" max="3" width="4.85546875" style="230" customWidth="1"/>
    <col min="4" max="4" width="6.140625" style="230" customWidth="1"/>
    <col min="5" max="5" width="15.42578125" style="230" customWidth="1"/>
    <col min="6" max="6" width="5.85546875" style="230" customWidth="1"/>
    <col min="7" max="7" width="16.7109375" style="230" customWidth="1"/>
    <col min="8" max="8" width="16.140625" style="230" customWidth="1"/>
    <col min="9" max="9" width="15.42578125" style="230" customWidth="1"/>
    <col min="10" max="10" width="0.28515625" style="73" hidden="1" customWidth="1"/>
    <col min="11" max="17" width="9.140625" style="73" hidden="1" customWidth="1"/>
    <col min="18" max="18" width="9.140625" style="197"/>
    <col min="19" max="19" width="11.5703125" style="197" bestFit="1" customWidth="1"/>
    <col min="20" max="16384" width="9.140625" style="197"/>
  </cols>
  <sheetData>
    <row r="1" spans="1:17" x14ac:dyDescent="0.2">
      <c r="A1" s="268"/>
      <c r="B1" s="263" t="s">
        <v>57</v>
      </c>
      <c r="C1" s="263" t="s">
        <v>6</v>
      </c>
      <c r="D1" s="263" t="s">
        <v>7</v>
      </c>
      <c r="E1" s="263" t="s">
        <v>8</v>
      </c>
      <c r="F1" s="263" t="s">
        <v>9</v>
      </c>
      <c r="G1" s="260" t="s">
        <v>328</v>
      </c>
      <c r="H1" s="260" t="s">
        <v>360</v>
      </c>
      <c r="I1" s="260" t="s">
        <v>688</v>
      </c>
    </row>
    <row r="2" spans="1:17" x14ac:dyDescent="0.2">
      <c r="A2" s="269"/>
      <c r="B2" s="264"/>
      <c r="C2" s="264"/>
      <c r="D2" s="264"/>
      <c r="E2" s="264"/>
      <c r="F2" s="264"/>
      <c r="G2" s="261"/>
      <c r="H2" s="261"/>
      <c r="I2" s="261"/>
    </row>
    <row r="3" spans="1:17" s="220" customFormat="1" ht="11.25" x14ac:dyDescent="0.2">
      <c r="A3" s="162">
        <v>1</v>
      </c>
      <c r="B3" s="162">
        <v>2</v>
      </c>
      <c r="C3" s="162">
        <v>3</v>
      </c>
      <c r="D3" s="162">
        <v>4</v>
      </c>
      <c r="E3" s="162">
        <v>5</v>
      </c>
      <c r="F3" s="162">
        <v>6</v>
      </c>
      <c r="G3" s="219">
        <v>7</v>
      </c>
      <c r="H3" s="219">
        <v>8</v>
      </c>
      <c r="I3" s="219">
        <v>9</v>
      </c>
    </row>
    <row r="4" spans="1:17" s="26" customFormat="1" x14ac:dyDescent="0.2">
      <c r="A4" s="28" t="s">
        <v>67</v>
      </c>
      <c r="B4" s="31">
        <v>900</v>
      </c>
      <c r="C4" s="24" t="s">
        <v>10</v>
      </c>
      <c r="D4" s="24" t="s">
        <v>59</v>
      </c>
      <c r="E4" s="24" t="s">
        <v>140</v>
      </c>
      <c r="F4" s="24" t="s">
        <v>725</v>
      </c>
      <c r="G4" s="25">
        <v>966</v>
      </c>
      <c r="H4" s="25">
        <v>966</v>
      </c>
      <c r="I4" s="25">
        <v>966</v>
      </c>
    </row>
    <row r="5" spans="1:17" s="26" customFormat="1" x14ac:dyDescent="0.2">
      <c r="A5" s="28" t="s">
        <v>67</v>
      </c>
      <c r="B5" s="31">
        <v>911</v>
      </c>
      <c r="C5" s="24" t="s">
        <v>49</v>
      </c>
      <c r="D5" s="24" t="s">
        <v>14</v>
      </c>
      <c r="E5" s="24" t="s">
        <v>118</v>
      </c>
      <c r="F5" s="24" t="s">
        <v>724</v>
      </c>
      <c r="G5" s="25">
        <v>326</v>
      </c>
      <c r="H5" s="25">
        <v>326</v>
      </c>
      <c r="I5" s="25">
        <v>325.89999999999998</v>
      </c>
    </row>
    <row r="6" spans="1:17" s="26" customFormat="1" x14ac:dyDescent="0.2">
      <c r="A6" s="28" t="s">
        <v>67</v>
      </c>
      <c r="B6" s="31">
        <v>911</v>
      </c>
      <c r="C6" s="24" t="s">
        <v>49</v>
      </c>
      <c r="D6" s="24" t="s">
        <v>16</v>
      </c>
      <c r="E6" s="24" t="s">
        <v>121</v>
      </c>
      <c r="F6" s="24" t="s">
        <v>724</v>
      </c>
      <c r="G6" s="25">
        <v>1200</v>
      </c>
      <c r="H6" s="25">
        <v>1310</v>
      </c>
      <c r="I6" s="25">
        <v>1330</v>
      </c>
    </row>
    <row r="7" spans="1:17" s="26" customFormat="1" x14ac:dyDescent="0.2">
      <c r="A7" s="28" t="s">
        <v>67</v>
      </c>
      <c r="B7" s="31">
        <v>911</v>
      </c>
      <c r="C7" s="24" t="s">
        <v>49</v>
      </c>
      <c r="D7" s="24" t="s">
        <v>16</v>
      </c>
      <c r="E7" s="24" t="s">
        <v>120</v>
      </c>
      <c r="F7" s="24" t="s">
        <v>68</v>
      </c>
      <c r="G7" s="25">
        <v>31030</v>
      </c>
      <c r="H7" s="25">
        <v>31030</v>
      </c>
      <c r="I7" s="25">
        <v>31030</v>
      </c>
    </row>
    <row r="8" spans="1:17" s="26" customFormat="1" x14ac:dyDescent="0.2">
      <c r="A8" s="28" t="s">
        <v>67</v>
      </c>
      <c r="B8" s="31">
        <v>911</v>
      </c>
      <c r="C8" s="24" t="s">
        <v>49</v>
      </c>
      <c r="D8" s="24" t="s">
        <v>16</v>
      </c>
      <c r="E8" s="24" t="s">
        <v>386</v>
      </c>
      <c r="F8" s="24" t="s">
        <v>724</v>
      </c>
      <c r="G8" s="25">
        <v>250</v>
      </c>
      <c r="H8" s="25">
        <v>250</v>
      </c>
      <c r="I8" s="25">
        <v>250</v>
      </c>
    </row>
    <row r="9" spans="1:17" s="26" customFormat="1" x14ac:dyDescent="0.2">
      <c r="A9" s="28" t="s">
        <v>67</v>
      </c>
      <c r="B9" s="31">
        <v>915</v>
      </c>
      <c r="C9" s="24" t="s">
        <v>49</v>
      </c>
      <c r="D9" s="24" t="s">
        <v>10</v>
      </c>
      <c r="E9" s="24" t="s">
        <v>247</v>
      </c>
      <c r="F9" s="24" t="s">
        <v>726</v>
      </c>
      <c r="G9" s="25">
        <v>9434.7999999999993</v>
      </c>
      <c r="H9" s="25">
        <v>9434.7999999999993</v>
      </c>
      <c r="I9" s="25">
        <v>9434.7999999999993</v>
      </c>
    </row>
    <row r="10" spans="1:17" s="26" customFormat="1" x14ac:dyDescent="0.2">
      <c r="A10" s="28" t="s">
        <v>67</v>
      </c>
      <c r="B10" s="31">
        <v>915</v>
      </c>
      <c r="C10" s="24" t="s">
        <v>49</v>
      </c>
      <c r="D10" s="24" t="s">
        <v>14</v>
      </c>
      <c r="E10" s="24" t="s">
        <v>105</v>
      </c>
      <c r="F10" s="24" t="s">
        <v>724</v>
      </c>
      <c r="G10" s="25">
        <v>1210</v>
      </c>
      <c r="H10" s="25">
        <v>1210</v>
      </c>
      <c r="I10" s="25">
        <v>1210</v>
      </c>
    </row>
    <row r="11" spans="1:17" s="26" customFormat="1" x14ac:dyDescent="0.2">
      <c r="A11" s="28" t="s">
        <v>67</v>
      </c>
      <c r="B11" s="31">
        <v>915</v>
      </c>
      <c r="C11" s="24" t="s">
        <v>49</v>
      </c>
      <c r="D11" s="24" t="s">
        <v>14</v>
      </c>
      <c r="E11" s="24" t="s">
        <v>88</v>
      </c>
      <c r="F11" s="24" t="s">
        <v>724</v>
      </c>
      <c r="G11" s="25">
        <v>1276</v>
      </c>
      <c r="H11" s="25">
        <v>1276</v>
      </c>
      <c r="I11" s="25">
        <v>1276</v>
      </c>
    </row>
    <row r="12" spans="1:17" s="26" customFormat="1" x14ac:dyDescent="0.2">
      <c r="A12" s="28" t="s">
        <v>67</v>
      </c>
      <c r="B12" s="31">
        <v>915</v>
      </c>
      <c r="C12" s="24" t="s">
        <v>49</v>
      </c>
      <c r="D12" s="24" t="s">
        <v>16</v>
      </c>
      <c r="E12" s="24" t="s">
        <v>378</v>
      </c>
      <c r="F12" s="24" t="s">
        <v>724</v>
      </c>
      <c r="G12" s="25">
        <v>73264</v>
      </c>
      <c r="H12" s="25">
        <v>75462</v>
      </c>
      <c r="I12" s="25">
        <v>77723</v>
      </c>
    </row>
    <row r="13" spans="1:17" s="26" customFormat="1" x14ac:dyDescent="0.2">
      <c r="A13" s="28" t="s">
        <v>67</v>
      </c>
      <c r="B13" s="31">
        <v>915</v>
      </c>
      <c r="C13" s="24" t="s">
        <v>49</v>
      </c>
      <c r="D13" s="24" t="s">
        <v>16</v>
      </c>
      <c r="E13" s="24" t="s">
        <v>96</v>
      </c>
      <c r="F13" s="24" t="s">
        <v>724</v>
      </c>
      <c r="G13" s="25">
        <v>615</v>
      </c>
      <c r="H13" s="25">
        <v>634</v>
      </c>
      <c r="I13" s="25">
        <v>659</v>
      </c>
    </row>
    <row r="14" spans="1:17" s="26" customFormat="1" x14ac:dyDescent="0.2">
      <c r="A14" s="28" t="s">
        <v>67</v>
      </c>
      <c r="B14" s="31">
        <v>915</v>
      </c>
      <c r="C14" s="24" t="s">
        <v>49</v>
      </c>
      <c r="D14" s="24" t="s">
        <v>16</v>
      </c>
      <c r="E14" s="19" t="s">
        <v>100</v>
      </c>
      <c r="F14" s="24" t="s">
        <v>724</v>
      </c>
      <c r="G14" s="25">
        <v>48414</v>
      </c>
      <c r="H14" s="25">
        <v>49898</v>
      </c>
      <c r="I14" s="25">
        <v>51852</v>
      </c>
    </row>
    <row r="15" spans="1:17" x14ac:dyDescent="0.2">
      <c r="A15" s="11"/>
      <c r="B15" s="11"/>
      <c r="C15" s="231"/>
      <c r="D15" s="231"/>
      <c r="E15" s="231"/>
      <c r="F15" s="231"/>
      <c r="G15" s="229">
        <f>SUM(G4:G14)</f>
        <v>167985.8</v>
      </c>
      <c r="H15" s="229">
        <f t="shared" ref="H15:I15" si="0">SUM(H4:H14)</f>
        <v>171796.8</v>
      </c>
      <c r="I15" s="229">
        <f t="shared" si="0"/>
        <v>176056.7</v>
      </c>
      <c r="J15" s="197"/>
      <c r="K15" s="197"/>
      <c r="L15" s="197"/>
      <c r="M15" s="197"/>
      <c r="N15" s="197"/>
      <c r="O15" s="197"/>
      <c r="P15" s="197"/>
      <c r="Q15" s="197"/>
    </row>
    <row r="16" spans="1:17" x14ac:dyDescent="0.2">
      <c r="J16" s="197"/>
      <c r="K16" s="197"/>
      <c r="L16" s="197"/>
      <c r="M16" s="197"/>
      <c r="N16" s="197"/>
      <c r="O16" s="197"/>
      <c r="P16" s="197"/>
      <c r="Q16" s="197"/>
    </row>
  </sheetData>
  <mergeCells count="9">
    <mergeCell ref="H1:H2"/>
    <mergeCell ref="I1:I2"/>
    <mergeCell ref="A1:A2"/>
    <mergeCell ref="B1:B2"/>
    <mergeCell ref="C1:C2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G17" sqref="G17"/>
    </sheetView>
  </sheetViews>
  <sheetFormatPr defaultColWidth="9.140625" defaultRowHeight="12.75" x14ac:dyDescent="0.2"/>
  <cols>
    <col min="1" max="1" width="53.5703125" style="197" customWidth="1"/>
    <col min="2" max="2" width="6.28515625" style="197" customWidth="1"/>
    <col min="3" max="3" width="4.85546875" style="232" customWidth="1"/>
    <col min="4" max="4" width="6.140625" style="232" customWidth="1"/>
    <col min="5" max="5" width="15.42578125" style="232" customWidth="1"/>
    <col min="6" max="6" width="5.85546875" style="232" customWidth="1"/>
    <col min="7" max="7" width="16.7109375" style="232" customWidth="1"/>
    <col min="8" max="8" width="16.140625" style="232" customWidth="1"/>
    <col min="9" max="9" width="15.42578125" style="232" customWidth="1"/>
    <col min="10" max="10" width="0.28515625" style="73" hidden="1" customWidth="1"/>
    <col min="11" max="17" width="9.140625" style="73" hidden="1" customWidth="1"/>
    <col min="18" max="18" width="9.140625" style="197"/>
    <col min="19" max="19" width="11.5703125" style="197" bestFit="1" customWidth="1"/>
    <col min="20" max="16384" width="9.140625" style="197"/>
  </cols>
  <sheetData>
    <row r="1" spans="1:17" x14ac:dyDescent="0.2">
      <c r="A1" s="268"/>
      <c r="B1" s="263" t="s">
        <v>57</v>
      </c>
      <c r="C1" s="263" t="s">
        <v>6</v>
      </c>
      <c r="D1" s="263" t="s">
        <v>7</v>
      </c>
      <c r="E1" s="263" t="s">
        <v>8</v>
      </c>
      <c r="F1" s="263" t="s">
        <v>9</v>
      </c>
      <c r="G1" s="260" t="s">
        <v>328</v>
      </c>
      <c r="H1" s="260" t="s">
        <v>360</v>
      </c>
      <c r="I1" s="260" t="s">
        <v>688</v>
      </c>
    </row>
    <row r="2" spans="1:17" x14ac:dyDescent="0.2">
      <c r="A2" s="269"/>
      <c r="B2" s="264"/>
      <c r="C2" s="264"/>
      <c r="D2" s="264"/>
      <c r="E2" s="264"/>
      <c r="F2" s="264"/>
      <c r="G2" s="261"/>
      <c r="H2" s="261"/>
      <c r="I2" s="261"/>
    </row>
    <row r="3" spans="1:17" s="220" customFormat="1" ht="11.25" x14ac:dyDescent="0.2">
      <c r="A3" s="162">
        <v>1</v>
      </c>
      <c r="B3" s="162">
        <v>2</v>
      </c>
      <c r="C3" s="162">
        <v>3</v>
      </c>
      <c r="D3" s="162">
        <v>4</v>
      </c>
      <c r="E3" s="162">
        <v>5</v>
      </c>
      <c r="F3" s="162">
        <v>6</v>
      </c>
      <c r="G3" s="219">
        <v>7</v>
      </c>
      <c r="H3" s="219">
        <v>8</v>
      </c>
      <c r="I3" s="219">
        <v>9</v>
      </c>
    </row>
    <row r="4" spans="1:17" s="26" customFormat="1" x14ac:dyDescent="0.2">
      <c r="A4" s="28" t="s">
        <v>67</v>
      </c>
      <c r="B4" s="31">
        <v>900</v>
      </c>
      <c r="C4" s="24" t="s">
        <v>10</v>
      </c>
      <c r="D4" s="24" t="s">
        <v>59</v>
      </c>
      <c r="E4" s="24" t="s">
        <v>140</v>
      </c>
      <c r="F4" s="24" t="s">
        <v>725</v>
      </c>
      <c r="G4" s="25">
        <v>966</v>
      </c>
      <c r="H4" s="25">
        <v>966</v>
      </c>
      <c r="I4" s="25">
        <v>966</v>
      </c>
    </row>
    <row r="5" spans="1:17" s="26" customFormat="1" x14ac:dyDescent="0.2">
      <c r="A5" s="28" t="s">
        <v>67</v>
      </c>
      <c r="B5" s="31">
        <v>911</v>
      </c>
      <c r="C5" s="24" t="s">
        <v>49</v>
      </c>
      <c r="D5" s="24" t="s">
        <v>14</v>
      </c>
      <c r="E5" s="24" t="s">
        <v>118</v>
      </c>
      <c r="F5" s="24" t="s">
        <v>724</v>
      </c>
      <c r="G5" s="25">
        <f>326-0.1</f>
        <v>325.89999999999998</v>
      </c>
      <c r="H5" s="25">
        <f>326-0.1</f>
        <v>325.89999999999998</v>
      </c>
      <c r="I5" s="25">
        <v>325.89999999999998</v>
      </c>
    </row>
    <row r="6" spans="1:17" s="26" customFormat="1" x14ac:dyDescent="0.2">
      <c r="A6" s="28" t="s">
        <v>67</v>
      </c>
      <c r="B6" s="31">
        <v>911</v>
      </c>
      <c r="C6" s="24" t="s">
        <v>49</v>
      </c>
      <c r="D6" s="24" t="s">
        <v>16</v>
      </c>
      <c r="E6" s="24" t="s">
        <v>121</v>
      </c>
      <c r="F6" s="24" t="s">
        <v>724</v>
      </c>
      <c r="G6" s="25">
        <v>1200</v>
      </c>
      <c r="H6" s="25">
        <v>1310</v>
      </c>
      <c r="I6" s="25">
        <v>1330</v>
      </c>
    </row>
    <row r="7" spans="1:17" s="26" customFormat="1" x14ac:dyDescent="0.2">
      <c r="A7" s="28" t="s">
        <v>67</v>
      </c>
      <c r="B7" s="31">
        <v>911</v>
      </c>
      <c r="C7" s="24" t="s">
        <v>49</v>
      </c>
      <c r="D7" s="24" t="s">
        <v>16</v>
      </c>
      <c r="E7" s="24" t="s">
        <v>120</v>
      </c>
      <c r="F7" s="24" t="s">
        <v>68</v>
      </c>
      <c r="G7" s="25">
        <v>31030</v>
      </c>
      <c r="H7" s="25">
        <v>31030</v>
      </c>
      <c r="I7" s="25">
        <v>31030</v>
      </c>
    </row>
    <row r="8" spans="1:17" s="26" customFormat="1" x14ac:dyDescent="0.2">
      <c r="A8" s="28" t="s">
        <v>67</v>
      </c>
      <c r="B8" s="31">
        <v>911</v>
      </c>
      <c r="C8" s="24" t="s">
        <v>49</v>
      </c>
      <c r="D8" s="24" t="s">
        <v>14</v>
      </c>
      <c r="E8" s="24" t="s">
        <v>82</v>
      </c>
      <c r="F8" s="24" t="s">
        <v>724</v>
      </c>
      <c r="G8" s="25">
        <v>26.7</v>
      </c>
      <c r="H8" s="25">
        <v>26.7</v>
      </c>
      <c r="I8" s="25">
        <v>26.7</v>
      </c>
    </row>
    <row r="9" spans="1:17" s="26" customFormat="1" x14ac:dyDescent="0.2">
      <c r="A9" s="28" t="s">
        <v>67</v>
      </c>
      <c r="B9" s="31">
        <v>911</v>
      </c>
      <c r="C9" s="24" t="s">
        <v>49</v>
      </c>
      <c r="D9" s="24" t="s">
        <v>16</v>
      </c>
      <c r="E9" s="24" t="s">
        <v>386</v>
      </c>
      <c r="F9" s="24" t="s">
        <v>724</v>
      </c>
      <c r="G9" s="25">
        <v>250</v>
      </c>
      <c r="H9" s="25">
        <v>250</v>
      </c>
      <c r="I9" s="25">
        <v>250</v>
      </c>
    </row>
    <row r="10" spans="1:17" s="26" customFormat="1" x14ac:dyDescent="0.2">
      <c r="A10" s="28" t="s">
        <v>67</v>
      </c>
      <c r="B10" s="31">
        <v>915</v>
      </c>
      <c r="C10" s="24" t="s">
        <v>49</v>
      </c>
      <c r="D10" s="24" t="s">
        <v>10</v>
      </c>
      <c r="E10" s="24" t="s">
        <v>247</v>
      </c>
      <c r="F10" s="24" t="s">
        <v>726</v>
      </c>
      <c r="G10" s="25">
        <v>9434.7999999999993</v>
      </c>
      <c r="H10" s="25">
        <v>9434.7999999999993</v>
      </c>
      <c r="I10" s="25">
        <v>9434.7999999999993</v>
      </c>
    </row>
    <row r="11" spans="1:17" s="26" customFormat="1" x14ac:dyDescent="0.2">
      <c r="A11" s="28" t="s">
        <v>67</v>
      </c>
      <c r="B11" s="31">
        <v>915</v>
      </c>
      <c r="C11" s="24" t="s">
        <v>49</v>
      </c>
      <c r="D11" s="24" t="s">
        <v>14</v>
      </c>
      <c r="E11" s="24" t="s">
        <v>105</v>
      </c>
      <c r="F11" s="24" t="s">
        <v>724</v>
      </c>
      <c r="G11" s="25">
        <v>1210</v>
      </c>
      <c r="H11" s="25">
        <v>1210</v>
      </c>
      <c r="I11" s="25">
        <v>1210</v>
      </c>
    </row>
    <row r="12" spans="1:17" s="26" customFormat="1" x14ac:dyDescent="0.2">
      <c r="A12" s="28" t="s">
        <v>67</v>
      </c>
      <c r="B12" s="31">
        <v>915</v>
      </c>
      <c r="C12" s="24" t="s">
        <v>49</v>
      </c>
      <c r="D12" s="24" t="s">
        <v>14</v>
      </c>
      <c r="E12" s="24" t="s">
        <v>88</v>
      </c>
      <c r="F12" s="24" t="s">
        <v>724</v>
      </c>
      <c r="G12" s="25">
        <v>1276</v>
      </c>
      <c r="H12" s="25">
        <v>1276</v>
      </c>
      <c r="I12" s="25">
        <v>1276</v>
      </c>
    </row>
    <row r="13" spans="1:17" s="26" customFormat="1" x14ac:dyDescent="0.2">
      <c r="A13" s="28" t="s">
        <v>67</v>
      </c>
      <c r="B13" s="31">
        <v>915</v>
      </c>
      <c r="C13" s="24" t="s">
        <v>49</v>
      </c>
      <c r="D13" s="24" t="s">
        <v>16</v>
      </c>
      <c r="E13" s="24" t="s">
        <v>378</v>
      </c>
      <c r="F13" s="24" t="s">
        <v>724</v>
      </c>
      <c r="G13" s="25">
        <v>73264</v>
      </c>
      <c r="H13" s="25">
        <v>75462</v>
      </c>
      <c r="I13" s="25">
        <v>77723</v>
      </c>
    </row>
    <row r="14" spans="1:17" s="26" customFormat="1" x14ac:dyDescent="0.2">
      <c r="A14" s="28" t="s">
        <v>67</v>
      </c>
      <c r="B14" s="31">
        <v>915</v>
      </c>
      <c r="C14" s="24" t="s">
        <v>49</v>
      </c>
      <c r="D14" s="24" t="s">
        <v>16</v>
      </c>
      <c r="E14" s="24" t="s">
        <v>96</v>
      </c>
      <c r="F14" s="24" t="s">
        <v>724</v>
      </c>
      <c r="G14" s="25">
        <v>615</v>
      </c>
      <c r="H14" s="25">
        <v>634</v>
      </c>
      <c r="I14" s="25">
        <v>659</v>
      </c>
    </row>
    <row r="15" spans="1:17" s="26" customFormat="1" x14ac:dyDescent="0.2">
      <c r="A15" s="28" t="s">
        <v>67</v>
      </c>
      <c r="B15" s="31">
        <v>915</v>
      </c>
      <c r="C15" s="24" t="s">
        <v>49</v>
      </c>
      <c r="D15" s="24" t="s">
        <v>14</v>
      </c>
      <c r="E15" s="24" t="s">
        <v>98</v>
      </c>
      <c r="F15" s="24" t="s">
        <v>724</v>
      </c>
      <c r="G15" s="25">
        <v>4.7</v>
      </c>
      <c r="H15" s="25"/>
      <c r="I15" s="25"/>
      <c r="J15" s="104"/>
      <c r="K15" s="104"/>
      <c r="L15" s="104"/>
      <c r="M15" s="104"/>
      <c r="N15" s="104"/>
      <c r="O15" s="104"/>
      <c r="P15" s="104"/>
      <c r="Q15" s="104"/>
    </row>
    <row r="16" spans="1:17" s="26" customFormat="1" x14ac:dyDescent="0.2">
      <c r="A16" s="28" t="s">
        <v>67</v>
      </c>
      <c r="B16" s="31">
        <v>915</v>
      </c>
      <c r="C16" s="24" t="s">
        <v>49</v>
      </c>
      <c r="D16" s="24" t="s">
        <v>16</v>
      </c>
      <c r="E16" s="19" t="s">
        <v>100</v>
      </c>
      <c r="F16" s="24" t="s">
        <v>724</v>
      </c>
      <c r="G16" s="25">
        <v>48414</v>
      </c>
      <c r="H16" s="25">
        <v>49898</v>
      </c>
      <c r="I16" s="25">
        <v>51852</v>
      </c>
    </row>
    <row r="17" spans="1:17" x14ac:dyDescent="0.2">
      <c r="A17" s="11"/>
      <c r="B17" s="11"/>
      <c r="C17" s="231"/>
      <c r="D17" s="231"/>
      <c r="E17" s="231"/>
      <c r="F17" s="231"/>
      <c r="G17" s="229">
        <f>SUM(G4:G16)</f>
        <v>168017.09999999998</v>
      </c>
      <c r="H17" s="229">
        <f>SUM(H4:H16)</f>
        <v>171823.4</v>
      </c>
      <c r="I17" s="229">
        <f>SUM(I4:I16)</f>
        <v>176083.4</v>
      </c>
      <c r="J17" s="197"/>
      <c r="K17" s="197"/>
      <c r="L17" s="197"/>
      <c r="M17" s="197"/>
      <c r="N17" s="197"/>
      <c r="O17" s="197"/>
      <c r="P17" s="197"/>
      <c r="Q17" s="197"/>
    </row>
    <row r="18" spans="1:17" x14ac:dyDescent="0.2">
      <c r="J18" s="197"/>
      <c r="K18" s="197"/>
      <c r="L18" s="197"/>
      <c r="M18" s="197"/>
      <c r="N18" s="197"/>
      <c r="O18" s="197"/>
      <c r="P18" s="197"/>
      <c r="Q18" s="197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 первое чтение вед стр-ра</vt:lpstr>
      <vt:lpstr>первое чтение программы</vt:lpstr>
      <vt:lpstr>первое чтение по разд</vt:lpstr>
      <vt:lpstr>ПНО 1-е чтение</vt:lpstr>
      <vt:lpstr>ПНО 2-е чтение</vt:lpstr>
      <vt:lpstr>' первое чтение вед стр-ра'!Заголовки_для_печати</vt:lpstr>
      <vt:lpstr>'первое чтение по разд'!Заголовки_для_печати</vt:lpstr>
      <vt:lpstr>'первое чтение программы'!Заголовки_для_печати</vt:lpstr>
      <vt:lpstr>' первое чтение вед стр-ра'!Область_печати</vt:lpstr>
      <vt:lpstr>'первое чтение по разд'!Область_печати</vt:lpstr>
      <vt:lpstr>'первое чтение программы'!Область_печати</vt:lpstr>
    </vt:vector>
  </TitlesOfParts>
  <Company>ПредБредБракЗнакСбытЗагранПодставка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Tatyana Orlova</cp:lastModifiedBy>
  <cp:lastPrinted>2019-12-18T09:29:11Z</cp:lastPrinted>
  <dcterms:created xsi:type="dcterms:W3CDTF">2007-12-19T00:56:18Z</dcterms:created>
  <dcterms:modified xsi:type="dcterms:W3CDTF">2020-03-26T07:19:09Z</dcterms:modified>
</cp:coreProperties>
</file>